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md.sharepoint.com/sites/usmo-finrep-FinAff/Shared Documents/FinAff/Debt_ Digital Accessibility Reports/Debt Management/Revenue Bonds/EXCEL/"/>
    </mc:Choice>
  </mc:AlternateContent>
  <xr:revisionPtr revIDLastSave="0" documentId="8_{8E648A74-7FE8-4B9E-ADE7-E5F717F0AA7C}" xr6:coauthVersionLast="47" xr6:coauthVersionMax="47" xr10:uidLastSave="{00000000-0000-0000-0000-000000000000}"/>
  <bookViews>
    <workbookView xWindow="29595" yWindow="615" windowWidth="28200" windowHeight="14415" tabRatio="1000" xr2:uid="{7B4745A0-B7DC-4EE0-8690-E3CEBFAB0F81}"/>
  </bookViews>
  <sheets>
    <sheet name="2006A after 2012D" sheetId="9" r:id="rId1"/>
  </sheets>
  <definedNames>
    <definedName name="_xlnm.Print_Titles" localSheetId="0">'2006A after 2012D'!$A:$B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A22" i="9" l="1"/>
  <c r="CY21" i="9"/>
  <c r="O22" i="9"/>
  <c r="G21" i="9"/>
  <c r="AA21" i="9" s="1"/>
  <c r="G23" i="9"/>
  <c r="AM23" i="9" s="1"/>
  <c r="G25" i="9"/>
  <c r="CI25" i="9" s="1"/>
  <c r="G27" i="9"/>
  <c r="G29" i="9"/>
  <c r="AI29" i="9"/>
  <c r="G31" i="9"/>
  <c r="S31" i="9" s="1"/>
  <c r="G33" i="9"/>
  <c r="BK33" i="9" s="1"/>
  <c r="G35" i="9"/>
  <c r="S35" i="9" s="1"/>
  <c r="G37" i="9"/>
  <c r="S37" i="9" s="1"/>
  <c r="AQ37" i="9"/>
  <c r="AU37" i="9"/>
  <c r="AY37" i="9"/>
  <c r="CQ37" i="9"/>
  <c r="G39" i="9"/>
  <c r="CM39" i="9"/>
  <c r="G41" i="9"/>
  <c r="CI41" i="9"/>
  <c r="G43" i="9"/>
  <c r="BO43" i="9" s="1"/>
  <c r="G45" i="9"/>
  <c r="BO45" i="9" s="1"/>
  <c r="G47" i="9"/>
  <c r="CQ47" i="9" s="1"/>
  <c r="CU47" i="9"/>
  <c r="G49" i="9"/>
  <c r="CI49" i="9" s="1"/>
  <c r="H49" i="9"/>
  <c r="H48" i="9"/>
  <c r="CW48" i="9"/>
  <c r="CW9" i="9"/>
  <c r="CW10" i="9"/>
  <c r="G11" i="9"/>
  <c r="H11" i="9"/>
  <c r="H12" i="9"/>
  <c r="BP12" i="9" s="1"/>
  <c r="BQ12" i="9" s="1"/>
  <c r="G13" i="9"/>
  <c r="AM13" i="9" s="1"/>
  <c r="H13" i="9"/>
  <c r="H14" i="9"/>
  <c r="X14" i="9" s="1"/>
  <c r="Y14" i="9" s="1"/>
  <c r="G15" i="9"/>
  <c r="AE15" i="9" s="1"/>
  <c r="H15" i="9"/>
  <c r="H16" i="9"/>
  <c r="G17" i="9"/>
  <c r="AE17" i="9" s="1"/>
  <c r="H17" i="9"/>
  <c r="CJ17" i="9" s="1"/>
  <c r="CV17" i="9"/>
  <c r="H18" i="9"/>
  <c r="G19" i="9"/>
  <c r="H19" i="9"/>
  <c r="CF19" i="9" s="1"/>
  <c r="H20" i="9"/>
  <c r="CN20" i="9" s="1"/>
  <c r="CO20" i="9" s="1"/>
  <c r="H21" i="9"/>
  <c r="CV21" i="9" s="1"/>
  <c r="H22" i="9"/>
  <c r="X22" i="9" s="1"/>
  <c r="Y22" i="9" s="1"/>
  <c r="H23" i="9"/>
  <c r="CF23" i="9" s="1"/>
  <c r="H24" i="9"/>
  <c r="CV24" i="9" s="1"/>
  <c r="CW24" i="9" s="1"/>
  <c r="H25" i="9"/>
  <c r="H26" i="9"/>
  <c r="AB26" i="9" s="1"/>
  <c r="AC26" i="9" s="1"/>
  <c r="H27" i="9"/>
  <c r="CV27" i="9" s="1"/>
  <c r="H28" i="9"/>
  <c r="H29" i="9"/>
  <c r="H30" i="9"/>
  <c r="I30" i="9" s="1"/>
  <c r="H31" i="9"/>
  <c r="CB31" i="9" s="1"/>
  <c r="H32" i="9"/>
  <c r="AR32" i="9" s="1"/>
  <c r="AS32" i="9" s="1"/>
  <c r="H33" i="9"/>
  <c r="CV33" i="9" s="1"/>
  <c r="H34" i="9"/>
  <c r="X34" i="9" s="1"/>
  <c r="Y34" i="9" s="1"/>
  <c r="H35" i="9"/>
  <c r="AR35" i="9" s="1"/>
  <c r="H36" i="9"/>
  <c r="AN36" i="9" s="1"/>
  <c r="AO36" i="9" s="1"/>
  <c r="H37" i="9"/>
  <c r="H38" i="9"/>
  <c r="H39" i="9"/>
  <c r="AF39" i="9" s="1"/>
  <c r="CV39" i="9"/>
  <c r="H40" i="9"/>
  <c r="H41" i="9"/>
  <c r="BX41" i="9" s="1"/>
  <c r="H42" i="9"/>
  <c r="CN42" i="9" s="1"/>
  <c r="CO42" i="9" s="1"/>
  <c r="H43" i="9"/>
  <c r="CV43" i="9" s="1"/>
  <c r="H44" i="9"/>
  <c r="BT44" i="9" s="1"/>
  <c r="BU44" i="9" s="1"/>
  <c r="H45" i="9"/>
  <c r="BD45" i="9" s="1"/>
  <c r="H46" i="9"/>
  <c r="AV46" i="9" s="1"/>
  <c r="AW46" i="9" s="1"/>
  <c r="CV46" i="9"/>
  <c r="CW46" i="9" s="1"/>
  <c r="H47" i="9"/>
  <c r="CV47" i="9" s="1"/>
  <c r="CS9" i="9"/>
  <c r="CS10" i="9"/>
  <c r="CS11" i="9"/>
  <c r="CS12" i="9"/>
  <c r="CR33" i="9"/>
  <c r="CM11" i="9"/>
  <c r="CN43" i="9"/>
  <c r="CN46" i="9"/>
  <c r="CO46" i="9" s="1"/>
  <c r="CK9" i="9"/>
  <c r="CK10" i="9"/>
  <c r="CJ35" i="9"/>
  <c r="CJ43" i="9"/>
  <c r="CG9" i="9"/>
  <c r="CG10" i="9"/>
  <c r="CF17" i="9"/>
  <c r="CF20" i="9"/>
  <c r="CG20" i="9" s="1"/>
  <c r="CF39" i="9"/>
  <c r="CF43" i="9"/>
  <c r="CC9" i="9"/>
  <c r="CC10" i="9"/>
  <c r="CC11" i="9"/>
  <c r="CA15" i="9"/>
  <c r="CB15" i="9"/>
  <c r="CB17" i="9"/>
  <c r="CB33" i="9"/>
  <c r="BY9" i="9"/>
  <c r="BY10" i="9"/>
  <c r="BY11" i="9"/>
  <c r="BX27" i="9"/>
  <c r="BX46" i="9"/>
  <c r="BY46" i="9" s="1"/>
  <c r="BX47" i="9"/>
  <c r="BU9" i="9"/>
  <c r="BU10" i="9"/>
  <c r="BU11" i="9"/>
  <c r="BT16" i="9"/>
  <c r="BU16" i="9"/>
  <c r="BT21" i="9"/>
  <c r="BT43" i="9"/>
  <c r="BT45" i="9"/>
  <c r="BQ9" i="9"/>
  <c r="BQ10" i="9"/>
  <c r="BQ11" i="9"/>
  <c r="BP17" i="9"/>
  <c r="BP20" i="9"/>
  <c r="BQ20" i="9" s="1"/>
  <c r="BP38" i="9"/>
  <c r="BQ38" i="9" s="1"/>
  <c r="BP39" i="9"/>
  <c r="BP43" i="9"/>
  <c r="BP44" i="9"/>
  <c r="BQ44" i="9" s="1"/>
  <c r="BM9" i="9"/>
  <c r="BM10" i="9"/>
  <c r="BM11" i="9"/>
  <c r="BL17" i="9"/>
  <c r="BL43" i="9"/>
  <c r="BL45" i="9"/>
  <c r="BI9" i="9"/>
  <c r="BI10" i="9"/>
  <c r="BH25" i="9"/>
  <c r="BH33" i="9"/>
  <c r="BH35" i="9"/>
  <c r="BH43" i="9"/>
  <c r="BE9" i="9"/>
  <c r="BE10" i="9"/>
  <c r="BC11" i="9"/>
  <c r="BD12" i="9"/>
  <c r="BE12" i="9" s="1"/>
  <c r="BD16" i="9"/>
  <c r="BE16" i="9" s="1"/>
  <c r="BD39" i="9"/>
  <c r="BD43" i="9"/>
  <c r="BA9" i="9"/>
  <c r="BA10" i="9"/>
  <c r="AZ21" i="9"/>
  <c r="AZ23" i="9"/>
  <c r="AZ25" i="9"/>
  <c r="AZ33" i="9"/>
  <c r="AZ43" i="9"/>
  <c r="AZ47" i="9"/>
  <c r="AW9" i="9"/>
  <c r="AW10" i="9"/>
  <c r="AV16" i="9"/>
  <c r="AW16" i="9"/>
  <c r="AV20" i="9"/>
  <c r="AW20" i="9" s="1"/>
  <c r="AV32" i="9"/>
  <c r="AW32" i="9" s="1"/>
  <c r="AV43" i="9"/>
  <c r="AV44" i="9"/>
  <c r="AW44" i="9"/>
  <c r="AV45" i="9"/>
  <c r="AS9" i="9"/>
  <c r="AS10" i="9"/>
  <c r="AR12" i="9"/>
  <c r="AS12" i="9" s="1"/>
  <c r="AR13" i="9"/>
  <c r="AR20" i="9"/>
  <c r="AS20" i="9"/>
  <c r="AR22" i="9"/>
  <c r="AS22" i="9" s="1"/>
  <c r="AR27" i="9"/>
  <c r="AR43" i="9"/>
  <c r="AR46" i="9"/>
  <c r="AS46" i="9" s="1"/>
  <c r="AN47" i="9"/>
  <c r="AN25" i="9"/>
  <c r="AN27" i="9"/>
  <c r="AN33" i="9"/>
  <c r="AN43" i="9"/>
  <c r="AO9" i="9"/>
  <c r="AO10" i="9"/>
  <c r="AO11" i="9"/>
  <c r="AO12" i="9"/>
  <c r="AN17" i="9"/>
  <c r="AN44" i="9"/>
  <c r="AO44" i="9" s="1"/>
  <c r="AN46" i="9"/>
  <c r="AO46" i="9" s="1"/>
  <c r="AJ33" i="9"/>
  <c r="AJ43" i="9"/>
  <c r="AK9" i="9"/>
  <c r="AK10" i="9"/>
  <c r="AJ13" i="9"/>
  <c r="AJ20" i="9"/>
  <c r="AK20" i="9" s="1"/>
  <c r="AJ22" i="9"/>
  <c r="AK22" i="9" s="1"/>
  <c r="AJ44" i="9"/>
  <c r="AK44" i="9" s="1"/>
  <c r="AF25" i="9"/>
  <c r="AF27" i="9"/>
  <c r="AF33" i="9"/>
  <c r="AF37" i="9"/>
  <c r="AF43" i="9"/>
  <c r="AG9" i="9"/>
  <c r="AG10" i="9"/>
  <c r="AG11" i="9"/>
  <c r="AF20" i="9"/>
  <c r="AG20" i="9" s="1"/>
  <c r="AF28" i="9"/>
  <c r="AG28" i="9" s="1"/>
  <c r="AF48" i="9"/>
  <c r="AG48" i="9" s="1"/>
  <c r="AB47" i="9"/>
  <c r="AB27" i="9"/>
  <c r="AB33" i="9"/>
  <c r="AB14" i="9"/>
  <c r="AC14" i="9" s="1"/>
  <c r="AA15" i="9"/>
  <c r="AB16" i="9"/>
  <c r="AC16" i="9" s="1"/>
  <c r="AB17" i="9"/>
  <c r="AB20" i="9"/>
  <c r="AC20" i="9" s="1"/>
  <c r="AB21" i="9"/>
  <c r="AC21" i="9" s="1"/>
  <c r="AB22" i="9"/>
  <c r="AC22" i="9" s="1"/>
  <c r="AB44" i="9"/>
  <c r="AC44" i="9" s="1"/>
  <c r="X45" i="9"/>
  <c r="Y45" i="9" s="1"/>
  <c r="X27" i="9"/>
  <c r="X33" i="9"/>
  <c r="X43" i="9"/>
  <c r="Y9" i="9"/>
  <c r="Y10" i="9"/>
  <c r="Y11" i="9"/>
  <c r="X12" i="9"/>
  <c r="Y12" i="9" s="1"/>
  <c r="X20" i="9"/>
  <c r="Y20" i="9" s="1"/>
  <c r="X23" i="9"/>
  <c r="X38" i="9"/>
  <c r="Y38" i="9" s="1"/>
  <c r="X46" i="9"/>
  <c r="Y46" i="9" s="1"/>
  <c r="T45" i="9"/>
  <c r="T25" i="9"/>
  <c r="T27" i="9"/>
  <c r="T33" i="9"/>
  <c r="T43" i="9"/>
  <c r="T47" i="9"/>
  <c r="U9" i="9"/>
  <c r="U10" i="9"/>
  <c r="U11" i="9"/>
  <c r="T12" i="9"/>
  <c r="U12" i="9"/>
  <c r="T13" i="9"/>
  <c r="S15" i="9"/>
  <c r="T46" i="9"/>
  <c r="U46" i="9" s="1"/>
  <c r="Q7" i="9"/>
  <c r="CZ16" i="9"/>
  <c r="DA16" i="9" s="1"/>
  <c r="CZ15" i="9"/>
  <c r="CZ12" i="9"/>
  <c r="DA12" i="9" s="1"/>
  <c r="DD12" i="9"/>
  <c r="DE12" i="9" s="1"/>
  <c r="P9" i="9"/>
  <c r="Q9" i="9" s="1"/>
  <c r="P10" i="9"/>
  <c r="Q10" i="9" s="1"/>
  <c r="M49" i="9"/>
  <c r="M23" i="9"/>
  <c r="M25" i="9"/>
  <c r="M27" i="9"/>
  <c r="M29" i="9"/>
  <c r="M31" i="9"/>
  <c r="M33" i="9"/>
  <c r="M35" i="9"/>
  <c r="M37" i="9"/>
  <c r="M39" i="9"/>
  <c r="M41" i="9"/>
  <c r="M43" i="9"/>
  <c r="M45" i="9"/>
  <c r="M47" i="9"/>
  <c r="M9" i="9"/>
  <c r="M10" i="9"/>
  <c r="K11" i="9"/>
  <c r="K51" i="9" s="1"/>
  <c r="M12" i="9"/>
  <c r="M13" i="9"/>
  <c r="M14" i="9"/>
  <c r="M15" i="9"/>
  <c r="M16" i="9"/>
  <c r="M17" i="9"/>
  <c r="M18" i="9"/>
  <c r="M19" i="9"/>
  <c r="M20" i="9"/>
  <c r="M21" i="9"/>
  <c r="M22" i="9"/>
  <c r="M24" i="9"/>
  <c r="M26" i="9"/>
  <c r="M28" i="9"/>
  <c r="M30" i="9"/>
  <c r="M32" i="9"/>
  <c r="M34" i="9"/>
  <c r="M36" i="9"/>
  <c r="M38" i="9"/>
  <c r="M40" i="9"/>
  <c r="M42" i="9"/>
  <c r="M44" i="9"/>
  <c r="M46" i="9"/>
  <c r="M48" i="9"/>
  <c r="L51" i="9"/>
  <c r="G9" i="9"/>
  <c r="H9" i="9"/>
  <c r="H10" i="9"/>
  <c r="I10" i="9"/>
  <c r="I12" i="9"/>
  <c r="I13" i="9"/>
  <c r="I16" i="9"/>
  <c r="I27" i="9"/>
  <c r="I32" i="9"/>
  <c r="I33" i="9"/>
  <c r="I44" i="9"/>
  <c r="I45" i="9"/>
  <c r="I47" i="9"/>
  <c r="F51" i="9"/>
  <c r="E51" i="9"/>
  <c r="D51" i="9"/>
  <c r="C51" i="9"/>
  <c r="DE9" i="9"/>
  <c r="DE10" i="9"/>
  <c r="DE11" i="9"/>
  <c r="DE13" i="9"/>
  <c r="DE14" i="9"/>
  <c r="DE15" i="9"/>
  <c r="DE16" i="9"/>
  <c r="DE17" i="9"/>
  <c r="DE18" i="9"/>
  <c r="DE19" i="9"/>
  <c r="DE20" i="9"/>
  <c r="DE21" i="9"/>
  <c r="DE22" i="9"/>
  <c r="DE23" i="9"/>
  <c r="DE24" i="9"/>
  <c r="DE25" i="9"/>
  <c r="DE26" i="9"/>
  <c r="DE27" i="9"/>
  <c r="DE28" i="9"/>
  <c r="DE29" i="9"/>
  <c r="DE30" i="9"/>
  <c r="DE31" i="9"/>
  <c r="DE32" i="9"/>
  <c r="DE33" i="9"/>
  <c r="DE34" i="9"/>
  <c r="DE35" i="9"/>
  <c r="DE36" i="9"/>
  <c r="DE37" i="9"/>
  <c r="DE38" i="9"/>
  <c r="DE39" i="9"/>
  <c r="DE40" i="9"/>
  <c r="DE41" i="9"/>
  <c r="DE42" i="9"/>
  <c r="DE43" i="9"/>
  <c r="DE44" i="9"/>
  <c r="DE45" i="9"/>
  <c r="DE46" i="9"/>
  <c r="DE47" i="9"/>
  <c r="DE48" i="9"/>
  <c r="DD51" i="9"/>
  <c r="DC51" i="9"/>
  <c r="DA9" i="9"/>
  <c r="DA10" i="9"/>
  <c r="DA21" i="9"/>
  <c r="P7" i="9"/>
  <c r="Q6" i="9"/>
  <c r="P6" i="9"/>
  <c r="O6" i="9"/>
  <c r="CR42" i="9"/>
  <c r="CS42" i="9" s="1"/>
  <c r="CB42" i="9"/>
  <c r="CC42" i="9" s="1"/>
  <c r="AN42" i="9"/>
  <c r="AO42" i="9" s="1"/>
  <c r="AJ42" i="9"/>
  <c r="AK42" i="9" s="1"/>
  <c r="AF42" i="9"/>
  <c r="AG42" i="9" s="1"/>
  <c r="X42" i="9"/>
  <c r="Y42" i="9" s="1"/>
  <c r="BD42" i="9"/>
  <c r="BE42" i="9" s="1"/>
  <c r="AB42" i="9"/>
  <c r="AC42" i="9" s="1"/>
  <c r="CV42" i="9"/>
  <c r="CW42" i="9" s="1"/>
  <c r="CJ42" i="9"/>
  <c r="CK42" i="9" s="1"/>
  <c r="BX42" i="9"/>
  <c r="BY42" i="9" s="1"/>
  <c r="CF42" i="9"/>
  <c r="CG42" i="9" s="1"/>
  <c r="BP42" i="9"/>
  <c r="BQ42" i="9" s="1"/>
  <c r="CM13" i="9"/>
  <c r="CI13" i="9"/>
  <c r="CE13" i="9"/>
  <c r="W13" i="9"/>
  <c r="AU13" i="9"/>
  <c r="AY13" i="9"/>
  <c r="G51" i="9"/>
  <c r="CN37" i="9"/>
  <c r="CJ37" i="9"/>
  <c r="CF37" i="9"/>
  <c r="BX37" i="9"/>
  <c r="BP37" i="9"/>
  <c r="BH37" i="9"/>
  <c r="BD37" i="9"/>
  <c r="AN37" i="9"/>
  <c r="CV37" i="9"/>
  <c r="AV37" i="9"/>
  <c r="AJ29" i="9"/>
  <c r="AK29" i="9" s="1"/>
  <c r="X29" i="9"/>
  <c r="T14" i="9"/>
  <c r="U14" i="9" s="1"/>
  <c r="CN14" i="9"/>
  <c r="CO14" i="9" s="1"/>
  <c r="CR34" i="9"/>
  <c r="CS34" i="9" s="1"/>
  <c r="BT34" i="9"/>
  <c r="BU34" i="9" s="1"/>
  <c r="BH34" i="9"/>
  <c r="BI34" i="9" s="1"/>
  <c r="AZ34" i="9"/>
  <c r="BA34" i="9" s="1"/>
  <c r="AN34" i="9"/>
  <c r="AO34" i="9" s="1"/>
  <c r="AF34" i="9"/>
  <c r="AG34" i="9" s="1"/>
  <c r="CB32" i="9"/>
  <c r="CC32" i="9" s="1"/>
  <c r="BL32" i="9"/>
  <c r="BM32" i="9" s="1"/>
  <c r="BH32" i="9"/>
  <c r="BI32" i="9" s="1"/>
  <c r="AZ32" i="9"/>
  <c r="BA32" i="9" s="1"/>
  <c r="CF32" i="9"/>
  <c r="CG32" i="9" s="1"/>
  <c r="BD32" i="9"/>
  <c r="BE32" i="9" s="1"/>
  <c r="AB32" i="9"/>
  <c r="AC32" i="9" s="1"/>
  <c r="CN21" i="9"/>
  <c r="CJ21" i="9"/>
  <c r="CF21" i="9"/>
  <c r="BX21" i="9"/>
  <c r="BP21" i="9"/>
  <c r="CR21" i="9"/>
  <c r="BH21" i="9"/>
  <c r="BD21" i="9"/>
  <c r="AN21" i="9"/>
  <c r="AJ21" i="9"/>
  <c r="AF21" i="9"/>
  <c r="X21" i="9"/>
  <c r="BT48" i="9"/>
  <c r="BU48" i="9" s="1"/>
  <c r="BL48" i="9"/>
  <c r="BM48" i="9"/>
  <c r="BH48" i="9"/>
  <c r="BI48" i="9" s="1"/>
  <c r="AJ48" i="9"/>
  <c r="AK48" i="9" s="1"/>
  <c r="CN48" i="9"/>
  <c r="CO48" i="9" s="1"/>
  <c r="CF48" i="9"/>
  <c r="CG48" i="9" s="1"/>
  <c r="BP48" i="9"/>
  <c r="BQ48" i="9" s="1"/>
  <c r="AA45" i="9"/>
  <c r="AE45" i="9"/>
  <c r="BK45" i="9"/>
  <c r="CA45" i="9"/>
  <c r="CQ45" i="9"/>
  <c r="AY45" i="9"/>
  <c r="BC45" i="9"/>
  <c r="AI45" i="9"/>
  <c r="BG45" i="9"/>
  <c r="BI45" i="9" s="1"/>
  <c r="I48" i="9"/>
  <c r="I21" i="9"/>
  <c r="T21" i="9"/>
  <c r="AR21" i="9"/>
  <c r="AV21" i="9"/>
  <c r="CF34" i="9"/>
  <c r="CG34" i="9" s="1"/>
  <c r="CJ45" i="9"/>
  <c r="CF45" i="9"/>
  <c r="BP45" i="9"/>
  <c r="BQ45" i="9" s="1"/>
  <c r="BH45" i="9"/>
  <c r="BT26" i="9"/>
  <c r="BU26" i="9" s="1"/>
  <c r="BL26" i="9"/>
  <c r="BM26" i="9" s="1"/>
  <c r="BH26" i="9"/>
  <c r="BI26" i="9" s="1"/>
  <c r="BX24" i="9"/>
  <c r="BY24" i="9" s="1"/>
  <c r="AB24" i="9"/>
  <c r="AC24" i="9" s="1"/>
  <c r="CV16" i="9"/>
  <c r="CW16" i="9" s="1"/>
  <c r="CN16" i="9"/>
  <c r="CO16" i="9" s="1"/>
  <c r="CJ16" i="9"/>
  <c r="CK16" i="9"/>
  <c r="BX16" i="9"/>
  <c r="BY16" i="9" s="1"/>
  <c r="AN16" i="9"/>
  <c r="AO16" i="9" s="1"/>
  <c r="AJ16" i="9"/>
  <c r="AK16" i="9" s="1"/>
  <c r="AF16" i="9"/>
  <c r="X16" i="9"/>
  <c r="CU45" i="9"/>
  <c r="W33" i="9"/>
  <c r="Y33" i="9" s="1"/>
  <c r="AM33" i="9"/>
  <c r="BC33" i="9"/>
  <c r="BS33" i="9"/>
  <c r="CI33" i="9"/>
  <c r="AY33" i="9"/>
  <c r="BA33" i="9"/>
  <c r="CA33" i="9"/>
  <c r="AE33" i="9"/>
  <c r="AI23" i="9"/>
  <c r="AY23" i="9"/>
  <c r="BO23" i="9"/>
  <c r="CI23" i="9"/>
  <c r="AA23" i="9"/>
  <c r="BG23" i="9"/>
  <c r="CM23" i="9"/>
  <c r="CV18" i="9"/>
  <c r="CW18" i="9" s="1"/>
  <c r="CQ27" i="9"/>
  <c r="AE21" i="9"/>
  <c r="AG21" i="9" s="1"/>
  <c r="AY21" i="9"/>
  <c r="BA21" i="9" s="1"/>
  <c r="BO21" i="9"/>
  <c r="CU21" i="9"/>
  <c r="CW21" i="9" s="1"/>
  <c r="W21" i="9"/>
  <c r="AU21" i="9"/>
  <c r="BS21" i="9"/>
  <c r="BU21" i="9" s="1"/>
  <c r="S21" i="9"/>
  <c r="BW21" i="9"/>
  <c r="AQ21" i="9"/>
  <c r="BG15" i="9"/>
  <c r="CR46" i="9"/>
  <c r="CS46" i="9" s="1"/>
  <c r="CB46" i="9"/>
  <c r="CC46" i="9" s="1"/>
  <c r="AZ46" i="9"/>
  <c r="BA46" i="9" s="1"/>
  <c r="CV44" i="9"/>
  <c r="CW44" i="9"/>
  <c r="CR44" i="9"/>
  <c r="CS44" i="9" s="1"/>
  <c r="BL44" i="9"/>
  <c r="BM44" i="9"/>
  <c r="BH44" i="9"/>
  <c r="BI44" i="9" s="1"/>
  <c r="BL36" i="9"/>
  <c r="BM36" i="9" s="1"/>
  <c r="CN33" i="9"/>
  <c r="CJ33" i="9"/>
  <c r="CF33" i="9"/>
  <c r="BX33" i="9"/>
  <c r="BP33" i="9"/>
  <c r="CV28" i="9"/>
  <c r="CW28" i="9" s="1"/>
  <c r="CN25" i="9"/>
  <c r="BP25" i="9"/>
  <c r="CB22" i="9"/>
  <c r="CC22" i="9" s="1"/>
  <c r="BT22" i="9"/>
  <c r="BU22" i="9" s="1"/>
  <c r="BL22" i="9"/>
  <c r="BM22" i="9" s="1"/>
  <c r="BH22" i="9"/>
  <c r="BI22" i="9"/>
  <c r="CV20" i="9"/>
  <c r="CW20" i="9" s="1"/>
  <c r="BT20" i="9"/>
  <c r="BU20" i="9" s="1"/>
  <c r="BL20" i="9"/>
  <c r="BM20" i="9"/>
  <c r="CV12" i="9"/>
  <c r="CW12" i="9"/>
  <c r="BT12" i="9"/>
  <c r="BU12" i="9" s="1"/>
  <c r="BL12" i="9"/>
  <c r="BM12" i="9" s="1"/>
  <c r="BH12" i="9"/>
  <c r="BI12" i="9"/>
  <c r="AZ12" i="9"/>
  <c r="BA12" i="9" s="1"/>
  <c r="AM47" i="9"/>
  <c r="AO47" i="9" s="1"/>
  <c r="AI47" i="9"/>
  <c r="AE47" i="9"/>
  <c r="S47" i="9"/>
  <c r="BC47" i="9"/>
  <c r="CI47" i="9"/>
  <c r="AQ47" i="9"/>
  <c r="W47" i="9"/>
  <c r="BK47" i="9"/>
  <c r="CE47" i="9"/>
  <c r="T22" i="9"/>
  <c r="U22" i="9" s="1"/>
  <c r="BK21" i="9"/>
  <c r="AI21" i="9"/>
  <c r="AM49" i="9"/>
  <c r="AI49" i="9"/>
  <c r="AE49" i="9"/>
  <c r="AE39" i="9"/>
  <c r="W39" i="9"/>
  <c r="AU39" i="9"/>
  <c r="BW35" i="9"/>
  <c r="CM35" i="9"/>
  <c r="AA39" i="9"/>
  <c r="CK33" i="9"/>
  <c r="Y39" i="9" l="1"/>
  <c r="BP40" i="9"/>
  <c r="BQ40" i="9" s="1"/>
  <c r="BX40" i="9"/>
  <c r="BY40" i="9" s="1"/>
  <c r="AJ40" i="9"/>
  <c r="AK40" i="9" s="1"/>
  <c r="BD40" i="9"/>
  <c r="BE40" i="9" s="1"/>
  <c r="AB40" i="9"/>
  <c r="AC40" i="9" s="1"/>
  <c r="T40" i="9"/>
  <c r="U40" i="9" s="1"/>
  <c r="AR40" i="9"/>
  <c r="AS40" i="9" s="1"/>
  <c r="CF18" i="9"/>
  <c r="CG18" i="9" s="1"/>
  <c r="CR18" i="9"/>
  <c r="CS18" i="9" s="1"/>
  <c r="BX18" i="9"/>
  <c r="BY18" i="9" s="1"/>
  <c r="CB18" i="9"/>
  <c r="AN18" i="9"/>
  <c r="AO18" i="9" s="1"/>
  <c r="BT18" i="9"/>
  <c r="BU18" i="9" s="1"/>
  <c r="CU11" i="9"/>
  <c r="BG11" i="9"/>
  <c r="CY11" i="9"/>
  <c r="I11" i="9"/>
  <c r="CI11" i="9"/>
  <c r="AQ11" i="9"/>
  <c r="AS11" i="9" s="1"/>
  <c r="AU11" i="9"/>
  <c r="AW11" i="9" s="1"/>
  <c r="AI11" i="9"/>
  <c r="AK11" i="9" s="1"/>
  <c r="CS27" i="9"/>
  <c r="CE11" i="9"/>
  <c r="BS19" i="9"/>
  <c r="AU19" i="9"/>
  <c r="BC31" i="9"/>
  <c r="BT41" i="9"/>
  <c r="BT29" i="9"/>
  <c r="CF29" i="9"/>
  <c r="BD29" i="9"/>
  <c r="CB29" i="9"/>
  <c r="AR29" i="9"/>
  <c r="AM41" i="9"/>
  <c r="AO41" i="9" s="1"/>
  <c r="AA41" i="9"/>
  <c r="AE41" i="9"/>
  <c r="S41" i="9"/>
  <c r="BG41" i="9"/>
  <c r="BW41" i="9"/>
  <c r="BY41" i="9" s="1"/>
  <c r="BT36" i="9"/>
  <c r="BU36" i="9" s="1"/>
  <c r="BP28" i="9"/>
  <c r="BQ28" i="9" s="1"/>
  <c r="BT28" i="9"/>
  <c r="BU28" i="9" s="1"/>
  <c r="BL28" i="9"/>
  <c r="BM28" i="9" s="1"/>
  <c r="T28" i="9"/>
  <c r="U28" i="9" s="1"/>
  <c r="BH28" i="9"/>
  <c r="BI28" i="9" s="1"/>
  <c r="AV28" i="9"/>
  <c r="AW28" i="9" s="1"/>
  <c r="AZ28" i="9"/>
  <c r="BA28" i="9" s="1"/>
  <c r="X28" i="9"/>
  <c r="Y28" i="9" s="1"/>
  <c r="AN28" i="9"/>
  <c r="AO28" i="9" s="1"/>
  <c r="CN28" i="9"/>
  <c r="CO28" i="9" s="1"/>
  <c r="CA27" i="9"/>
  <c r="S27" i="9"/>
  <c r="U27" i="9" s="1"/>
  <c r="AA27" i="9"/>
  <c r="AC27" i="9" s="1"/>
  <c r="BC27" i="9"/>
  <c r="BE27" i="9" s="1"/>
  <c r="AQ27" i="9"/>
  <c r="AS27" i="9" s="1"/>
  <c r="CI27" i="9"/>
  <c r="CK27" i="9" s="1"/>
  <c r="BW27" i="9"/>
  <c r="BY27" i="9" s="1"/>
  <c r="BK27" i="9"/>
  <c r="CM27" i="9"/>
  <c r="AI27" i="9"/>
  <c r="CE27" i="9"/>
  <c r="BG27" i="9"/>
  <c r="AY27" i="9"/>
  <c r="BS27" i="9"/>
  <c r="CM41" i="9"/>
  <c r="CB28" i="9"/>
  <c r="CC28" i="9" s="1"/>
  <c r="CB36" i="9"/>
  <c r="CC36" i="9" s="1"/>
  <c r="CZ18" i="9"/>
  <c r="DA18" i="9" s="1"/>
  <c r="AE27" i="9"/>
  <c r="AG27" i="9" s="1"/>
  <c r="S39" i="9"/>
  <c r="U39" i="9" s="1"/>
  <c r="BK39" i="9"/>
  <c r="CA39" i="9"/>
  <c r="BW39" i="9"/>
  <c r="CE39" i="9"/>
  <c r="CI39" i="9"/>
  <c r="CA25" i="9"/>
  <c r="AQ41" i="9"/>
  <c r="CR28" i="9"/>
  <c r="CS28" i="9" s="1"/>
  <c r="BD18" i="9"/>
  <c r="BE18" i="9" s="1"/>
  <c r="BW25" i="9"/>
  <c r="AK23" i="9"/>
  <c r="I9" i="9"/>
  <c r="BL41" i="9"/>
  <c r="AB41" i="9"/>
  <c r="AC41" i="9" s="1"/>
  <c r="T41" i="9"/>
  <c r="CN41" i="9"/>
  <c r="CF41" i="9"/>
  <c r="BP41" i="9"/>
  <c r="AV41" i="9"/>
  <c r="AA31" i="9"/>
  <c r="CC15" i="9"/>
  <c r="BH36" i="9"/>
  <c r="BI36" i="9" s="1"/>
  <c r="AR36" i="9"/>
  <c r="AS36" i="9" s="1"/>
  <c r="AB36" i="9"/>
  <c r="AC36" i="9" s="1"/>
  <c r="CF36" i="9"/>
  <c r="CG36" i="9" s="1"/>
  <c r="T36" i="9"/>
  <c r="U36" i="9" s="1"/>
  <c r="AF36" i="9"/>
  <c r="AG36" i="9" s="1"/>
  <c r="CV36" i="9"/>
  <c r="CW36" i="9" s="1"/>
  <c r="CF24" i="9"/>
  <c r="CG24" i="9" s="1"/>
  <c r="CR24" i="9"/>
  <c r="CS24" i="9" s="1"/>
  <c r="BH24" i="9"/>
  <c r="BI24" i="9" s="1"/>
  <c r="CB24" i="9"/>
  <c r="CC24" i="9" s="1"/>
  <c r="BL24" i="9"/>
  <c r="BM24" i="9" s="1"/>
  <c r="AF24" i="9"/>
  <c r="AG24" i="9" s="1"/>
  <c r="BP24" i="9"/>
  <c r="BQ24" i="9" s="1"/>
  <c r="AZ24" i="9"/>
  <c r="BA24" i="9" s="1"/>
  <c r="CJ24" i="9"/>
  <c r="CK24" i="9" s="1"/>
  <c r="I24" i="9"/>
  <c r="AF15" i="9"/>
  <c r="AG15" i="9" s="1"/>
  <c r="X15" i="9"/>
  <c r="BT15" i="9"/>
  <c r="AN15" i="9"/>
  <c r="I15" i="9"/>
  <c r="AB15" i="9"/>
  <c r="BX15" i="9"/>
  <c r="AR15" i="9"/>
  <c r="AB49" i="9"/>
  <c r="CJ49" i="9"/>
  <c r="CK49" i="9" s="1"/>
  <c r="CU31" i="9"/>
  <c r="BH29" i="9"/>
  <c r="X24" i="9"/>
  <c r="Y24" i="9" s="1"/>
  <c r="AJ15" i="9"/>
  <c r="AU31" i="9"/>
  <c r="AV15" i="9"/>
  <c r="BD11" i="9"/>
  <c r="BE11" i="9" s="1"/>
  <c r="BH11" i="9"/>
  <c r="BI11" i="9" s="1"/>
  <c r="AR11" i="9"/>
  <c r="P11" i="9" s="1"/>
  <c r="CN11" i="9"/>
  <c r="CO11" i="9" s="1"/>
  <c r="CJ11" i="9"/>
  <c r="AV11" i="9"/>
  <c r="CF11" i="9"/>
  <c r="CG11" i="9" s="1"/>
  <c r="AI25" i="9"/>
  <c r="AQ25" i="9"/>
  <c r="AM25" i="9"/>
  <c r="AO25" i="9" s="1"/>
  <c r="BK25" i="9"/>
  <c r="BC25" i="9"/>
  <c r="BO25" i="9"/>
  <c r="BQ25" i="9" s="1"/>
  <c r="BS25" i="9"/>
  <c r="AZ11" i="9"/>
  <c r="W25" i="9"/>
  <c r="I40" i="9"/>
  <c r="W31" i="9"/>
  <c r="BS31" i="9"/>
  <c r="CI31" i="9"/>
  <c r="AM31" i="9"/>
  <c r="BK31" i="9"/>
  <c r="CQ31" i="9"/>
  <c r="AI31" i="9"/>
  <c r="AY31" i="9"/>
  <c r="BO31" i="9"/>
  <c r="CR30" i="9"/>
  <c r="CS30" i="9" s="1"/>
  <c r="CB30" i="9"/>
  <c r="CC30" i="9" s="1"/>
  <c r="BP30" i="9"/>
  <c r="BQ30" i="9" s="1"/>
  <c r="AN30" i="9"/>
  <c r="AO30" i="9" s="1"/>
  <c r="AZ30" i="9"/>
  <c r="BA30" i="9" s="1"/>
  <c r="CG37" i="9"/>
  <c r="CE19" i="9"/>
  <c r="CG19" i="9" s="1"/>
  <c r="CV11" i="9"/>
  <c r="CU19" i="9"/>
  <c r="AJ11" i="9"/>
  <c r="CB40" i="9"/>
  <c r="CC40" i="9" s="1"/>
  <c r="CZ11" i="9"/>
  <c r="BX36" i="9"/>
  <c r="BY36" i="9" s="1"/>
  <c r="BM45" i="9"/>
  <c r="BH46" i="9"/>
  <c r="BI46" i="9" s="1"/>
  <c r="AE23" i="9"/>
  <c r="I23" i="9"/>
  <c r="CZ17" i="9"/>
  <c r="AF46" i="9"/>
  <c r="AG46" i="9" s="1"/>
  <c r="BD46" i="9"/>
  <c r="BE46" i="9" s="1"/>
  <c r="BL35" i="9"/>
  <c r="BP27" i="9"/>
  <c r="CN27" i="9"/>
  <c r="CO27" i="9" s="1"/>
  <c r="CQ21" i="9"/>
  <c r="CS21" i="9" s="1"/>
  <c r="AZ20" i="9"/>
  <c r="BA20" i="9" s="1"/>
  <c r="CR22" i="9"/>
  <c r="CS22" i="9" s="1"/>
  <c r="BT46" i="9"/>
  <c r="BU46" i="9" s="1"/>
  <c r="CM21" i="9"/>
  <c r="CO21" i="9" s="1"/>
  <c r="BC23" i="9"/>
  <c r="BE23" i="9" s="1"/>
  <c r="CC33" i="9"/>
  <c r="CR45" i="9"/>
  <c r="CS45" i="9" s="1"/>
  <c r="AM45" i="9"/>
  <c r="BP32" i="9"/>
  <c r="BQ32" i="9" s="1"/>
  <c r="BL34" i="9"/>
  <c r="BM34" i="9" s="1"/>
  <c r="AI13" i="9"/>
  <c r="AK13" i="9" s="1"/>
  <c r="I49" i="9"/>
  <c r="I20" i="9"/>
  <c r="X39" i="9"/>
  <c r="AF35" i="9"/>
  <c r="AQ15" i="9"/>
  <c r="AV39" i="9"/>
  <c r="AW39" i="9" s="1"/>
  <c r="BD44" i="9"/>
  <c r="BE44" i="9" s="1"/>
  <c r="BH39" i="9"/>
  <c r="BL33" i="9"/>
  <c r="BT17" i="9"/>
  <c r="BX12" i="9"/>
  <c r="BY12" i="9" s="1"/>
  <c r="CN17" i="9"/>
  <c r="BK23" i="9"/>
  <c r="BM23" i="9" s="1"/>
  <c r="AJ39" i="9"/>
  <c r="AR39" i="9"/>
  <c r="BD27" i="9"/>
  <c r="BH27" i="9"/>
  <c r="CJ27" i="9"/>
  <c r="CR27" i="9"/>
  <c r="CM37" i="9"/>
  <c r="CO37" i="9" s="1"/>
  <c r="I29" i="9"/>
  <c r="BG35" i="9"/>
  <c r="BI35" i="9" s="1"/>
  <c r="CB20" i="9"/>
  <c r="CC20" i="9" s="1"/>
  <c r="AQ23" i="9"/>
  <c r="CN45" i="9"/>
  <c r="CE45" i="9"/>
  <c r="CG45" i="9" s="1"/>
  <c r="BH14" i="9"/>
  <c r="BI14" i="9" s="1"/>
  <c r="I43" i="9"/>
  <c r="X17" i="9"/>
  <c r="AB43" i="9"/>
  <c r="AF17" i="9"/>
  <c r="AJ35" i="9"/>
  <c r="AV27" i="9"/>
  <c r="BD23" i="9"/>
  <c r="CB43" i="9"/>
  <c r="CF35" i="9"/>
  <c r="CJ23" i="9"/>
  <c r="CR23" i="9"/>
  <c r="CE37" i="9"/>
  <c r="CM15" i="9"/>
  <c r="BC49" i="9"/>
  <c r="CU23" i="9"/>
  <c r="BI37" i="9"/>
  <c r="I37" i="9"/>
  <c r="T23" i="9"/>
  <c r="T39" i="9"/>
  <c r="AZ27" i="9"/>
  <c r="BD17" i="9"/>
  <c r="BH17" i="9"/>
  <c r="BP46" i="9"/>
  <c r="BQ46" i="9" s="1"/>
  <c r="BG37" i="9"/>
  <c r="AZ22" i="9"/>
  <c r="BA22" i="9" s="1"/>
  <c r="BO15" i="9"/>
  <c r="CE21" i="9"/>
  <c r="CG21" i="9" s="1"/>
  <c r="CE23" i="9"/>
  <c r="CG23" i="9" s="1"/>
  <c r="AO33" i="9"/>
  <c r="CJ32" i="9"/>
  <c r="CK32" i="9" s="1"/>
  <c r="BS45" i="9"/>
  <c r="BY21" i="9"/>
  <c r="CR14" i="9"/>
  <c r="CS14" i="9" s="1"/>
  <c r="T17" i="9"/>
  <c r="AB39" i="9"/>
  <c r="AC39" i="9" s="1"/>
  <c r="AJ23" i="9"/>
  <c r="AJ27" i="9"/>
  <c r="AV17" i="9"/>
  <c r="BT47" i="9"/>
  <c r="CB27" i="9"/>
  <c r="CR17" i="9"/>
  <c r="BC37" i="9"/>
  <c r="BE37" i="9" s="1"/>
  <c r="CN38" i="9"/>
  <c r="CO38" i="9" s="1"/>
  <c r="CV38" i="9"/>
  <c r="CW38" i="9" s="1"/>
  <c r="CF38" i="9"/>
  <c r="CG38" i="9" s="1"/>
  <c r="CB38" i="9"/>
  <c r="CC38" i="9" s="1"/>
  <c r="CJ38" i="9"/>
  <c r="CK38" i="9" s="1"/>
  <c r="AV38" i="9"/>
  <c r="AW38" i="9" s="1"/>
  <c r="AJ38" i="9"/>
  <c r="AK38" i="9" s="1"/>
  <c r="BD38" i="9"/>
  <c r="BE38" i="9" s="1"/>
  <c r="CV26" i="9"/>
  <c r="CW26" i="9" s="1"/>
  <c r="BD26" i="9"/>
  <c r="BE26" i="9" s="1"/>
  <c r="CR26" i="9"/>
  <c r="CS26" i="9" s="1"/>
  <c r="CN26" i="9"/>
  <c r="CO26" i="9" s="1"/>
  <c r="AR26" i="9"/>
  <c r="AS26" i="9" s="1"/>
  <c r="BX26" i="9"/>
  <c r="BY26" i="9" s="1"/>
  <c r="AN26" i="9"/>
  <c r="AO26" i="9" s="1"/>
  <c r="CB26" i="9"/>
  <c r="CC26" i="9" s="1"/>
  <c r="T26" i="9"/>
  <c r="U26" i="9" s="1"/>
  <c r="CF26" i="9"/>
  <c r="CG26" i="9" s="1"/>
  <c r="AR37" i="9"/>
  <c r="AB37" i="9"/>
  <c r="CB37" i="9"/>
  <c r="BT37" i="9"/>
  <c r="AJ37" i="9"/>
  <c r="CR37" i="9"/>
  <c r="CS37" i="9" s="1"/>
  <c r="CR25" i="9"/>
  <c r="CB25" i="9"/>
  <c r="CC25" i="9" s="1"/>
  <c r="AB25" i="9"/>
  <c r="AJ25" i="9"/>
  <c r="AR25" i="9"/>
  <c r="BT25" i="9"/>
  <c r="X25" i="9"/>
  <c r="Y25" i="9" s="1"/>
  <c r="AV25" i="9"/>
  <c r="CF25" i="9"/>
  <c r="CF16" i="9"/>
  <c r="CG16" i="9" s="1"/>
  <c r="T16" i="9"/>
  <c r="BH16" i="9"/>
  <c r="BI16" i="9" s="1"/>
  <c r="CR16" i="9"/>
  <c r="CS16" i="9" s="1"/>
  <c r="AZ16" i="9"/>
  <c r="BA16" i="9" s="1"/>
  <c r="AR16" i="9"/>
  <c r="AS16" i="9" s="1"/>
  <c r="BL16" i="9"/>
  <c r="BM16" i="9" s="1"/>
  <c r="AV48" i="9"/>
  <c r="AW48" i="9" s="1"/>
  <c r="CB48" i="9"/>
  <c r="CC48" i="9" s="1"/>
  <c r="BD48" i="9"/>
  <c r="BE48" i="9" s="1"/>
  <c r="BX48" i="9"/>
  <c r="BY48" i="9" s="1"/>
  <c r="T48" i="9"/>
  <c r="U48" i="9" s="1"/>
  <c r="CJ48" i="9"/>
  <c r="CK48" i="9" s="1"/>
  <c r="AR48" i="9"/>
  <c r="AS48" i="9" s="1"/>
  <c r="X48" i="9"/>
  <c r="Y48" i="9" s="1"/>
  <c r="AZ48" i="9"/>
  <c r="BA48" i="9" s="1"/>
  <c r="BX25" i="9"/>
  <c r="BY25" i="9" s="1"/>
  <c r="AZ38" i="9"/>
  <c r="BA38" i="9" s="1"/>
  <c r="CB16" i="9"/>
  <c r="CC16" i="9" s="1"/>
  <c r="AN45" i="9"/>
  <c r="BG31" i="9"/>
  <c r="AB48" i="9"/>
  <c r="AC48" i="9" s="1"/>
  <c r="CR48" i="9"/>
  <c r="CS48" i="9" s="1"/>
  <c r="I34" i="9"/>
  <c r="AZ37" i="9"/>
  <c r="BA37" i="9" s="1"/>
  <c r="BL37" i="9"/>
  <c r="BM37" i="9" s="1"/>
  <c r="AB45" i="9"/>
  <c r="AC45" i="9" s="1"/>
  <c r="AV26" i="9"/>
  <c r="AW26" i="9" s="1"/>
  <c r="BL25" i="9"/>
  <c r="BM25" i="9" s="1"/>
  <c r="BX44" i="9"/>
  <c r="BY44" i="9" s="1"/>
  <c r="CJ26" i="9"/>
  <c r="CK26" i="9" s="1"/>
  <c r="CN36" i="9"/>
  <c r="CO36" i="9" s="1"/>
  <c r="CJ36" i="9"/>
  <c r="CK36" i="9" s="1"/>
  <c r="AZ36" i="9"/>
  <c r="BA36" i="9" s="1"/>
  <c r="X36" i="9"/>
  <c r="Y36" i="9" s="1"/>
  <c r="AV36" i="9"/>
  <c r="AW36" i="9" s="1"/>
  <c r="AJ36" i="9"/>
  <c r="AK36" i="9" s="1"/>
  <c r="BD36" i="9"/>
  <c r="BE36" i="9" s="1"/>
  <c r="BP36" i="9"/>
  <c r="BQ36" i="9" s="1"/>
  <c r="I36" i="9"/>
  <c r="CR36" i="9"/>
  <c r="CS36" i="9" s="1"/>
  <c r="AR24" i="9"/>
  <c r="AS24" i="9" s="1"/>
  <c r="AN24" i="9"/>
  <c r="AO24" i="9" s="1"/>
  <c r="AV24" i="9"/>
  <c r="AW24" i="9" s="1"/>
  <c r="CN24" i="9"/>
  <c r="CO24" i="9" s="1"/>
  <c r="T24" i="9"/>
  <c r="U24" i="9" s="1"/>
  <c r="BT24" i="9"/>
  <c r="BU24" i="9" s="1"/>
  <c r="CV15" i="9"/>
  <c r="T15" i="9"/>
  <c r="U15" i="9" s="1"/>
  <c r="CF15" i="9"/>
  <c r="CN15" i="9"/>
  <c r="CO15" i="9" s="1"/>
  <c r="BP15" i="9"/>
  <c r="BH15" i="9"/>
  <c r="BI15" i="9" s="1"/>
  <c r="BL15" i="9"/>
  <c r="AZ15" i="9"/>
  <c r="CJ15" i="9"/>
  <c r="BD15" i="9"/>
  <c r="AJ49" i="9"/>
  <c r="AK49" i="9" s="1"/>
  <c r="BD49" i="9"/>
  <c r="BX49" i="9"/>
  <c r="AN49" i="9"/>
  <c r="AO49" i="9" s="1"/>
  <c r="AZ49" i="9"/>
  <c r="CB49" i="9"/>
  <c r="BW31" i="9"/>
  <c r="U41" i="9"/>
  <c r="CJ25" i="9"/>
  <c r="CK25" i="9" s="1"/>
  <c r="BH38" i="9"/>
  <c r="BI38" i="9" s="1"/>
  <c r="BI27" i="9"/>
  <c r="BP16" i="9"/>
  <c r="BQ16" i="9" s="1"/>
  <c r="BD24" i="9"/>
  <c r="BE24" i="9" s="1"/>
  <c r="AV34" i="9"/>
  <c r="AW34" i="9" s="1"/>
  <c r="CM31" i="9"/>
  <c r="T37" i="9"/>
  <c r="U37" i="9" s="1"/>
  <c r="I25" i="9"/>
  <c r="X37" i="9"/>
  <c r="AJ24" i="9"/>
  <c r="AK24" i="9" s="1"/>
  <c r="AR49" i="9"/>
  <c r="BD25" i="9"/>
  <c r="BP26" i="9"/>
  <c r="BQ26" i="9" s="1"/>
  <c r="BX38" i="9"/>
  <c r="BY38" i="9" s="1"/>
  <c r="AB46" i="9"/>
  <c r="AC46" i="9" s="1"/>
  <c r="I46" i="9"/>
  <c r="CJ46" i="9"/>
  <c r="CK46" i="9" s="1"/>
  <c r="CF46" i="9"/>
  <c r="CG46" i="9" s="1"/>
  <c r="AJ46" i="9"/>
  <c r="AK46" i="9" s="1"/>
  <c r="BL46" i="9"/>
  <c r="BM46" i="9" s="1"/>
  <c r="CN35" i="9"/>
  <c r="CO35" i="9" s="1"/>
  <c r="AZ35" i="9"/>
  <c r="AV35" i="9"/>
  <c r="T35" i="9"/>
  <c r="U35" i="9" s="1"/>
  <c r="AN35" i="9"/>
  <c r="CB35" i="9"/>
  <c r="BD35" i="9"/>
  <c r="AB35" i="9"/>
  <c r="BT35" i="9"/>
  <c r="BP35" i="9"/>
  <c r="BX35" i="9"/>
  <c r="BY35" i="9" s="1"/>
  <c r="X35" i="9"/>
  <c r="CV23" i="9"/>
  <c r="CW23" i="9" s="1"/>
  <c r="AR23" i="9"/>
  <c r="AN23" i="9"/>
  <c r="AF23" i="9"/>
  <c r="BT23" i="9"/>
  <c r="BX23" i="9"/>
  <c r="AV23" i="9"/>
  <c r="CN23" i="9"/>
  <c r="CO23" i="9" s="1"/>
  <c r="BP23" i="9"/>
  <c r="BQ23" i="9" s="1"/>
  <c r="BL23" i="9"/>
  <c r="BH23" i="9"/>
  <c r="BI23" i="9" s="1"/>
  <c r="AB23" i="9"/>
  <c r="AC23" i="9" s="1"/>
  <c r="CU15" i="9"/>
  <c r="CW15" i="9" s="1"/>
  <c r="CE15" i="9"/>
  <c r="BK15" i="9"/>
  <c r="AI15" i="9"/>
  <c r="AK15" i="9" s="1"/>
  <c r="W15" i="9"/>
  <c r="Y15" i="9" s="1"/>
  <c r="CI15" i="9"/>
  <c r="CK15" i="9" s="1"/>
  <c r="CY15" i="9"/>
  <c r="CU49" i="9"/>
  <c r="CW49" i="9" s="1"/>
  <c r="BW49" i="9"/>
  <c r="AO45" i="9"/>
  <c r="CU17" i="9"/>
  <c r="CW17" i="9" s="1"/>
  <c r="BW17" i="9"/>
  <c r="AU17" i="9"/>
  <c r="AW17" i="9" s="1"/>
  <c r="AA17" i="9"/>
  <c r="AC17" i="9" s="1"/>
  <c r="CM17" i="9"/>
  <c r="BO17" i="9"/>
  <c r="BQ17" i="9" s="1"/>
  <c r="S17" i="9"/>
  <c r="CY17" i="9"/>
  <c r="DA17" i="9" s="1"/>
  <c r="I17" i="9"/>
  <c r="BK17" i="9"/>
  <c r="BM17" i="9" s="1"/>
  <c r="AY17" i="9"/>
  <c r="BL38" i="9"/>
  <c r="BM38" i="9" s="1"/>
  <c r="BQ15" i="9"/>
  <c r="AS23" i="9"/>
  <c r="I26" i="9"/>
  <c r="M11" i="9"/>
  <c r="AM17" i="9"/>
  <c r="AO17" i="9" s="1"/>
  <c r="CI17" i="9"/>
  <c r="CK17" i="9" s="1"/>
  <c r="CV45" i="9"/>
  <c r="CW45" i="9" s="1"/>
  <c r="AJ45" i="9"/>
  <c r="AK45" i="9" s="1"/>
  <c r="AZ45" i="9"/>
  <c r="AF45" i="9"/>
  <c r="AG45" i="9" s="1"/>
  <c r="AR45" i="9"/>
  <c r="BX45" i="9"/>
  <c r="CV34" i="9"/>
  <c r="CW34" i="9" s="1"/>
  <c r="CB34" i="9"/>
  <c r="CC34" i="9" s="1"/>
  <c r="BP34" i="9"/>
  <c r="BQ34" i="9" s="1"/>
  <c r="AJ34" i="9"/>
  <c r="AR34" i="9"/>
  <c r="AS34" i="9" s="1"/>
  <c r="CV22" i="9"/>
  <c r="CW22" i="9" s="1"/>
  <c r="AF22" i="9"/>
  <c r="AG22" i="9" s="1"/>
  <c r="BX22" i="9"/>
  <c r="BY22" i="9" s="1"/>
  <c r="AV22" i="9"/>
  <c r="AW22" i="9" s="1"/>
  <c r="CF22" i="9"/>
  <c r="CG22" i="9" s="1"/>
  <c r="CZ14" i="9"/>
  <c r="DA14" i="9" s="1"/>
  <c r="CJ14" i="9"/>
  <c r="CK14" i="9" s="1"/>
  <c r="AQ31" i="9"/>
  <c r="CA31" i="9"/>
  <c r="CE31" i="9"/>
  <c r="CG31" i="9" s="1"/>
  <c r="I31" i="9"/>
  <c r="AE31" i="9"/>
  <c r="DE51" i="9"/>
  <c r="X26" i="9"/>
  <c r="Y26" i="9" s="1"/>
  <c r="CB44" i="9"/>
  <c r="CC44" i="9" s="1"/>
  <c r="T44" i="9"/>
  <c r="U44" i="9" s="1"/>
  <c r="AR44" i="9"/>
  <c r="AS44" i="9" s="1"/>
  <c r="CJ44" i="9"/>
  <c r="CK44" i="9" s="1"/>
  <c r="CF44" i="9"/>
  <c r="CG44" i="9" s="1"/>
  <c r="X44" i="9"/>
  <c r="Y44" i="9" s="1"/>
  <c r="AF44" i="9"/>
  <c r="AG44" i="9" s="1"/>
  <c r="AZ44" i="9"/>
  <c r="BA44" i="9" s="1"/>
  <c r="AG33" i="9"/>
  <c r="U47" i="9"/>
  <c r="BT38" i="9"/>
  <c r="BU38" i="9" s="1"/>
  <c r="BG17" i="9"/>
  <c r="CR38" i="9"/>
  <c r="CS38" i="9" s="1"/>
  <c r="BU45" i="9"/>
  <c r="W17" i="9"/>
  <c r="Y17" i="9" s="1"/>
  <c r="AC15" i="9"/>
  <c r="BC17" i="9"/>
  <c r="BE17" i="9" s="1"/>
  <c r="BS17" i="9"/>
  <c r="AF26" i="9"/>
  <c r="AG26" i="9" s="1"/>
  <c r="M51" i="9"/>
  <c r="AF38" i="9"/>
  <c r="AG38" i="9" s="1"/>
  <c r="AQ17" i="9"/>
  <c r="CA17" i="9"/>
  <c r="CC17" i="9" s="1"/>
  <c r="AJ26" i="9"/>
  <c r="AK26" i="9" s="1"/>
  <c r="AI17" i="9"/>
  <c r="AK17" i="9" s="1"/>
  <c r="CQ17" i="9"/>
  <c r="CS17" i="9" s="1"/>
  <c r="AZ26" i="9"/>
  <c r="BA26" i="9" s="1"/>
  <c r="I38" i="9"/>
  <c r="T38" i="9"/>
  <c r="U38" i="9" s="1"/>
  <c r="AB38" i="9"/>
  <c r="AC38" i="9" s="1"/>
  <c r="AN38" i="9"/>
  <c r="AO38" i="9" s="1"/>
  <c r="AR38" i="9"/>
  <c r="AS38" i="9" s="1"/>
  <c r="CN44" i="9"/>
  <c r="CO44" i="9" s="1"/>
  <c r="AS25" i="9"/>
  <c r="CO41" i="9"/>
  <c r="AV12" i="9"/>
  <c r="AW12" i="9" s="1"/>
  <c r="CR20" i="9"/>
  <c r="CS20" i="9" s="1"/>
  <c r="W23" i="9"/>
  <c r="Y23" i="9" s="1"/>
  <c r="CI45" i="9"/>
  <c r="CK45" i="9" s="1"/>
  <c r="AU45" i="9"/>
  <c r="CR29" i="9"/>
  <c r="I42" i="9"/>
  <c r="AF12" i="9"/>
  <c r="AG12" i="9" s="1"/>
  <c r="AJ19" i="9"/>
  <c r="AN32" i="9"/>
  <c r="AO32" i="9" s="1"/>
  <c r="AR28" i="9"/>
  <c r="AS28" i="9" s="1"/>
  <c r="AZ19" i="9"/>
  <c r="BT39" i="9"/>
  <c r="BW47" i="9"/>
  <c r="CU37" i="9"/>
  <c r="CW37" i="9" s="1"/>
  <c r="AM37" i="9"/>
  <c r="AO37" i="9" s="1"/>
  <c r="CU27" i="9"/>
  <c r="S25" i="9"/>
  <c r="U25" i="9" s="1"/>
  <c r="AI37" i="9"/>
  <c r="AJ31" i="9"/>
  <c r="AY11" i="9"/>
  <c r="CJ12" i="9"/>
  <c r="CK12" i="9" s="1"/>
  <c r="CI37" i="9"/>
  <c r="CK37" i="9" s="1"/>
  <c r="BS35" i="9"/>
  <c r="AM27" i="9"/>
  <c r="AO27" i="9" s="1"/>
  <c r="BX20" i="9"/>
  <c r="BY20" i="9" s="1"/>
  <c r="BO37" i="9"/>
  <c r="BQ37" i="9" s="1"/>
  <c r="BM33" i="9"/>
  <c r="CQ39" i="9"/>
  <c r="BS47" i="9"/>
  <c r="BU47" i="9" s="1"/>
  <c r="CB12" i="9"/>
  <c r="CC12" i="9" s="1"/>
  <c r="BH20" i="9"/>
  <c r="BI20" i="9" s="1"/>
  <c r="AW21" i="9"/>
  <c r="CA23" i="9"/>
  <c r="CC23" i="9" s="1"/>
  <c r="S23" i="9"/>
  <c r="U23" i="9" s="1"/>
  <c r="CM45" i="9"/>
  <c r="BT32" i="9"/>
  <c r="BU32" i="9" s="1"/>
  <c r="T42" i="9"/>
  <c r="U42" i="9" s="1"/>
  <c r="BT42" i="9"/>
  <c r="BU42" i="9" s="1"/>
  <c r="I28" i="9"/>
  <c r="AJ32" i="9"/>
  <c r="AK32" i="9" s="1"/>
  <c r="AJ12" i="9"/>
  <c r="AK12" i="9" s="1"/>
  <c r="AN20" i="9"/>
  <c r="AO20" i="9" s="1"/>
  <c r="AR41" i="9"/>
  <c r="BH41" i="9"/>
  <c r="BI41" i="9" s="1"/>
  <c r="CF12" i="9"/>
  <c r="CG12" i="9" s="1"/>
  <c r="CN12" i="9"/>
  <c r="CO12" i="9" s="1"/>
  <c r="CW47" i="9"/>
  <c r="CU39" i="9"/>
  <c r="CW39" i="9" s="1"/>
  <c r="BK37" i="9"/>
  <c r="CM25" i="9"/>
  <c r="CO25" i="9" s="1"/>
  <c r="BM39" i="9"/>
  <c r="AG17" i="9"/>
  <c r="AN19" i="9"/>
  <c r="Y13" i="9"/>
  <c r="CS39" i="9"/>
  <c r="CF13" i="9"/>
  <c r="AN13" i="9"/>
  <c r="CR13" i="9"/>
  <c r="BT13" i="9"/>
  <c r="AV13" i="9"/>
  <c r="AW13" i="9" s="1"/>
  <c r="BP13" i="9"/>
  <c r="BL13" i="9"/>
  <c r="BX13" i="9"/>
  <c r="CV13" i="9"/>
  <c r="BH13" i="9"/>
  <c r="CB13" i="9"/>
  <c r="CZ13" i="9"/>
  <c r="CJ13" i="9"/>
  <c r="BD13" i="9"/>
  <c r="AZ13" i="9"/>
  <c r="AF13" i="9"/>
  <c r="H51" i="9"/>
  <c r="X13" i="9"/>
  <c r="BW13" i="9"/>
  <c r="BK13" i="9"/>
  <c r="BM13" i="9" s="1"/>
  <c r="BO13" i="9"/>
  <c r="CU13" i="9"/>
  <c r="CQ13" i="9"/>
  <c r="CA13" i="9"/>
  <c r="BG13" i="9"/>
  <c r="S13" i="9"/>
  <c r="BC13" i="9"/>
  <c r="CY13" i="9"/>
  <c r="AE13" i="9"/>
  <c r="AQ13" i="9"/>
  <c r="AS13" i="9" s="1"/>
  <c r="BS13" i="9"/>
  <c r="CV31" i="9"/>
  <c r="CW31" i="9" s="1"/>
  <c r="CN31" i="9"/>
  <c r="AR31" i="9"/>
  <c r="AN31" i="9"/>
  <c r="BT31" i="9"/>
  <c r="BU31" i="9" s="1"/>
  <c r="BD31" i="9"/>
  <c r="BE31" i="9" s="1"/>
  <c r="CJ31" i="9"/>
  <c r="CK31" i="9" s="1"/>
  <c r="BX31" i="9"/>
  <c r="AB31" i="9"/>
  <c r="CF31" i="9"/>
  <c r="X31" i="9"/>
  <c r="Y31" i="9" s="1"/>
  <c r="CR31" i="9"/>
  <c r="CS31" i="9" s="1"/>
  <c r="BP31" i="9"/>
  <c r="AZ31" i="9"/>
  <c r="BA31" i="9" s="1"/>
  <c r="BL31" i="9"/>
  <c r="BM31" i="9" s="1"/>
  <c r="AV31" i="9"/>
  <c r="AF31" i="9"/>
  <c r="BH31" i="9"/>
  <c r="BI31" i="9" s="1"/>
  <c r="CV19" i="9"/>
  <c r="CW19" i="9" s="1"/>
  <c r="BL19" i="9"/>
  <c r="CN19" i="9"/>
  <c r="BD19" i="9"/>
  <c r="CB19" i="9"/>
  <c r="BH19" i="9"/>
  <c r="CJ19" i="9"/>
  <c r="T19" i="9"/>
  <c r="CZ19" i="9"/>
  <c r="BX19" i="9"/>
  <c r="AF19" i="9"/>
  <c r="BT19" i="9"/>
  <c r="BU19" i="9" s="1"/>
  <c r="CR19" i="9"/>
  <c r="AR19" i="9"/>
  <c r="X19" i="9"/>
  <c r="BP19" i="9"/>
  <c r="AV19" i="9"/>
  <c r="AW19" i="9" s="1"/>
  <c r="AB19" i="9"/>
  <c r="BY31" i="9"/>
  <c r="CG13" i="9"/>
  <c r="CK23" i="9"/>
  <c r="T31" i="9"/>
  <c r="CN13" i="9"/>
  <c r="CO13" i="9" s="1"/>
  <c r="U45" i="9"/>
  <c r="BH40" i="9"/>
  <c r="BI40" i="9" s="1"/>
  <c r="AN40" i="9"/>
  <c r="AO40" i="9" s="1"/>
  <c r="AZ40" i="9"/>
  <c r="BA40" i="9" s="1"/>
  <c r="CV40" i="9"/>
  <c r="CW40" i="9" s="1"/>
  <c r="X40" i="9"/>
  <c r="Y40" i="9" s="1"/>
  <c r="AF40" i="9"/>
  <c r="AG40" i="9" s="1"/>
  <c r="CJ40" i="9"/>
  <c r="CK40" i="9" s="1"/>
  <c r="CV30" i="9"/>
  <c r="CW30" i="9" s="1"/>
  <c r="CJ30" i="9"/>
  <c r="CK30" i="9" s="1"/>
  <c r="BD30" i="9"/>
  <c r="BE30" i="9" s="1"/>
  <c r="X30" i="9"/>
  <c r="Y30" i="9" s="1"/>
  <c r="T30" i="9"/>
  <c r="BT30" i="9"/>
  <c r="BU30" i="9" s="1"/>
  <c r="BX30" i="9"/>
  <c r="BY30" i="9" s="1"/>
  <c r="AB30" i="9"/>
  <c r="AC30" i="9" s="1"/>
  <c r="BL30" i="9"/>
  <c r="BM30" i="9" s="1"/>
  <c r="CF30" i="9"/>
  <c r="CG30" i="9" s="1"/>
  <c r="AJ30" i="9"/>
  <c r="AK30" i="9" s="1"/>
  <c r="BH30" i="9"/>
  <c r="BI30" i="9" s="1"/>
  <c r="CN30" i="9"/>
  <c r="CO30" i="9" s="1"/>
  <c r="CA19" i="9"/>
  <c r="BO19" i="9"/>
  <c r="BQ19" i="9" s="1"/>
  <c r="CI19" i="9"/>
  <c r="AE19" i="9"/>
  <c r="S19" i="9"/>
  <c r="BG19" i="9"/>
  <c r="BW19" i="9"/>
  <c r="AY19" i="9"/>
  <c r="AI19" i="9"/>
  <c r="W19" i="9"/>
  <c r="CY19" i="9"/>
  <c r="BC19" i="9"/>
  <c r="BE19" i="9" s="1"/>
  <c r="BK19" i="9"/>
  <c r="CE49" i="9"/>
  <c r="AQ35" i="9"/>
  <c r="AS35" i="9" s="1"/>
  <c r="W49" i="9"/>
  <c r="BK49" i="9"/>
  <c r="BA23" i="9"/>
  <c r="AA33" i="9"/>
  <c r="AC33" i="9" s="1"/>
  <c r="CM19" i="9"/>
  <c r="AF14" i="9"/>
  <c r="AG14" i="9" s="1"/>
  <c r="AS37" i="9"/>
  <c r="AV40" i="9"/>
  <c r="AW40" i="9" s="1"/>
  <c r="BL40" i="9"/>
  <c r="BM40" i="9" s="1"/>
  <c r="BL14" i="9"/>
  <c r="BM14" i="9" s="1"/>
  <c r="CG39" i="9"/>
  <c r="CN40" i="9"/>
  <c r="CO40" i="9" s="1"/>
  <c r="CV29" i="9"/>
  <c r="CW29" i="9" s="1"/>
  <c r="AN29" i="9"/>
  <c r="AB29" i="9"/>
  <c r="AZ29" i="9"/>
  <c r="CN29" i="9"/>
  <c r="BL29" i="9"/>
  <c r="T29" i="9"/>
  <c r="CJ29" i="9"/>
  <c r="AV29" i="9"/>
  <c r="CN18" i="9"/>
  <c r="CO18" i="9" s="1"/>
  <c r="BH18" i="9"/>
  <c r="BI18" i="9" s="1"/>
  <c r="AF18" i="9"/>
  <c r="AG18" i="9" s="1"/>
  <c r="T18" i="9"/>
  <c r="AZ18" i="9"/>
  <c r="BA18" i="9" s="1"/>
  <c r="AJ18" i="9"/>
  <c r="AK18" i="9" s="1"/>
  <c r="X18" i="9"/>
  <c r="Y18" i="9" s="1"/>
  <c r="AR18" i="9"/>
  <c r="AS18" i="9" s="1"/>
  <c r="AB18" i="9"/>
  <c r="AC18" i="9" s="1"/>
  <c r="BL18" i="9"/>
  <c r="BM18" i="9" s="1"/>
  <c r="AK21" i="9"/>
  <c r="CE33" i="9"/>
  <c r="CG33" i="9" s="1"/>
  <c r="AV14" i="9"/>
  <c r="AW14" i="9" s="1"/>
  <c r="BP29" i="9"/>
  <c r="BT40" i="9"/>
  <c r="BU40" i="9" s="1"/>
  <c r="AR30" i="9"/>
  <c r="AS30" i="9" s="1"/>
  <c r="BD14" i="9"/>
  <c r="BE14" i="9" s="1"/>
  <c r="CR39" i="9"/>
  <c r="BX39" i="9"/>
  <c r="BY39" i="9" s="1"/>
  <c r="CB39" i="9"/>
  <c r="CC39" i="9" s="1"/>
  <c r="AZ39" i="9"/>
  <c r="AN39" i="9"/>
  <c r="CN39" i="9"/>
  <c r="CO39" i="9" s="1"/>
  <c r="CJ39" i="9"/>
  <c r="CK39" i="9" s="1"/>
  <c r="BL39" i="9"/>
  <c r="BX28" i="9"/>
  <c r="BY28" i="9" s="1"/>
  <c r="AJ28" i="9"/>
  <c r="AK28" i="9" s="1"/>
  <c r="AB28" i="9"/>
  <c r="AC28" i="9" s="1"/>
  <c r="CF28" i="9"/>
  <c r="CG28" i="9" s="1"/>
  <c r="CJ28" i="9"/>
  <c r="CK28" i="9" s="1"/>
  <c r="BD28" i="9"/>
  <c r="BE28" i="9" s="1"/>
  <c r="CE35" i="9"/>
  <c r="CG35" i="9" s="1"/>
  <c r="AU29" i="9"/>
  <c r="CE29" i="9"/>
  <c r="CG29" i="9" s="1"/>
  <c r="CU29" i="9"/>
  <c r="AY29" i="9"/>
  <c r="BK29" i="9"/>
  <c r="AA35" i="9"/>
  <c r="CQ19" i="9"/>
  <c r="AJ14" i="9"/>
  <c r="AK14" i="9" s="1"/>
  <c r="CV14" i="9"/>
  <c r="CW14" i="9" s="1"/>
  <c r="BX29" i="9"/>
  <c r="CF40" i="9"/>
  <c r="CG40" i="9" s="1"/>
  <c r="AA19" i="9"/>
  <c r="AF30" i="9"/>
  <c r="AG30" i="9" s="1"/>
  <c r="AV30" i="9"/>
  <c r="AW30" i="9" s="1"/>
  <c r="AV18" i="9"/>
  <c r="AW18" i="9" s="1"/>
  <c r="BP18" i="9"/>
  <c r="BQ18" i="9" s="1"/>
  <c r="BP47" i="9"/>
  <c r="BH47" i="9"/>
  <c r="CN47" i="9"/>
  <c r="CR47" i="9"/>
  <c r="CS47" i="9" s="1"/>
  <c r="BL47" i="9"/>
  <c r="BM47" i="9" s="1"/>
  <c r="AV47" i="9"/>
  <c r="AJ47" i="9"/>
  <c r="AK47" i="9" s="1"/>
  <c r="X47" i="9"/>
  <c r="Y47" i="9" s="1"/>
  <c r="CJ47" i="9"/>
  <c r="CK47" i="9" s="1"/>
  <c r="CF47" i="9"/>
  <c r="CG47" i="9" s="1"/>
  <c r="AR47" i="9"/>
  <c r="AS47" i="9" s="1"/>
  <c r="AF47" i="9"/>
  <c r="AG47" i="9" s="1"/>
  <c r="CB47" i="9"/>
  <c r="BD47" i="9"/>
  <c r="BE47" i="9" s="1"/>
  <c r="CA35" i="9"/>
  <c r="AM19" i="9"/>
  <c r="BO35" i="9"/>
  <c r="BQ35" i="9" s="1"/>
  <c r="CM49" i="9"/>
  <c r="CJ18" i="9"/>
  <c r="CK18" i="9" s="1"/>
  <c r="I18" i="9"/>
  <c r="AQ19" i="9"/>
  <c r="BT14" i="9"/>
  <c r="BU14" i="9" s="1"/>
  <c r="AF29" i="9"/>
  <c r="CR40" i="9"/>
  <c r="CS40" i="9" s="1"/>
  <c r="I35" i="9"/>
  <c r="I19" i="9"/>
  <c r="AI35" i="9"/>
  <c r="AK35" i="9" s="1"/>
  <c r="CU35" i="9"/>
  <c r="AM35" i="9"/>
  <c r="AU35" i="9"/>
  <c r="AW35" i="9" s="1"/>
  <c r="AY35" i="9"/>
  <c r="BA35" i="9" s="1"/>
  <c r="BC35" i="9"/>
  <c r="BE35" i="9" s="1"/>
  <c r="BK35" i="9"/>
  <c r="BM35" i="9" s="1"/>
  <c r="W35" i="9"/>
  <c r="CI35" i="9"/>
  <c r="CK35" i="9" s="1"/>
  <c r="AE35" i="9"/>
  <c r="CQ35" i="9"/>
  <c r="BY47" i="9"/>
  <c r="CF14" i="9"/>
  <c r="CG14" i="9" s="1"/>
  <c r="AN14" i="9"/>
  <c r="AO14" i="9" s="1"/>
  <c r="AZ14" i="9"/>
  <c r="BA14" i="9" s="1"/>
  <c r="BX14" i="9"/>
  <c r="BY14" i="9" s="1"/>
  <c r="AR14" i="9"/>
  <c r="AS14" i="9" s="1"/>
  <c r="I14" i="9"/>
  <c r="BP14" i="9"/>
  <c r="BQ14" i="9" s="1"/>
  <c r="CB14" i="9"/>
  <c r="CC14" i="9" s="1"/>
  <c r="BO33" i="9"/>
  <c r="BQ33" i="9" s="1"/>
  <c r="S33" i="9"/>
  <c r="U33" i="9" s="1"/>
  <c r="AQ33" i="9"/>
  <c r="BG33" i="9"/>
  <c r="BI33" i="9" s="1"/>
  <c r="CM33" i="9"/>
  <c r="CO33" i="9" s="1"/>
  <c r="BS49" i="9"/>
  <c r="CA49" i="9"/>
  <c r="CC49" i="9" s="1"/>
  <c r="BG49" i="9"/>
  <c r="AU49" i="9"/>
  <c r="AQ49" i="9"/>
  <c r="AS49" i="9" s="1"/>
  <c r="AY15" i="9"/>
  <c r="BD41" i="9"/>
  <c r="BP22" i="9"/>
  <c r="BQ22" i="9" s="1"/>
  <c r="BT49" i="9"/>
  <c r="CV41" i="9"/>
  <c r="BC15" i="9"/>
  <c r="AM39" i="9"/>
  <c r="AS41" i="9"/>
  <c r="CJ41" i="9"/>
  <c r="CK41" i="9" s="1"/>
  <c r="CQ15" i="9"/>
  <c r="BA45" i="9"/>
  <c r="CR32" i="9"/>
  <c r="CS32" i="9" s="1"/>
  <c r="AW37" i="9"/>
  <c r="AZ42" i="9"/>
  <c r="BA42" i="9" s="1"/>
  <c r="I41" i="9"/>
  <c r="T20" i="9"/>
  <c r="AN41" i="9"/>
  <c r="AV49" i="9"/>
  <c r="BX34" i="9"/>
  <c r="BY34" i="9" s="1"/>
  <c r="CF49" i="9"/>
  <c r="CJ22" i="9"/>
  <c r="CK22" i="9" s="1"/>
  <c r="CW27" i="9"/>
  <c r="BS39" i="9"/>
  <c r="AK25" i="9"/>
  <c r="U21" i="9"/>
  <c r="AC31" i="9"/>
  <c r="CN32" i="9"/>
  <c r="CO32" i="9" s="1"/>
  <c r="AR42" i="9"/>
  <c r="AS42" i="9" s="1"/>
  <c r="BH42" i="9"/>
  <c r="BI42" i="9" s="1"/>
  <c r="I39" i="9"/>
  <c r="T34" i="9"/>
  <c r="U34" i="9" s="1"/>
  <c r="X49" i="9"/>
  <c r="AB34" i="9"/>
  <c r="AC34" i="9" s="1"/>
  <c r="AN48" i="9"/>
  <c r="AO48" i="9" s="1"/>
  <c r="AZ41" i="9"/>
  <c r="BD34" i="9"/>
  <c r="BE34" i="9" s="1"/>
  <c r="BD22" i="9"/>
  <c r="BE22" i="9" s="1"/>
  <c r="BL49" i="9"/>
  <c r="BL27" i="9"/>
  <c r="CB45" i="9"/>
  <c r="CB23" i="9"/>
  <c r="CE17" i="9"/>
  <c r="CG17" i="9" s="1"/>
  <c r="CJ34" i="9"/>
  <c r="CK34" i="9" s="1"/>
  <c r="CJ20" i="9"/>
  <c r="CK20" i="9" s="1"/>
  <c r="CN22" i="9"/>
  <c r="CO22" i="9" s="1"/>
  <c r="CR49" i="9"/>
  <c r="BO39" i="9"/>
  <c r="BQ39" i="9" s="1"/>
  <c r="CA37" i="9"/>
  <c r="CC37" i="9" s="1"/>
  <c r="AE37" i="9"/>
  <c r="AG37" i="9" s="1"/>
  <c r="AU27" i="9"/>
  <c r="AW27" i="9" s="1"/>
  <c r="AO23" i="9"/>
  <c r="BX32" i="9"/>
  <c r="BY32" i="9" s="1"/>
  <c r="CV32" i="9"/>
  <c r="CW32" i="9" s="1"/>
  <c r="AV42" i="9"/>
  <c r="AW42" i="9" s="1"/>
  <c r="BL42" i="9"/>
  <c r="BM42" i="9" s="1"/>
  <c r="CZ20" i="9"/>
  <c r="DA20" i="9" s="1"/>
  <c r="T32" i="9"/>
  <c r="X32" i="9"/>
  <c r="Y32" i="9" s="1"/>
  <c r="AF49" i="9"/>
  <c r="AG49" i="9" s="1"/>
  <c r="AM15" i="9"/>
  <c r="AO15" i="9" s="1"/>
  <c r="AR33" i="9"/>
  <c r="AR17" i="9"/>
  <c r="AS17" i="9" s="1"/>
  <c r="BD33" i="9"/>
  <c r="BE33" i="9" s="1"/>
  <c r="BT33" i="9"/>
  <c r="BU33" i="9" s="1"/>
  <c r="BX17" i="9"/>
  <c r="BY17" i="9" s="1"/>
  <c r="CB21" i="9"/>
  <c r="CN49" i="9"/>
  <c r="CM43" i="9"/>
  <c r="CO43" i="9" s="1"/>
  <c r="BG39" i="9"/>
  <c r="BI39" i="9" s="1"/>
  <c r="BW37" i="9"/>
  <c r="BY37" i="9" s="1"/>
  <c r="W37" i="9"/>
  <c r="AJ17" i="9"/>
  <c r="AU15" i="9"/>
  <c r="AW15" i="9" s="1"/>
  <c r="AZ17" i="9"/>
  <c r="BA17" i="9" s="1"/>
  <c r="BD20" i="9"/>
  <c r="BE20" i="9" s="1"/>
  <c r="BS15" i="9"/>
  <c r="BU15" i="9" s="1"/>
  <c r="BX43" i="9"/>
  <c r="CB41" i="9"/>
  <c r="CF27" i="9"/>
  <c r="CG27" i="9" s="1"/>
  <c r="CR43" i="9"/>
  <c r="CR15" i="9"/>
  <c r="BC43" i="9"/>
  <c r="BE43" i="9" s="1"/>
  <c r="BC39" i="9"/>
  <c r="BE39" i="9" s="1"/>
  <c r="BS37" i="9"/>
  <c r="AA37" i="9"/>
  <c r="DA15" i="9"/>
  <c r="AW45" i="9"/>
  <c r="I22" i="9"/>
  <c r="T49" i="9"/>
  <c r="X41" i="9"/>
  <c r="AF32" i="9"/>
  <c r="AG32" i="9" s="1"/>
  <c r="AF41" i="9"/>
  <c r="AG41" i="9" s="1"/>
  <c r="AJ41" i="9"/>
  <c r="AN22" i="9"/>
  <c r="AO22" i="9" s="1"/>
  <c r="AV33" i="9"/>
  <c r="BH49" i="9"/>
  <c r="BL21" i="9"/>
  <c r="BM21" i="9" s="1"/>
  <c r="BP49" i="9"/>
  <c r="BT27" i="9"/>
  <c r="BU27" i="9" s="1"/>
  <c r="CN34" i="9"/>
  <c r="CO34" i="9" s="1"/>
  <c r="CR41" i="9"/>
  <c r="BQ43" i="9"/>
  <c r="AY39" i="9"/>
  <c r="BA15" i="9"/>
  <c r="BW15" i="9"/>
  <c r="AQ39" i="9"/>
  <c r="AS39" i="9" s="1"/>
  <c r="CC18" i="9"/>
  <c r="AG39" i="9"/>
  <c r="BE45" i="9"/>
  <c r="Y16" i="9"/>
  <c r="AK34" i="9"/>
  <c r="AG16" i="9"/>
  <c r="AS21" i="9"/>
  <c r="Y21" i="9"/>
  <c r="BQ21" i="9"/>
  <c r="O11" i="9"/>
  <c r="CW11" i="9"/>
  <c r="CM47" i="9"/>
  <c r="CQ43" i="9"/>
  <c r="BK43" i="9"/>
  <c r="BM43" i="9" s="1"/>
  <c r="CU41" i="9"/>
  <c r="AI41" i="9"/>
  <c r="AU33" i="9"/>
  <c r="CM29" i="9"/>
  <c r="AQ29" i="9"/>
  <c r="AE25" i="9"/>
  <c r="AM21" i="9"/>
  <c r="CV35" i="9"/>
  <c r="CV25" i="9"/>
  <c r="CA47" i="9"/>
  <c r="BG43" i="9"/>
  <c r="BI43" i="9" s="1"/>
  <c r="CQ41" i="9"/>
  <c r="W41" i="9"/>
  <c r="AI33" i="9"/>
  <c r="CI29" i="9"/>
  <c r="AM29" i="9"/>
  <c r="BO27" i="9"/>
  <c r="BQ27" i="9" s="1"/>
  <c r="CE25" i="9"/>
  <c r="AA25" i="9"/>
  <c r="O25" i="9" s="1"/>
  <c r="S49" i="9"/>
  <c r="AA47" i="9"/>
  <c r="AC47" i="9" s="1"/>
  <c r="BO47" i="9"/>
  <c r="CI43" i="9"/>
  <c r="CK43" i="9" s="1"/>
  <c r="AY43" i="9"/>
  <c r="BA43" i="9" s="1"/>
  <c r="CE41" i="9"/>
  <c r="CG41" i="9" s="1"/>
  <c r="CA29" i="9"/>
  <c r="AE29" i="9"/>
  <c r="AA49" i="9"/>
  <c r="BG47" i="9"/>
  <c r="BI47" i="9" s="1"/>
  <c r="AU43" i="9"/>
  <c r="AW43" i="9" s="1"/>
  <c r="CA41" i="9"/>
  <c r="BW29" i="9"/>
  <c r="AA29" i="9"/>
  <c r="CQ23" i="9"/>
  <c r="AE43" i="9"/>
  <c r="AG43" i="9" s="1"/>
  <c r="CR35" i="9"/>
  <c r="AY47" i="9"/>
  <c r="BA47" i="9" s="1"/>
  <c r="CE43" i="9"/>
  <c r="CG43" i="9" s="1"/>
  <c r="AQ43" i="9"/>
  <c r="AS43" i="9" s="1"/>
  <c r="BS41" i="9"/>
  <c r="BU41" i="9" s="1"/>
  <c r="BS29" i="9"/>
  <c r="BU29" i="9" s="1"/>
  <c r="W29" i="9"/>
  <c r="Y29" i="9" s="1"/>
  <c r="BW23" i="9"/>
  <c r="AI43" i="9"/>
  <c r="AK43" i="9" s="1"/>
  <c r="AU47" i="9"/>
  <c r="CA43" i="9"/>
  <c r="W43" i="9"/>
  <c r="Y43" i="9" s="1"/>
  <c r="BO41" i="9"/>
  <c r="AI39" i="9"/>
  <c r="BO29" i="9"/>
  <c r="S29" i="9"/>
  <c r="W27" i="9"/>
  <c r="BG25" i="9"/>
  <c r="BI25" i="9" s="1"/>
  <c r="BS23" i="9"/>
  <c r="AM43" i="9"/>
  <c r="AO43" i="9" s="1"/>
  <c r="BK41" i="9"/>
  <c r="BM41" i="9" s="1"/>
  <c r="CI21" i="9"/>
  <c r="CQ49" i="9"/>
  <c r="BW45" i="9"/>
  <c r="BW43" i="9"/>
  <c r="S43" i="9"/>
  <c r="BC41" i="9"/>
  <c r="CU33" i="9"/>
  <c r="CW33" i="9" s="1"/>
  <c r="BG29" i="9"/>
  <c r="BI29" i="9" s="1"/>
  <c r="AY25" i="9"/>
  <c r="AU23" i="9"/>
  <c r="CA21" i="9"/>
  <c r="AQ45" i="9"/>
  <c r="BS43" i="9"/>
  <c r="BU43" i="9" s="1"/>
  <c r="AA43" i="9"/>
  <c r="AC43" i="9" s="1"/>
  <c r="AY41" i="9"/>
  <c r="CQ33" i="9"/>
  <c r="CS33" i="9" s="1"/>
  <c r="BC29" i="9"/>
  <c r="CU25" i="9"/>
  <c r="AU25" i="9"/>
  <c r="BG21" i="9"/>
  <c r="BI21" i="9" s="1"/>
  <c r="AY49" i="9"/>
  <c r="BA49" i="9" s="1"/>
  <c r="AU41" i="9"/>
  <c r="AW41" i="9" s="1"/>
  <c r="BW33" i="9"/>
  <c r="BY33" i="9" s="1"/>
  <c r="BC21" i="9"/>
  <c r="BO49" i="9"/>
  <c r="CU43" i="9"/>
  <c r="CW43" i="9" s="1"/>
  <c r="CQ29" i="9"/>
  <c r="CS29" i="9" s="1"/>
  <c r="CQ25" i="9"/>
  <c r="AK31" i="9" l="1"/>
  <c r="BQ29" i="9"/>
  <c r="CC29" i="9"/>
  <c r="P33" i="9"/>
  <c r="BI17" i="9"/>
  <c r="BY49" i="9"/>
  <c r="AO39" i="9"/>
  <c r="BQ31" i="9"/>
  <c r="DA11" i="9"/>
  <c r="BQ41" i="9"/>
  <c r="BY15" i="9"/>
  <c r="P15" i="9"/>
  <c r="Y37" i="9"/>
  <c r="AG35" i="9"/>
  <c r="U19" i="9"/>
  <c r="BE49" i="9"/>
  <c r="AC37" i="9"/>
  <c r="BA27" i="9"/>
  <c r="CC27" i="9"/>
  <c r="AS29" i="9"/>
  <c r="P21" i="9"/>
  <c r="P17" i="9"/>
  <c r="BE29" i="9"/>
  <c r="BU39" i="9"/>
  <c r="U17" i="9"/>
  <c r="AC49" i="9"/>
  <c r="BA11" i="9"/>
  <c r="BU25" i="9"/>
  <c r="AS15" i="9"/>
  <c r="BM27" i="9"/>
  <c r="AK39" i="9"/>
  <c r="BY45" i="9"/>
  <c r="CS23" i="9"/>
  <c r="CO47" i="9"/>
  <c r="P25" i="9"/>
  <c r="Q25" i="9" s="1"/>
  <c r="AK27" i="9"/>
  <c r="P43" i="9"/>
  <c r="CC43" i="9"/>
  <c r="AW47" i="9"/>
  <c r="BU17" i="9"/>
  <c r="CO17" i="9"/>
  <c r="P23" i="9"/>
  <c r="BE25" i="9"/>
  <c r="CK11" i="9"/>
  <c r="BY29" i="9"/>
  <c r="CW35" i="9"/>
  <c r="AS19" i="9"/>
  <c r="AW31" i="9"/>
  <c r="AO31" i="9"/>
  <c r="CO45" i="9"/>
  <c r="O31" i="9"/>
  <c r="CG25" i="9"/>
  <c r="P37" i="9"/>
  <c r="P41" i="9"/>
  <c r="AK19" i="9"/>
  <c r="P36" i="9"/>
  <c r="Q36" i="9" s="1"/>
  <c r="P38" i="9"/>
  <c r="Q38" i="9" s="1"/>
  <c r="CC35" i="9"/>
  <c r="CS19" i="9"/>
  <c r="BA19" i="9"/>
  <c r="CG15" i="9"/>
  <c r="AW25" i="9"/>
  <c r="P12" i="9"/>
  <c r="Q12" i="9" s="1"/>
  <c r="Y35" i="9"/>
  <c r="BY19" i="9"/>
  <c r="P46" i="9"/>
  <c r="Q46" i="9" s="1"/>
  <c r="BP51" i="9"/>
  <c r="BM15" i="9"/>
  <c r="P24" i="9"/>
  <c r="Q24" i="9" s="1"/>
  <c r="BE13" i="9"/>
  <c r="P44" i="9"/>
  <c r="Q44" i="9" s="1"/>
  <c r="BH51" i="9"/>
  <c r="BL51" i="9"/>
  <c r="P34" i="9"/>
  <c r="Q34" i="9" s="1"/>
  <c r="P26" i="9"/>
  <c r="Q26" i="9" s="1"/>
  <c r="CC31" i="9"/>
  <c r="BI19" i="9"/>
  <c r="AK41" i="9"/>
  <c r="AV51" i="9"/>
  <c r="I51" i="9"/>
  <c r="BM49" i="9"/>
  <c r="CS25" i="9"/>
  <c r="BY43" i="9"/>
  <c r="CW41" i="9"/>
  <c r="P45" i="9"/>
  <c r="AW49" i="9"/>
  <c r="AG31" i="9"/>
  <c r="BI13" i="9"/>
  <c r="AZ51" i="9"/>
  <c r="CR51" i="9"/>
  <c r="BU35" i="9"/>
  <c r="AG23" i="9"/>
  <c r="CS35" i="9"/>
  <c r="BI49" i="9"/>
  <c r="CK19" i="9"/>
  <c r="CC13" i="9"/>
  <c r="BD51" i="9"/>
  <c r="BA39" i="9"/>
  <c r="O17" i="9"/>
  <c r="BK51" i="9"/>
  <c r="BU37" i="9"/>
  <c r="CS49" i="9"/>
  <c r="CS43" i="9"/>
  <c r="AO35" i="9"/>
  <c r="AF51" i="9"/>
  <c r="BA41" i="9"/>
  <c r="CZ51" i="9"/>
  <c r="AS31" i="9"/>
  <c r="CF51" i="9"/>
  <c r="BQ49" i="9"/>
  <c r="BE15" i="9"/>
  <c r="BU49" i="9"/>
  <c r="CO31" i="9"/>
  <c r="CW13" i="9"/>
  <c r="P16" i="9"/>
  <c r="Q16" i="9" s="1"/>
  <c r="U16" i="9"/>
  <c r="AK37" i="9"/>
  <c r="BQ47" i="9"/>
  <c r="CC47" i="9"/>
  <c r="P22" i="9"/>
  <c r="Q22" i="9" s="1"/>
  <c r="P19" i="9"/>
  <c r="CS13" i="9"/>
  <c r="AN51" i="9"/>
  <c r="AO13" i="9"/>
  <c r="AC29" i="9"/>
  <c r="U18" i="9"/>
  <c r="P18" i="9"/>
  <c r="Q18" i="9" s="1"/>
  <c r="BM29" i="9"/>
  <c r="P48" i="9"/>
  <c r="Q48" i="9" s="1"/>
  <c r="CC41" i="9"/>
  <c r="O47" i="9"/>
  <c r="CC45" i="9"/>
  <c r="BA29" i="9"/>
  <c r="O19" i="9"/>
  <c r="Q19" i="9" s="1"/>
  <c r="O35" i="9"/>
  <c r="AC35" i="9"/>
  <c r="P31" i="9"/>
  <c r="Q31" i="9" s="1"/>
  <c r="BG51" i="9"/>
  <c r="P28" i="9"/>
  <c r="Q28" i="9" s="1"/>
  <c r="P13" i="9"/>
  <c r="CJ51" i="9"/>
  <c r="CE51" i="9"/>
  <c r="P27" i="9"/>
  <c r="CB51" i="9"/>
  <c r="CK13" i="9"/>
  <c r="BQ13" i="9"/>
  <c r="P40" i="9"/>
  <c r="Q40" i="9" s="1"/>
  <c r="Q17" i="9"/>
  <c r="U31" i="9"/>
  <c r="CO49" i="9"/>
  <c r="P47" i="9"/>
  <c r="AC19" i="9"/>
  <c r="Y49" i="9"/>
  <c r="AG19" i="9"/>
  <c r="U30" i="9"/>
  <c r="P30" i="9"/>
  <c r="Q30" i="9" s="1"/>
  <c r="BU13" i="9"/>
  <c r="BY13" i="9"/>
  <c r="AO19" i="9"/>
  <c r="BA13" i="9"/>
  <c r="O37" i="9"/>
  <c r="Q37" i="9" s="1"/>
  <c r="CN51" i="9"/>
  <c r="AR51" i="9"/>
  <c r="AO29" i="9"/>
  <c r="CO29" i="9"/>
  <c r="CS15" i="9"/>
  <c r="AS33" i="9"/>
  <c r="AW29" i="9"/>
  <c r="CG49" i="9"/>
  <c r="AG13" i="9"/>
  <c r="BX51" i="9"/>
  <c r="BE41" i="9"/>
  <c r="AG29" i="9"/>
  <c r="CK29" i="9"/>
  <c r="AW33" i="9"/>
  <c r="P14" i="9"/>
  <c r="Q14" i="9" s="1"/>
  <c r="P29" i="9"/>
  <c r="BM19" i="9"/>
  <c r="CC19" i="9"/>
  <c r="CY51" i="9"/>
  <c r="DA13" i="9"/>
  <c r="P42" i="9"/>
  <c r="Q42" i="9" s="1"/>
  <c r="P39" i="9"/>
  <c r="X51" i="9"/>
  <c r="CG51" i="9"/>
  <c r="P49" i="9"/>
  <c r="DA19" i="9"/>
  <c r="U13" i="9"/>
  <c r="O13" i="9"/>
  <c r="AJ51" i="9"/>
  <c r="CS41" i="9"/>
  <c r="O15" i="9"/>
  <c r="AB51" i="9"/>
  <c r="P32" i="9"/>
  <c r="Q32" i="9" s="1"/>
  <c r="U32" i="9"/>
  <c r="BT51" i="9"/>
  <c r="U20" i="9"/>
  <c r="P20" i="9"/>
  <c r="Q20" i="9" s="1"/>
  <c r="CO19" i="9"/>
  <c r="Y19" i="9"/>
  <c r="T51" i="9"/>
  <c r="U43" i="9"/>
  <c r="O43" i="9"/>
  <c r="Q43" i="9" s="1"/>
  <c r="AU51" i="9"/>
  <c r="BA25" i="9"/>
  <c r="AY51" i="9"/>
  <c r="AC25" i="9"/>
  <c r="AA51" i="9"/>
  <c r="AO21" i="9"/>
  <c r="AM51" i="9"/>
  <c r="CV51" i="9"/>
  <c r="CM51" i="9"/>
  <c r="U29" i="9"/>
  <c r="O29" i="9"/>
  <c r="Q29" i="9" s="1"/>
  <c r="S51" i="9"/>
  <c r="BY23" i="9"/>
  <c r="BW51" i="9"/>
  <c r="AK33" i="9"/>
  <c r="AI51" i="9"/>
  <c r="O33" i="9"/>
  <c r="Q33" i="9" s="1"/>
  <c r="AS45" i="9"/>
  <c r="O45" i="9"/>
  <c r="Q45" i="9" s="1"/>
  <c r="CK21" i="9"/>
  <c r="CI51" i="9"/>
  <c r="AW23" i="9"/>
  <c r="O23" i="9"/>
  <c r="Q23" i="9" s="1"/>
  <c r="P35" i="9"/>
  <c r="BU23" i="9"/>
  <c r="BS51" i="9"/>
  <c r="O21" i="9"/>
  <c r="CQ51" i="9"/>
  <c r="BE21" i="9"/>
  <c r="BC51" i="9"/>
  <c r="AQ51" i="9"/>
  <c r="O49" i="9"/>
  <c r="U49" i="9"/>
  <c r="CC21" i="9"/>
  <c r="CA51" i="9"/>
  <c r="CW25" i="9"/>
  <c r="CU51" i="9"/>
  <c r="AG25" i="9"/>
  <c r="AE51" i="9"/>
  <c r="O39" i="9"/>
  <c r="Q39" i="9" s="1"/>
  <c r="Y41" i="9"/>
  <c r="O41" i="9"/>
  <c r="Q41" i="9" s="1"/>
  <c r="Q11" i="9"/>
  <c r="Y27" i="9"/>
  <c r="O27" i="9"/>
  <c r="W51" i="9"/>
  <c r="BO51" i="9"/>
  <c r="Q27" i="9" l="1"/>
  <c r="P51" i="9"/>
  <c r="BM51" i="9"/>
  <c r="CS51" i="9"/>
  <c r="BE51" i="9"/>
  <c r="AS51" i="9"/>
  <c r="BI51" i="9"/>
  <c r="Q21" i="9"/>
  <c r="AK51" i="9"/>
  <c r="DA51" i="9"/>
  <c r="Q15" i="9"/>
  <c r="BA51" i="9"/>
  <c r="CW51" i="9"/>
  <c r="BY51" i="9"/>
  <c r="Q35" i="9"/>
  <c r="CC51" i="9"/>
  <c r="BQ51" i="9"/>
  <c r="Q49" i="9"/>
  <c r="AO51" i="9"/>
  <c r="BU51" i="9"/>
  <c r="AG51" i="9"/>
  <c r="Y51" i="9"/>
  <c r="AC51" i="9"/>
  <c r="AW51" i="9"/>
  <c r="U51" i="9"/>
  <c r="Q13" i="9"/>
  <c r="CK51" i="9"/>
  <c r="CO51" i="9"/>
  <c r="Q47" i="9"/>
  <c r="O51" i="9"/>
  <c r="Q51" i="9" l="1"/>
</calcChain>
</file>

<file path=xl/sharedStrings.xml><?xml version="1.0" encoding="utf-8"?>
<sst xmlns="http://schemas.openxmlformats.org/spreadsheetml/2006/main" count="145" uniqueCount="39">
  <si>
    <t>Total</t>
  </si>
  <si>
    <t>Payment</t>
  </si>
  <si>
    <t>Date</t>
  </si>
  <si>
    <t>Principal</t>
  </si>
  <si>
    <t>Interest</t>
  </si>
  <si>
    <t xml:space="preserve">       Distribution of Debt Services</t>
  </si>
  <si>
    <t xml:space="preserve">    University System of Maryland</t>
  </si>
  <si>
    <t xml:space="preserve">          TU New Child Care Center (Auxiliary)</t>
  </si>
  <si>
    <t xml:space="preserve">        UB New Student Center (Auxiliary)</t>
  </si>
  <si>
    <t xml:space="preserve">        UMB New Campus Center (Auxiliary)</t>
  </si>
  <si>
    <t xml:space="preserve">        UMBC New Parking Lot (Auxiliary)</t>
  </si>
  <si>
    <t xml:space="preserve">   UMBC Resident Hall Renovation (Auxiliary)</t>
  </si>
  <si>
    <t xml:space="preserve">   UMBC Dining Hall HVAC Upgrade (Auxiliary)</t>
  </si>
  <si>
    <t xml:space="preserve">    UMBC New Recreation &amp; Athletic (Auxiliary)</t>
  </si>
  <si>
    <t xml:space="preserve">    USMO Shady Grove Parking Lot 2 (Auxiliary)</t>
  </si>
  <si>
    <t xml:space="preserve"> </t>
  </si>
  <si>
    <t xml:space="preserve">         TU Towsontown Garage (Auxiliary)</t>
  </si>
  <si>
    <t xml:space="preserve">      TU Towson Center Arena (Auxiliary)</t>
  </si>
  <si>
    <t>2006 Series A Bond Funded Projects</t>
  </si>
  <si>
    <t xml:space="preserve">           Total Academic Projects - 2006A</t>
  </si>
  <si>
    <t xml:space="preserve">           Total Auxiliary Projects - 2006A</t>
  </si>
  <si>
    <t xml:space="preserve">    TU West Village Infrastructure (Auxiliary)</t>
  </si>
  <si>
    <t xml:space="preserve">   UMCP Fraternity/Sorority Houses (Auxiliary)</t>
  </si>
  <si>
    <t xml:space="preserve">   UMCP Golf Course Improvements (Auxiliary)</t>
  </si>
  <si>
    <t xml:space="preserve">    BSU Holmes Hall &amp; Tubman Hall (Auxiliary)</t>
  </si>
  <si>
    <t xml:space="preserve">           CSU Parking Garage (Auxiliary)</t>
  </si>
  <si>
    <t xml:space="preserve">       FSU Lane Center Renovation (Auxiliary)</t>
  </si>
  <si>
    <t xml:space="preserve">           SU New Parking Garage (Auxiliary)</t>
  </si>
  <si>
    <t xml:space="preserve">      UMCP SCUB Utilities Facility (Auxiliary)</t>
  </si>
  <si>
    <t xml:space="preserve">   UMES Wicomico Hall Renovation (Auxiliary)</t>
  </si>
  <si>
    <t xml:space="preserve">    TU West Village Dining Commons (Auxiliary)</t>
  </si>
  <si>
    <t xml:space="preserve">   UMCP Byrd Stadium Expansion (Auxiliary)</t>
  </si>
  <si>
    <t xml:space="preserve"> USMO Shady Grove Parking Garage (Auxiliary)</t>
  </si>
  <si>
    <t xml:space="preserve">      2006 Series A - Original</t>
  </si>
  <si>
    <t xml:space="preserve">   2006A Refunded on 2012D</t>
  </si>
  <si>
    <t xml:space="preserve">                    2006 Series A - Total</t>
  </si>
  <si>
    <t xml:space="preserve">                                                Total Debt Services - 2006 Series A after 2012D</t>
  </si>
  <si>
    <t xml:space="preserve">          Distribution of Debt Services after 2012D Bond Issue</t>
  </si>
  <si>
    <t xml:space="preserve">  Debt Svc from Earnings and Plant Fund A/C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</si>
</sst>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%"/>
    <numFmt numFmtId="165" formatCode="mm/dd/yy"/>
  </numFmts>
  <fonts count="2" x14ac:knownFonts="1">
    <font>
      <sz val="10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165" fontId="0" fillId="0" borderId="3" xfId="0" applyNumberFormat="1" applyBorder="1" applyAlignment="1">
      <alignment horizontal="center"/>
    </xf>
    <xf numFmtId="3" fontId="0" fillId="0" borderId="1" xfId="0" quotePrefix="1" applyNumberFormat="1" applyBorder="1" applyAlignment="1">
      <alignment horizontal="left"/>
    </xf>
    <xf numFmtId="3" fontId="0" fillId="0" borderId="4" xfId="0" applyNumberFormat="1" applyBorder="1"/>
    <xf numFmtId="3" fontId="0" fillId="0" borderId="5" xfId="0" applyNumberFormat="1" applyBorder="1"/>
    <xf numFmtId="165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4" fontId="0" fillId="0" borderId="4" xfId="0" applyNumberFormat="1" applyBorder="1"/>
    <xf numFmtId="38" fontId="0" fillId="0" borderId="0" xfId="0" applyNumberFormat="1"/>
    <xf numFmtId="38" fontId="0" fillId="0" borderId="0" xfId="0" applyNumberFormat="1" applyAlignment="1">
      <alignment horizontal="right"/>
    </xf>
    <xf numFmtId="38" fontId="0" fillId="0" borderId="1" xfId="0" quotePrefix="1" applyNumberFormat="1" applyBorder="1" applyAlignment="1">
      <alignment horizontal="left"/>
    </xf>
    <xf numFmtId="38" fontId="0" fillId="0" borderId="4" xfId="0" applyNumberFormat="1" applyBorder="1" applyAlignment="1">
      <alignment horizontal="right"/>
    </xf>
    <xf numFmtId="38" fontId="0" fillId="0" borderId="5" xfId="0" applyNumberFormat="1" applyBorder="1" applyAlignment="1">
      <alignment horizontal="right"/>
    </xf>
    <xf numFmtId="38" fontId="0" fillId="0" borderId="1" xfId="0" quotePrefix="1" applyNumberFormat="1" applyBorder="1" applyAlignment="1">
      <alignment horizontal="right"/>
    </xf>
    <xf numFmtId="38" fontId="0" fillId="0" borderId="7" xfId="0" applyNumberFormat="1" applyBorder="1" applyAlignment="1">
      <alignment horizontal="center"/>
    </xf>
    <xf numFmtId="38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38" fontId="0" fillId="0" borderId="0" xfId="0" quotePrefix="1" applyNumberFormat="1" applyAlignment="1">
      <alignment horizontal="left"/>
    </xf>
    <xf numFmtId="164" fontId="0" fillId="0" borderId="8" xfId="0" applyNumberFormat="1" applyBorder="1" applyAlignment="1">
      <alignment horizontal="center"/>
    </xf>
    <xf numFmtId="164" fontId="0" fillId="0" borderId="5" xfId="0" applyNumberFormat="1" applyBorder="1"/>
    <xf numFmtId="38" fontId="0" fillId="2" borderId="1" xfId="0" quotePrefix="1" applyNumberFormat="1" applyFill="1" applyBorder="1" applyAlignment="1">
      <alignment horizontal="left"/>
    </xf>
    <xf numFmtId="38" fontId="0" fillId="2" borderId="4" xfId="0" applyNumberFormat="1" applyFill="1" applyBorder="1" applyAlignment="1">
      <alignment horizontal="right"/>
    </xf>
    <xf numFmtId="38" fontId="0" fillId="2" borderId="5" xfId="0" applyNumberFormat="1" applyFill="1" applyBorder="1" applyAlignment="1">
      <alignment horizontal="right"/>
    </xf>
    <xf numFmtId="38" fontId="0" fillId="0" borderId="9" xfId="0" applyNumberFormat="1" applyBorder="1" applyAlignment="1">
      <alignment horizontal="right"/>
    </xf>
    <xf numFmtId="3" fontId="0" fillId="0" borderId="1" xfId="0" applyNumberFormat="1" applyBorder="1" applyAlignment="1">
      <alignment horizontal="left"/>
    </xf>
    <xf numFmtId="38" fontId="0" fillId="0" borderId="1" xfId="0" applyNumberFormat="1" applyBorder="1" applyAlignment="1">
      <alignment horizontal="left"/>
    </xf>
    <xf numFmtId="164" fontId="0" fillId="0" borderId="10" xfId="0" applyNumberFormat="1" applyBorder="1"/>
    <xf numFmtId="38" fontId="0" fillId="0" borderId="4" xfId="0" applyNumberFormat="1" applyBorder="1"/>
    <xf numFmtId="38" fontId="0" fillId="0" borderId="2" xfId="0" applyNumberFormat="1" applyBorder="1"/>
    <xf numFmtId="3" fontId="0" fillId="0" borderId="0" xfId="0" applyNumberFormat="1" applyAlignment="1">
      <alignment horizontal="center"/>
    </xf>
    <xf numFmtId="164" fontId="0" fillId="0" borderId="11" xfId="0" applyNumberFormat="1" applyBorder="1"/>
    <xf numFmtId="38" fontId="0" fillId="0" borderId="10" xfId="0" applyNumberFormat="1" applyBorder="1" applyAlignment="1">
      <alignment horizontal="right"/>
    </xf>
    <xf numFmtId="38" fontId="0" fillId="0" borderId="2" xfId="0" applyNumberFormat="1" applyBorder="1" applyAlignment="1">
      <alignment horizontal="right"/>
    </xf>
    <xf numFmtId="3" fontId="0" fillId="0" borderId="2" xfId="0" applyNumberFormat="1" applyBorder="1"/>
    <xf numFmtId="164" fontId="0" fillId="0" borderId="1" xfId="0" quotePrefix="1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38" fontId="0" fillId="0" borderId="12" xfId="0" applyNumberFormat="1" applyBorder="1" applyAlignment="1">
      <alignment horizontal="right"/>
    </xf>
    <xf numFmtId="38" fontId="0" fillId="0" borderId="11" xfId="0" applyNumberFormat="1" applyBorder="1" applyAlignment="1">
      <alignment horizontal="left"/>
    </xf>
    <xf numFmtId="38" fontId="0" fillId="0" borderId="4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3803-3511-4604-BB21-A96C27F79B46}">
  <sheetPr>
    <tabColor indexed="10"/>
  </sheetPr>
  <dimension ref="A1:DE89"/>
  <sheetViews>
    <sheetView tabSelected="1" workbookViewId="0">
      <pane xSplit="1" ySplit="8" topLeftCell="B40" activePane="bottomRight" state="frozen"/>
      <selection pane="topRight" activeCell="B1" sqref="B1"/>
      <selection pane="bottomLeft" activeCell="A9" sqref="A9"/>
      <selection pane="bottomRight" activeCell="K65" sqref="K65"/>
    </sheetView>
  </sheetViews>
  <sheetFormatPr defaultColWidth="13.7109375" defaultRowHeight="12.75" x14ac:dyDescent="0.2"/>
  <cols>
    <col min="1" max="1" width="9.7109375" style="2" customWidth="1"/>
    <col min="2" max="2" width="3.7109375" customWidth="1"/>
    <col min="3" max="9" width="12.7109375" style="15" customWidth="1"/>
    <col min="10" max="10" width="3.7109375" style="14" customWidth="1"/>
    <col min="11" max="13" width="13.7109375" style="14" customWidth="1"/>
    <col min="14" max="14" width="3.7109375" style="14" customWidth="1"/>
    <col min="15" max="17" width="13.7109375" customWidth="1"/>
    <col min="18" max="18" width="3.7109375" style="14" customWidth="1"/>
    <col min="19" max="21" width="13.7109375" customWidth="1"/>
    <col min="22" max="22" width="3.7109375" style="14" customWidth="1"/>
    <col min="23" max="25" width="13.7109375" customWidth="1"/>
    <col min="26" max="26" width="3.7109375" style="14" customWidth="1"/>
    <col min="27" max="29" width="13.7109375" style="14" customWidth="1"/>
    <col min="30" max="30" width="3.7109375" style="14" customWidth="1"/>
    <col min="31" max="33" width="13.7109375" customWidth="1"/>
    <col min="34" max="34" width="3.7109375" style="14" customWidth="1"/>
    <col min="35" max="37" width="13.7109375" customWidth="1"/>
    <col min="38" max="38" width="3.7109375" style="3" customWidth="1"/>
    <col min="39" max="41" width="13.7109375" customWidth="1"/>
    <col min="42" max="42" width="3.7109375" style="3" customWidth="1"/>
    <col min="43" max="45" width="13.7109375" style="3" customWidth="1"/>
    <col min="46" max="46" width="3.7109375" style="3" customWidth="1"/>
    <col min="47" max="49" width="13.7109375" style="3" customWidth="1"/>
    <col min="50" max="50" width="3.7109375" style="3" customWidth="1"/>
    <col min="51" max="53" width="13.7109375" style="3" customWidth="1"/>
    <col min="54" max="54" width="3.7109375" style="3" customWidth="1"/>
    <col min="55" max="57" width="13.7109375" style="3" customWidth="1"/>
    <col min="58" max="58" width="3.7109375" style="3" customWidth="1"/>
    <col min="59" max="61" width="13.7109375" style="3" customWidth="1"/>
    <col min="62" max="62" width="3.7109375" style="3" customWidth="1"/>
    <col min="63" max="65" width="13.7109375" style="3" customWidth="1"/>
    <col min="66" max="66" width="3.7109375" style="3" customWidth="1"/>
    <col min="67" max="69" width="13.7109375" style="3" customWidth="1"/>
    <col min="70" max="70" width="3.7109375" style="3" customWidth="1"/>
    <col min="71" max="73" width="13.7109375" style="3" customWidth="1"/>
    <col min="74" max="74" width="3.7109375" style="3" customWidth="1"/>
    <col min="75" max="77" width="13.7109375" style="3" customWidth="1"/>
    <col min="78" max="78" width="3.7109375" style="3" customWidth="1"/>
    <col min="79" max="81" width="13.7109375" style="3" customWidth="1"/>
    <col min="82" max="82" width="3.7109375" style="3" customWidth="1"/>
    <col min="83" max="85" width="13.7109375" style="3" customWidth="1"/>
    <col min="86" max="86" width="3.7109375" style="3" customWidth="1"/>
    <col min="87" max="89" width="13.7109375" style="3" customWidth="1"/>
    <col min="90" max="90" width="3.7109375" style="3" customWidth="1"/>
    <col min="91" max="93" width="13.7109375" style="3" customWidth="1"/>
    <col min="94" max="94" width="3.7109375" style="3" customWidth="1"/>
    <col min="95" max="97" width="13.7109375" style="3" customWidth="1"/>
    <col min="98" max="98" width="3.7109375" style="3" customWidth="1"/>
    <col min="99" max="101" width="13.7109375" style="3" customWidth="1"/>
    <col min="102" max="102" width="3.7109375" style="3" customWidth="1"/>
    <col min="103" max="105" width="13.7109375" style="3" customWidth="1"/>
    <col min="106" max="106" width="3.7109375" style="3" customWidth="1"/>
    <col min="107" max="109" width="13.7109375" style="3" customWidth="1"/>
    <col min="110" max="110" width="3.7109375" customWidth="1"/>
  </cols>
  <sheetData>
    <row r="1" spans="1:109" x14ac:dyDescent="0.2">
      <c r="A1" s="22"/>
      <c r="B1" s="11"/>
      <c r="D1" s="23"/>
      <c r="E1" s="23"/>
      <c r="G1" s="23" t="s">
        <v>6</v>
      </c>
      <c r="K1" s="23"/>
      <c r="O1" s="23"/>
      <c r="S1" s="15"/>
      <c r="T1" s="23" t="s">
        <v>6</v>
      </c>
      <c r="W1" s="23"/>
      <c r="AE1" s="15"/>
      <c r="AF1" s="23" t="s">
        <v>6</v>
      </c>
      <c r="AI1" s="23"/>
      <c r="AQ1" s="15"/>
      <c r="AR1" s="23" t="s">
        <v>6</v>
      </c>
      <c r="AU1" s="23"/>
      <c r="BC1" s="15"/>
      <c r="BD1" s="23" t="s">
        <v>6</v>
      </c>
      <c r="BG1" s="23"/>
      <c r="BO1" s="15"/>
      <c r="BP1" s="23" t="s">
        <v>6</v>
      </c>
      <c r="BS1" s="23"/>
      <c r="CA1" s="15"/>
      <c r="CB1" s="23" t="s">
        <v>6</v>
      </c>
      <c r="CE1" s="23"/>
      <c r="CM1" s="15"/>
      <c r="CN1" s="23" t="s">
        <v>6</v>
      </c>
      <c r="CQ1" s="23"/>
      <c r="CY1" s="15"/>
      <c r="CZ1" s="23" t="s">
        <v>6</v>
      </c>
      <c r="DC1" s="23" t="s">
        <v>6</v>
      </c>
    </row>
    <row r="2" spans="1:109" x14ac:dyDescent="0.2">
      <c r="A2" s="22"/>
      <c r="B2" s="11"/>
      <c r="D2" s="23"/>
      <c r="E2" s="23"/>
      <c r="F2" s="23" t="s">
        <v>37</v>
      </c>
      <c r="G2" s="14"/>
      <c r="H2" s="14"/>
      <c r="K2" s="23"/>
      <c r="O2" s="23"/>
      <c r="S2" s="23" t="s">
        <v>37</v>
      </c>
      <c r="T2" s="14"/>
      <c r="W2" s="23"/>
      <c r="AE2" s="23" t="s">
        <v>37</v>
      </c>
      <c r="AF2" s="14"/>
      <c r="AI2" s="23"/>
      <c r="AQ2" s="23" t="s">
        <v>37</v>
      </c>
      <c r="AR2" s="14"/>
      <c r="AU2" s="23"/>
      <c r="BC2" s="23" t="s">
        <v>37</v>
      </c>
      <c r="BD2" s="14"/>
      <c r="BG2" s="23"/>
      <c r="BO2" s="23" t="s">
        <v>37</v>
      </c>
      <c r="BP2" s="14"/>
      <c r="BS2" s="23"/>
      <c r="CA2" s="23" t="s">
        <v>37</v>
      </c>
      <c r="CB2" s="14"/>
      <c r="CE2" s="23"/>
      <c r="CM2" s="23" t="s">
        <v>37</v>
      </c>
      <c r="CN2" s="14"/>
      <c r="CQ2" s="23"/>
      <c r="CY2" s="23" t="s">
        <v>37</v>
      </c>
      <c r="CZ2" s="14"/>
      <c r="DC2" s="23" t="s">
        <v>5</v>
      </c>
    </row>
    <row r="3" spans="1:109" x14ac:dyDescent="0.2">
      <c r="A3" s="22"/>
      <c r="B3" s="11"/>
      <c r="D3" s="21"/>
      <c r="E3" s="21"/>
      <c r="G3" s="23" t="s">
        <v>18</v>
      </c>
      <c r="K3" s="23"/>
      <c r="O3" s="23"/>
      <c r="P3" s="1"/>
      <c r="S3" s="15"/>
      <c r="T3" s="23" t="s">
        <v>18</v>
      </c>
      <c r="W3" s="23"/>
      <c r="AE3" s="15"/>
      <c r="AF3" s="23" t="s">
        <v>18</v>
      </c>
      <c r="AI3" s="23"/>
      <c r="AQ3" s="15"/>
      <c r="AR3" s="23" t="s">
        <v>18</v>
      </c>
      <c r="AU3" s="23"/>
      <c r="BC3" s="15"/>
      <c r="BD3" s="23" t="s">
        <v>18</v>
      </c>
      <c r="BG3" s="23"/>
      <c r="BO3" s="15"/>
      <c r="BP3" s="23" t="s">
        <v>18</v>
      </c>
      <c r="BS3" s="23"/>
      <c r="CA3" s="15"/>
      <c r="CB3" s="23" t="s">
        <v>18</v>
      </c>
      <c r="CE3" s="23"/>
      <c r="CM3" s="15"/>
      <c r="CN3" s="23" t="s">
        <v>18</v>
      </c>
      <c r="CQ3" s="23"/>
      <c r="CY3" s="15"/>
      <c r="CZ3" s="23" t="s">
        <v>18</v>
      </c>
      <c r="DC3" s="23" t="s">
        <v>18</v>
      </c>
    </row>
    <row r="4" spans="1:109" x14ac:dyDescent="0.2">
      <c r="A4" s="22"/>
      <c r="B4" s="11"/>
      <c r="C4" s="21"/>
      <c r="D4" s="23"/>
      <c r="E4" s="23"/>
      <c r="F4" s="23"/>
      <c r="G4" s="23"/>
      <c r="H4" s="23"/>
    </row>
    <row r="5" spans="1:109" x14ac:dyDescent="0.2">
      <c r="A5" s="4" t="s">
        <v>1</v>
      </c>
      <c r="C5" s="26" t="s">
        <v>36</v>
      </c>
      <c r="D5" s="27"/>
      <c r="E5" s="27"/>
      <c r="F5" s="27"/>
      <c r="G5" s="27"/>
      <c r="H5" s="27"/>
      <c r="I5" s="28"/>
      <c r="K5" s="16" t="s">
        <v>19</v>
      </c>
      <c r="L5" s="37"/>
      <c r="M5" s="18"/>
      <c r="O5" s="16" t="s">
        <v>20</v>
      </c>
      <c r="P5" s="17"/>
      <c r="Q5" s="18"/>
      <c r="S5" s="5" t="s">
        <v>22</v>
      </c>
      <c r="T5" s="6"/>
      <c r="U5" s="7"/>
      <c r="W5" s="5" t="s">
        <v>23</v>
      </c>
      <c r="X5" s="6"/>
      <c r="Y5" s="7"/>
      <c r="AA5" s="5" t="s">
        <v>31</v>
      </c>
      <c r="AB5" s="6"/>
      <c r="AC5" s="7"/>
      <c r="AE5" s="5" t="s">
        <v>28</v>
      </c>
      <c r="AF5" s="6"/>
      <c r="AG5" s="7"/>
      <c r="AI5" s="5" t="s">
        <v>9</v>
      </c>
      <c r="AJ5" s="6"/>
      <c r="AK5" s="7"/>
      <c r="AM5" s="5" t="s">
        <v>29</v>
      </c>
      <c r="AN5" s="6"/>
      <c r="AO5" s="7"/>
      <c r="AQ5" s="5" t="s">
        <v>10</v>
      </c>
      <c r="AR5" s="6"/>
      <c r="AS5" s="7"/>
      <c r="AU5" s="5" t="s">
        <v>11</v>
      </c>
      <c r="AV5" s="6"/>
      <c r="AW5" s="7"/>
      <c r="AY5" s="30" t="s">
        <v>12</v>
      </c>
      <c r="AZ5" s="6"/>
      <c r="BA5" s="7"/>
      <c r="BC5" s="5" t="s">
        <v>13</v>
      </c>
      <c r="BD5" s="6"/>
      <c r="BE5" s="7"/>
      <c r="BG5" s="5" t="s">
        <v>14</v>
      </c>
      <c r="BH5" s="6"/>
      <c r="BI5" s="7"/>
      <c r="BK5" s="30" t="s">
        <v>32</v>
      </c>
      <c r="BL5" s="6"/>
      <c r="BM5" s="7"/>
      <c r="BO5" s="5" t="s">
        <v>24</v>
      </c>
      <c r="BP5" s="6"/>
      <c r="BQ5" s="7"/>
      <c r="BS5" s="5" t="s">
        <v>25</v>
      </c>
      <c r="BT5" s="6"/>
      <c r="BU5" s="7"/>
      <c r="BW5" s="5" t="s">
        <v>26</v>
      </c>
      <c r="BX5" s="6"/>
      <c r="BY5" s="7"/>
      <c r="CA5" s="5" t="s">
        <v>27</v>
      </c>
      <c r="CB5" s="6"/>
      <c r="CC5" s="7"/>
      <c r="CE5" s="5" t="s">
        <v>7</v>
      </c>
      <c r="CF5" s="6"/>
      <c r="CG5" s="7"/>
      <c r="CI5" s="5" t="s">
        <v>16</v>
      </c>
      <c r="CJ5" s="6"/>
      <c r="CK5" s="7"/>
      <c r="CM5" s="5" t="s">
        <v>17</v>
      </c>
      <c r="CN5" s="6"/>
      <c r="CO5" s="7"/>
      <c r="CQ5" s="5" t="s">
        <v>30</v>
      </c>
      <c r="CR5" s="6"/>
      <c r="CS5" s="7"/>
      <c r="CU5" s="5" t="s">
        <v>21</v>
      </c>
      <c r="CV5" s="6"/>
      <c r="CW5" s="7"/>
      <c r="CY5" s="5" t="s">
        <v>8</v>
      </c>
      <c r="CZ5" s="6"/>
      <c r="DA5" s="7"/>
      <c r="DC5" s="30" t="s">
        <v>38</v>
      </c>
      <c r="DD5" s="6"/>
      <c r="DE5" s="7"/>
    </row>
    <row r="6" spans="1:109" s="1" customFormat="1" x14ac:dyDescent="0.2">
      <c r="A6" s="24" t="s">
        <v>2</v>
      </c>
      <c r="C6" s="19"/>
      <c r="D6" s="17"/>
      <c r="E6" s="17"/>
      <c r="F6" s="17"/>
      <c r="G6" s="17"/>
      <c r="H6" s="17"/>
      <c r="I6" s="18"/>
      <c r="J6" s="14"/>
      <c r="K6" s="36">
        <v>2.7673099999999999E-2</v>
      </c>
      <c r="L6" s="1">
        <v>0.1104899</v>
      </c>
      <c r="M6" s="42">
        <v>0.1471066</v>
      </c>
      <c r="N6" s="14"/>
      <c r="O6" s="36">
        <f>S6+W6+AE6+AI6+AQ6+AU6+AY6+BC6+BG6+BO6+BS6+BW6+CA6+CE6+CI6+CM6+CU6+CY6+DC6</f>
        <v>0.97232689999999999</v>
      </c>
      <c r="P6" s="41">
        <f>T6+X6+AB6+AF6+AJ6+AN6+AR6+AV6+AZ6+BD6+BH6+BL6+BP6+BT6+BX6+CB6+CF6+CJ6+CN6+CR6+CV6+CZ6+DD6</f>
        <v>0.88951010000000008</v>
      </c>
      <c r="Q6" s="42">
        <f>U6+Y6+AG6+AK6+AO6+AS6+AW6+BA6+BE6+BI6+BQ6+BM6+BU6+BY6+CC6+CG6+CK6+CO6+CS6+CW6+DA6+DE6</f>
        <v>0.85289340000000002</v>
      </c>
      <c r="R6" s="14"/>
      <c r="S6" s="40">
        <v>0</v>
      </c>
      <c r="T6" s="13">
        <v>5.3000000000000001E-6</v>
      </c>
      <c r="U6" s="42">
        <v>2.009E-4</v>
      </c>
      <c r="V6" s="14"/>
      <c r="W6" s="40">
        <v>0</v>
      </c>
      <c r="X6" s="13">
        <v>1.5999999999999999E-6</v>
      </c>
      <c r="Y6" s="42">
        <v>4.6595999999999999E-3</v>
      </c>
      <c r="Z6" s="14"/>
      <c r="AA6" s="40">
        <v>0</v>
      </c>
      <c r="AB6" s="13">
        <v>0</v>
      </c>
      <c r="AC6" s="42">
        <v>0</v>
      </c>
      <c r="AD6" s="14"/>
      <c r="AE6" s="40">
        <v>0</v>
      </c>
      <c r="AF6" s="13">
        <v>2.3901999999999999E-3</v>
      </c>
      <c r="AG6" s="42">
        <v>4.9018000000000004E-3</v>
      </c>
      <c r="AH6" s="14"/>
      <c r="AI6" s="40">
        <v>5.3357099999999998E-2</v>
      </c>
      <c r="AJ6" s="13">
        <v>0.148282</v>
      </c>
      <c r="AK6" s="42">
        <v>0.26836660000000001</v>
      </c>
      <c r="AM6" s="40">
        <v>0</v>
      </c>
      <c r="AN6" s="13">
        <v>0</v>
      </c>
      <c r="AO6" s="42">
        <v>1.6513999999999999E-3</v>
      </c>
      <c r="AQ6" s="40">
        <v>2.4055999999999999E-3</v>
      </c>
      <c r="AR6" s="13">
        <v>5.7505000000000004E-3</v>
      </c>
      <c r="AS6" s="42">
        <v>5.7505000000000004E-3</v>
      </c>
      <c r="AU6" s="40">
        <v>1.8749999999999999E-2</v>
      </c>
      <c r="AV6" s="13">
        <v>1.8749999999999999E-2</v>
      </c>
      <c r="AW6" s="42">
        <v>4.3991000000000002E-2</v>
      </c>
      <c r="AY6" s="40">
        <v>2.9004E-3</v>
      </c>
      <c r="AZ6" s="13">
        <v>1.35113E-2</v>
      </c>
      <c r="BA6" s="42">
        <v>1.3858799999999999E-2</v>
      </c>
      <c r="BC6" s="40">
        <v>5.4770000000000001E-3</v>
      </c>
      <c r="BD6" s="13">
        <v>3.0838999999999998E-2</v>
      </c>
      <c r="BE6" s="42">
        <v>6.0135899999999999E-2</v>
      </c>
      <c r="BG6" s="40">
        <v>1.7799999999999999E-5</v>
      </c>
      <c r="BH6" s="13">
        <v>1.7799999999999999E-5</v>
      </c>
      <c r="BI6" s="42">
        <v>1.7799999999999999E-5</v>
      </c>
      <c r="BK6" s="40">
        <v>0</v>
      </c>
      <c r="BL6" s="13">
        <v>1.2957999999999999E-3</v>
      </c>
      <c r="BM6" s="42">
        <v>5.1577000000000003E-3</v>
      </c>
      <c r="BO6" s="40">
        <v>0</v>
      </c>
      <c r="BP6" s="13">
        <v>6.5729999999999998E-4</v>
      </c>
      <c r="BQ6" s="42">
        <v>3.4859999999999999E-3</v>
      </c>
      <c r="BS6" s="40">
        <v>0</v>
      </c>
      <c r="BT6" s="13">
        <v>1.1857E-3</v>
      </c>
      <c r="BU6" s="42">
        <v>3.0130999999999999E-3</v>
      </c>
      <c r="BW6" s="40">
        <v>0</v>
      </c>
      <c r="BX6" s="13">
        <v>1.3503E-3</v>
      </c>
      <c r="BY6" s="42">
        <v>1.8753000000000001E-3</v>
      </c>
      <c r="CA6" s="40">
        <v>0</v>
      </c>
      <c r="CB6" s="13">
        <v>1.9884999999999998E-3</v>
      </c>
      <c r="CC6" s="42">
        <v>4.0217599999999999E-2</v>
      </c>
      <c r="CE6" s="40">
        <v>6.0543999999999997E-3</v>
      </c>
      <c r="CF6" s="13">
        <v>6.0543999999999997E-3</v>
      </c>
      <c r="CG6" s="42">
        <v>6.0543999999999997E-3</v>
      </c>
      <c r="CI6" s="40">
        <v>5.2169500000000001E-2</v>
      </c>
      <c r="CJ6" s="13">
        <v>0.11340799999999999</v>
      </c>
      <c r="CK6" s="42">
        <v>0.1183722</v>
      </c>
      <c r="CM6" s="40">
        <v>9.3999999999999994E-5</v>
      </c>
      <c r="CN6" s="13">
        <v>4.3302999999999996E-3</v>
      </c>
      <c r="CO6" s="42">
        <v>6.0889000000000004E-3</v>
      </c>
      <c r="CQ6" s="40">
        <v>0</v>
      </c>
      <c r="CR6" s="13">
        <v>0</v>
      </c>
      <c r="CS6" s="42">
        <v>1.04215E-2</v>
      </c>
      <c r="CU6" s="40">
        <v>1.5598799999999999E-2</v>
      </c>
      <c r="CV6" s="13">
        <v>6.0681699999999998E-2</v>
      </c>
      <c r="CW6" s="42">
        <v>0.1463692</v>
      </c>
      <c r="CY6" s="40">
        <v>-1.7200000000000001E-4</v>
      </c>
      <c r="CZ6" s="13">
        <v>-1.4870000000000001E-4</v>
      </c>
      <c r="DA6" s="42">
        <v>-1.4870000000000001E-4</v>
      </c>
      <c r="DC6" s="40">
        <v>0.81567429999999996</v>
      </c>
      <c r="DD6" s="13">
        <v>0.4791591</v>
      </c>
      <c r="DE6" s="25">
        <v>0.1084519</v>
      </c>
    </row>
    <row r="7" spans="1:109" s="1" customFormat="1" x14ac:dyDescent="0.2">
      <c r="A7" s="24"/>
      <c r="C7" s="31" t="s">
        <v>33</v>
      </c>
      <c r="D7" s="17"/>
      <c r="E7" s="44" t="s">
        <v>34</v>
      </c>
      <c r="F7" s="43"/>
      <c r="G7" s="45" t="s">
        <v>35</v>
      </c>
      <c r="H7" s="17"/>
      <c r="I7" s="18"/>
      <c r="J7" s="14"/>
      <c r="K7" s="36"/>
      <c r="L7" s="32">
        <v>0.168457</v>
      </c>
      <c r="M7" s="42">
        <v>0.1684319</v>
      </c>
      <c r="N7" s="14"/>
      <c r="O7" s="36"/>
      <c r="P7" s="41">
        <f>T7+X7+AB7+AF7+AJ7+AN7+AR7+AV7+AZ7+BD7+BH7+BL7+BP7+BT7+BX7+CB7+CF7+CJ7+CN7+CR7+CV7+CZ7+DD7</f>
        <v>0.83154300000000003</v>
      </c>
      <c r="Q7" s="42">
        <f>U7+Y7+AC7+AG7+AK7+AO7+AS7+AW7+BA7+BE7+BI7+BM7+BQ7+BU7+BY7+CC7+CG7+CK7+CO7+CS7+CW7+DA7</f>
        <v>0.83156819999999998</v>
      </c>
      <c r="R7" s="14"/>
      <c r="S7" s="40"/>
      <c r="T7" s="13">
        <v>2.7985000000000002E-3</v>
      </c>
      <c r="U7" s="42">
        <v>2.7981E-3</v>
      </c>
      <c r="V7" s="14"/>
      <c r="W7" s="40"/>
      <c r="X7" s="13">
        <v>1.50621E-2</v>
      </c>
      <c r="Y7" s="42">
        <v>1.5059899999999999E-2</v>
      </c>
      <c r="Z7" s="14"/>
      <c r="AA7" s="40"/>
      <c r="AB7" s="13">
        <v>2.36104E-2</v>
      </c>
      <c r="AC7" s="42">
        <v>2.36069E-2</v>
      </c>
      <c r="AD7" s="14"/>
      <c r="AE7" s="40"/>
      <c r="AF7" s="13">
        <v>4.9018000000000004E-3</v>
      </c>
      <c r="AG7" s="42">
        <v>4.9011000000000002E-3</v>
      </c>
      <c r="AH7" s="14"/>
      <c r="AI7" s="40"/>
      <c r="AJ7" s="13">
        <v>0.29734690000000003</v>
      </c>
      <c r="AK7" s="42">
        <v>0.29730269999999998</v>
      </c>
      <c r="AM7" s="40"/>
      <c r="AN7" s="13">
        <v>1.6513999999999999E-3</v>
      </c>
      <c r="AO7" s="42">
        <v>1.6511E-3</v>
      </c>
      <c r="AQ7" s="40"/>
      <c r="AR7" s="13">
        <v>5.7505000000000004E-3</v>
      </c>
      <c r="AS7" s="42">
        <v>5.7496999999999999E-3</v>
      </c>
      <c r="AU7" s="40"/>
      <c r="AV7" s="13">
        <v>4.3991000000000002E-2</v>
      </c>
      <c r="AW7" s="42">
        <v>4.39844E-2</v>
      </c>
      <c r="AY7" s="40"/>
      <c r="AZ7" s="13">
        <v>1.3858799999999999E-2</v>
      </c>
      <c r="BA7" s="42">
        <v>1.38567E-2</v>
      </c>
      <c r="BC7" s="40"/>
      <c r="BD7" s="13">
        <v>6.2706700000000004E-2</v>
      </c>
      <c r="BE7" s="42">
        <v>6.26974E-2</v>
      </c>
      <c r="BG7" s="40"/>
      <c r="BH7" s="13">
        <v>1.7799999999999999E-5</v>
      </c>
      <c r="BI7" s="42">
        <v>1.7799999999999999E-5</v>
      </c>
      <c r="BK7" s="40"/>
      <c r="BL7" s="13">
        <v>8.0662000000000008E-3</v>
      </c>
      <c r="BM7" s="42">
        <v>8.0649999999999993E-3</v>
      </c>
      <c r="BO7" s="40"/>
      <c r="BP7" s="13">
        <v>4.5050999999999997E-3</v>
      </c>
      <c r="BQ7" s="42">
        <v>4.5044000000000004E-3</v>
      </c>
      <c r="BS7" s="40"/>
      <c r="BT7" s="13">
        <v>3.0130999999999999E-3</v>
      </c>
      <c r="BU7" s="42">
        <v>3.0127000000000001E-3</v>
      </c>
      <c r="BW7" s="40"/>
      <c r="BX7" s="13">
        <v>3.3283000000000002E-3</v>
      </c>
      <c r="BY7" s="42">
        <v>3.3279E-3</v>
      </c>
      <c r="CA7" s="40"/>
      <c r="CB7" s="13">
        <v>4.0563299999999997E-2</v>
      </c>
      <c r="CC7" s="42">
        <v>4.0557299999999998E-2</v>
      </c>
      <c r="CE7" s="40"/>
      <c r="CF7" s="13">
        <v>6.0543999999999997E-3</v>
      </c>
      <c r="CG7" s="42">
        <v>6.0534999999999999E-3</v>
      </c>
      <c r="CI7" s="40"/>
      <c r="CJ7" s="13">
        <v>0.1187318</v>
      </c>
      <c r="CK7" s="42">
        <v>0.11871420000000001</v>
      </c>
      <c r="CM7" s="40"/>
      <c r="CN7" s="13">
        <v>6.0889000000000004E-3</v>
      </c>
      <c r="CO7" s="42">
        <v>6.0879000000000003E-3</v>
      </c>
      <c r="CQ7" s="40"/>
      <c r="CR7" s="13">
        <v>1.5266500000000001E-2</v>
      </c>
      <c r="CS7" s="42">
        <v>1.52642E-2</v>
      </c>
      <c r="CU7" s="40"/>
      <c r="CV7" s="13">
        <v>0.15437819999999999</v>
      </c>
      <c r="CW7" s="42">
        <v>0.1543553</v>
      </c>
      <c r="CY7" s="40"/>
      <c r="CZ7" s="13">
        <v>-1.4870000000000001E-4</v>
      </c>
      <c r="DA7" s="42">
        <v>0</v>
      </c>
      <c r="DC7" s="40"/>
      <c r="DD7" s="13">
        <v>0</v>
      </c>
      <c r="DE7" s="25"/>
    </row>
    <row r="8" spans="1:109" x14ac:dyDescent="0.2">
      <c r="A8" s="8"/>
      <c r="C8" s="20" t="s">
        <v>3</v>
      </c>
      <c r="D8" s="20" t="s">
        <v>4</v>
      </c>
      <c r="E8" s="20" t="s">
        <v>3</v>
      </c>
      <c r="F8" s="20" t="s">
        <v>4</v>
      </c>
      <c r="G8" s="20" t="s">
        <v>3</v>
      </c>
      <c r="H8" s="20" t="s">
        <v>4</v>
      </c>
      <c r="I8" s="20" t="s">
        <v>0</v>
      </c>
      <c r="K8" s="20" t="s">
        <v>3</v>
      </c>
      <c r="L8" s="20" t="s">
        <v>4</v>
      </c>
      <c r="M8" s="20" t="s">
        <v>0</v>
      </c>
      <c r="O8" s="20" t="s">
        <v>3</v>
      </c>
      <c r="P8" s="20" t="s">
        <v>4</v>
      </c>
      <c r="Q8" s="20" t="s">
        <v>0</v>
      </c>
      <c r="S8" s="9" t="s">
        <v>3</v>
      </c>
      <c r="T8" s="9" t="s">
        <v>4</v>
      </c>
      <c r="U8" s="9" t="s">
        <v>0</v>
      </c>
      <c r="W8" s="9" t="s">
        <v>3</v>
      </c>
      <c r="X8" s="9" t="s">
        <v>4</v>
      </c>
      <c r="Y8" s="9" t="s">
        <v>0</v>
      </c>
      <c r="AA8" s="9" t="s">
        <v>3</v>
      </c>
      <c r="AB8" s="9" t="s">
        <v>4</v>
      </c>
      <c r="AC8" s="9" t="s">
        <v>0</v>
      </c>
      <c r="AE8" s="9" t="s">
        <v>3</v>
      </c>
      <c r="AF8" s="9" t="s">
        <v>4</v>
      </c>
      <c r="AG8" s="9" t="s">
        <v>0</v>
      </c>
      <c r="AI8" s="9" t="s">
        <v>3</v>
      </c>
      <c r="AJ8" s="9" t="s">
        <v>4</v>
      </c>
      <c r="AK8" s="9" t="s">
        <v>0</v>
      </c>
      <c r="AM8" s="9" t="s">
        <v>3</v>
      </c>
      <c r="AN8" s="9" t="s">
        <v>4</v>
      </c>
      <c r="AO8" s="9" t="s">
        <v>0</v>
      </c>
      <c r="AQ8" s="9" t="s">
        <v>3</v>
      </c>
      <c r="AR8" s="9" t="s">
        <v>4</v>
      </c>
      <c r="AS8" s="9" t="s">
        <v>0</v>
      </c>
      <c r="AU8" s="9" t="s">
        <v>3</v>
      </c>
      <c r="AV8" s="9" t="s">
        <v>4</v>
      </c>
      <c r="AW8" s="9" t="s">
        <v>0</v>
      </c>
      <c r="AY8" s="9" t="s">
        <v>3</v>
      </c>
      <c r="AZ8" s="9" t="s">
        <v>4</v>
      </c>
      <c r="BA8" s="9" t="s">
        <v>0</v>
      </c>
      <c r="BC8" s="9" t="s">
        <v>3</v>
      </c>
      <c r="BD8" s="9" t="s">
        <v>4</v>
      </c>
      <c r="BE8" s="9" t="s">
        <v>0</v>
      </c>
      <c r="BG8" s="9" t="s">
        <v>3</v>
      </c>
      <c r="BH8" s="9" t="s">
        <v>4</v>
      </c>
      <c r="BI8" s="9" t="s">
        <v>0</v>
      </c>
      <c r="BK8" s="9" t="s">
        <v>3</v>
      </c>
      <c r="BL8" s="9" t="s">
        <v>4</v>
      </c>
      <c r="BM8" s="9" t="s">
        <v>0</v>
      </c>
      <c r="BO8" s="9" t="s">
        <v>3</v>
      </c>
      <c r="BP8" s="9" t="s">
        <v>4</v>
      </c>
      <c r="BQ8" s="9" t="s">
        <v>0</v>
      </c>
      <c r="BS8" s="9" t="s">
        <v>3</v>
      </c>
      <c r="BT8" s="9" t="s">
        <v>4</v>
      </c>
      <c r="BU8" s="9" t="s">
        <v>0</v>
      </c>
      <c r="BW8" s="9" t="s">
        <v>3</v>
      </c>
      <c r="BX8" s="9" t="s">
        <v>4</v>
      </c>
      <c r="BY8" s="9" t="s">
        <v>0</v>
      </c>
      <c r="CA8" s="9" t="s">
        <v>3</v>
      </c>
      <c r="CB8" s="9" t="s">
        <v>4</v>
      </c>
      <c r="CC8" s="9" t="s">
        <v>0</v>
      </c>
      <c r="CE8" s="9" t="s">
        <v>3</v>
      </c>
      <c r="CF8" s="9" t="s">
        <v>4</v>
      </c>
      <c r="CG8" s="9" t="s">
        <v>0</v>
      </c>
      <c r="CI8" s="9" t="s">
        <v>3</v>
      </c>
      <c r="CJ8" s="9" t="s">
        <v>4</v>
      </c>
      <c r="CK8" s="9" t="s">
        <v>0</v>
      </c>
      <c r="CL8" s="35"/>
      <c r="CM8" s="9" t="s">
        <v>3</v>
      </c>
      <c r="CN8" s="9" t="s">
        <v>4</v>
      </c>
      <c r="CO8" s="9" t="s">
        <v>0</v>
      </c>
      <c r="CQ8" s="9" t="s">
        <v>3</v>
      </c>
      <c r="CR8" s="9" t="s">
        <v>4</v>
      </c>
      <c r="CS8" s="9" t="s">
        <v>0</v>
      </c>
      <c r="CU8" s="9" t="s">
        <v>3</v>
      </c>
      <c r="CV8" s="9" t="s">
        <v>4</v>
      </c>
      <c r="CW8" s="9" t="s">
        <v>0</v>
      </c>
      <c r="CY8" s="9" t="s">
        <v>3</v>
      </c>
      <c r="CZ8" s="9" t="s">
        <v>4</v>
      </c>
      <c r="DA8" s="9" t="s">
        <v>0</v>
      </c>
      <c r="DC8" s="9" t="s">
        <v>3</v>
      </c>
      <c r="DD8" s="9" t="s">
        <v>4</v>
      </c>
      <c r="DE8" s="9" t="s">
        <v>0</v>
      </c>
    </row>
    <row r="9" spans="1:109" x14ac:dyDescent="0.2">
      <c r="A9" s="2">
        <v>38991</v>
      </c>
      <c r="D9" s="15">
        <v>773010</v>
      </c>
      <c r="G9" s="15">
        <f>C9+E9</f>
        <v>0</v>
      </c>
      <c r="H9" s="15">
        <f>D9+F9</f>
        <v>773010</v>
      </c>
      <c r="I9" s="15">
        <f>G9+H9</f>
        <v>773010</v>
      </c>
      <c r="L9" s="14">
        <v>0</v>
      </c>
      <c r="M9" s="14">
        <f>K9+L9</f>
        <v>0</v>
      </c>
      <c r="O9" s="33"/>
      <c r="P9" s="15">
        <f>T9+X9+AB9+AF9+AJ9+AN9+AR9+AV9+AZ9+BD9+BH9+BL9+BP9+BT9+BX9+CB9+CF9+CJ9+CN9+CR9+CV9+CZ9+DD9</f>
        <v>773010</v>
      </c>
      <c r="Q9" s="33">
        <f t="shared" ref="Q9:Q49" si="0">O9+P9</f>
        <v>773010</v>
      </c>
      <c r="S9" s="6"/>
      <c r="T9" s="6">
        <v>0</v>
      </c>
      <c r="U9" s="6">
        <f>S9+T9</f>
        <v>0</v>
      </c>
      <c r="W9" s="6"/>
      <c r="X9" s="6">
        <v>0</v>
      </c>
      <c r="Y9" s="6">
        <f>W9+X9</f>
        <v>0</v>
      </c>
      <c r="AB9" s="14">
        <v>0</v>
      </c>
      <c r="AC9" s="14">
        <v>0</v>
      </c>
      <c r="AE9" s="6"/>
      <c r="AF9" s="6">
        <v>0</v>
      </c>
      <c r="AG9" s="6">
        <f>AE9+AF9</f>
        <v>0</v>
      </c>
      <c r="AI9" s="6"/>
      <c r="AJ9" s="6">
        <v>0</v>
      </c>
      <c r="AK9" s="6">
        <f>AI9+AJ9</f>
        <v>0</v>
      </c>
      <c r="AL9" s="14"/>
      <c r="AM9" s="6"/>
      <c r="AN9" s="6">
        <v>0</v>
      </c>
      <c r="AO9" s="6">
        <f>AM9+AN9</f>
        <v>0</v>
      </c>
      <c r="AP9" s="14"/>
      <c r="AQ9" s="33"/>
      <c r="AR9" s="33">
        <v>0</v>
      </c>
      <c r="AS9" s="33">
        <f>AQ9+AR9</f>
        <v>0</v>
      </c>
      <c r="AT9" s="14"/>
      <c r="AU9" s="33"/>
      <c r="AV9" s="33">
        <v>0</v>
      </c>
      <c r="AW9" s="33">
        <f>AU9+AV9</f>
        <v>0</v>
      </c>
      <c r="AX9" s="14"/>
      <c r="AY9" s="33"/>
      <c r="AZ9" s="33">
        <v>0</v>
      </c>
      <c r="BA9" s="33">
        <f>AY9+AZ9</f>
        <v>0</v>
      </c>
      <c r="BB9" s="14"/>
      <c r="BC9" s="33"/>
      <c r="BD9" s="33">
        <v>0</v>
      </c>
      <c r="BE9" s="33">
        <f>BC9+BD9</f>
        <v>0</v>
      </c>
      <c r="BF9" s="14"/>
      <c r="BG9" s="33"/>
      <c r="BH9" s="33">
        <v>0</v>
      </c>
      <c r="BI9" s="33">
        <f>BG9+BH9</f>
        <v>0</v>
      </c>
      <c r="BJ9" s="14"/>
      <c r="BK9" s="14"/>
      <c r="BL9" s="14">
        <v>0</v>
      </c>
      <c r="BM9" s="14">
        <f t="shared" ref="BM9:BM49" si="1">BK9+BL9</f>
        <v>0</v>
      </c>
      <c r="BN9" s="14"/>
      <c r="BO9" s="33"/>
      <c r="BP9" s="33">
        <v>0</v>
      </c>
      <c r="BQ9" s="33">
        <f>BO9+BP9</f>
        <v>0</v>
      </c>
      <c r="BR9" s="14"/>
      <c r="BS9" s="33"/>
      <c r="BT9" s="33">
        <v>0</v>
      </c>
      <c r="BU9" s="33">
        <f>BS9+BT9</f>
        <v>0</v>
      </c>
      <c r="BV9" s="14"/>
      <c r="BW9" s="33"/>
      <c r="BX9" s="33">
        <v>0</v>
      </c>
      <c r="BY9" s="33">
        <f>BW9+BX9</f>
        <v>0</v>
      </c>
      <c r="BZ9" s="14"/>
      <c r="CA9" s="33"/>
      <c r="CB9" s="33">
        <v>0</v>
      </c>
      <c r="CC9" s="33">
        <f>CA9+CB9</f>
        <v>0</v>
      </c>
      <c r="CD9" s="14"/>
      <c r="CE9" s="33"/>
      <c r="CF9" s="33">
        <v>0</v>
      </c>
      <c r="CG9" s="33">
        <f>CE9+CF9</f>
        <v>0</v>
      </c>
      <c r="CH9" s="14"/>
      <c r="CI9" s="33"/>
      <c r="CJ9" s="33">
        <v>0</v>
      </c>
      <c r="CK9" s="33">
        <f>CI9+CJ9</f>
        <v>0</v>
      </c>
      <c r="CL9" s="14"/>
      <c r="CM9" s="14"/>
      <c r="CN9" s="14">
        <v>0</v>
      </c>
      <c r="CO9" s="14">
        <v>0</v>
      </c>
      <c r="CP9" s="14"/>
      <c r="CQ9" s="33"/>
      <c r="CR9" s="33">
        <v>0</v>
      </c>
      <c r="CS9" s="33">
        <f>CQ9+CR9</f>
        <v>0</v>
      </c>
      <c r="CT9" s="14"/>
      <c r="CU9" s="33"/>
      <c r="CV9" s="33">
        <v>0</v>
      </c>
      <c r="CW9" s="33">
        <f>CU9+CV9</f>
        <v>0</v>
      </c>
      <c r="CX9" s="14"/>
      <c r="CY9" s="33"/>
      <c r="CZ9" s="33">
        <v>0</v>
      </c>
      <c r="DA9" s="33">
        <f t="shared" ref="DA9:DA22" si="2">CY9+CZ9</f>
        <v>0</v>
      </c>
      <c r="DB9" s="14"/>
      <c r="DC9" s="33"/>
      <c r="DD9" s="33">
        <v>773010</v>
      </c>
      <c r="DE9" s="33">
        <f>DC9+DD9</f>
        <v>773010</v>
      </c>
    </row>
    <row r="10" spans="1:109" x14ac:dyDescent="0.2">
      <c r="A10" s="2">
        <v>39173</v>
      </c>
      <c r="D10" s="15">
        <v>1932525</v>
      </c>
      <c r="H10" s="15">
        <f t="shared" ref="H10:H49" si="3">D10+F10</f>
        <v>1932525</v>
      </c>
      <c r="I10" s="15">
        <f t="shared" ref="I10:I49" si="4">G10+H10</f>
        <v>1932525</v>
      </c>
      <c r="L10" s="14">
        <v>0</v>
      </c>
      <c r="M10" s="14">
        <f>K10+L10</f>
        <v>0</v>
      </c>
      <c r="O10" s="14"/>
      <c r="P10" s="15">
        <f t="shared" ref="P10:P49" si="5">T10+X10+AB10+AF10+AJ10+AN10+AR10+AV10+AZ10+BD10+BH10+BL10+BP10+BT10+BX10+CB10+CF10+CJ10+CN10+CR10+CV10+CZ10+DD10</f>
        <v>1932525</v>
      </c>
      <c r="Q10" s="14">
        <f t="shared" si="0"/>
        <v>1932525</v>
      </c>
      <c r="S10" s="3"/>
      <c r="T10" s="3">
        <v>0</v>
      </c>
      <c r="U10" s="3">
        <f t="shared" ref="U10:U49" si="6">S10+T10</f>
        <v>0</v>
      </c>
      <c r="W10" s="3"/>
      <c r="X10" s="3">
        <v>0</v>
      </c>
      <c r="Y10" s="3">
        <f t="shared" ref="Y10:Y49" si="7">W10+X10</f>
        <v>0</v>
      </c>
      <c r="AB10" s="14">
        <v>0</v>
      </c>
      <c r="AC10" s="14">
        <v>0</v>
      </c>
      <c r="AE10" s="3"/>
      <c r="AF10" s="3">
        <v>0</v>
      </c>
      <c r="AG10" s="3">
        <f t="shared" ref="AG10:AG49" si="8">AE10+AF10</f>
        <v>0</v>
      </c>
      <c r="AI10" s="3"/>
      <c r="AJ10" s="3">
        <v>0</v>
      </c>
      <c r="AK10" s="3">
        <f t="shared" ref="AK10:AK49" si="9">AI10+AJ10</f>
        <v>0</v>
      </c>
      <c r="AL10" s="14"/>
      <c r="AM10" s="3"/>
      <c r="AN10" s="3">
        <v>0</v>
      </c>
      <c r="AO10" s="3">
        <f t="shared" ref="AO10:AO49" si="10">AM10+AN10</f>
        <v>0</v>
      </c>
      <c r="AP10" s="14"/>
      <c r="AQ10" s="14"/>
      <c r="AR10" s="14">
        <v>0</v>
      </c>
      <c r="AS10" s="14">
        <f t="shared" ref="AS10:AS49" si="11">AQ10+AR10</f>
        <v>0</v>
      </c>
      <c r="AT10" s="14"/>
      <c r="AU10" s="14"/>
      <c r="AV10" s="14">
        <v>0</v>
      </c>
      <c r="AW10" s="14">
        <f t="shared" ref="AW10:AW49" si="12">AU10+AV10</f>
        <v>0</v>
      </c>
      <c r="AX10" s="14"/>
      <c r="AY10" s="14"/>
      <c r="AZ10" s="14">
        <v>0</v>
      </c>
      <c r="BA10" s="14">
        <f t="shared" ref="BA10:BA49" si="13">AY10+AZ10</f>
        <v>0</v>
      </c>
      <c r="BB10" s="14"/>
      <c r="BC10" s="14"/>
      <c r="BD10" s="14">
        <v>0</v>
      </c>
      <c r="BE10" s="14">
        <f t="shared" ref="BE10:BE49" si="14">BC10+BD10</f>
        <v>0</v>
      </c>
      <c r="BF10" s="14"/>
      <c r="BG10" s="14"/>
      <c r="BH10" s="14">
        <v>0</v>
      </c>
      <c r="BI10" s="14">
        <f t="shared" ref="BI10:BI49" si="15">BG10+BH10</f>
        <v>0</v>
      </c>
      <c r="BJ10" s="14"/>
      <c r="BK10" s="14"/>
      <c r="BL10" s="14">
        <v>0</v>
      </c>
      <c r="BM10" s="14">
        <f t="shared" si="1"/>
        <v>0</v>
      </c>
      <c r="BN10" s="14"/>
      <c r="BO10" s="14"/>
      <c r="BP10" s="14">
        <v>0</v>
      </c>
      <c r="BQ10" s="14">
        <f t="shared" ref="BQ10:BQ49" si="16">BO10+BP10</f>
        <v>0</v>
      </c>
      <c r="BR10" s="14"/>
      <c r="BS10" s="14"/>
      <c r="BT10" s="14">
        <v>0</v>
      </c>
      <c r="BU10" s="14">
        <f t="shared" ref="BU10:BU49" si="17">BS10+BT10</f>
        <v>0</v>
      </c>
      <c r="BV10" s="14"/>
      <c r="BW10" s="14"/>
      <c r="BX10" s="14">
        <v>0</v>
      </c>
      <c r="BY10" s="14">
        <f t="shared" ref="BY10:BY49" si="18">BW10+BX10</f>
        <v>0</v>
      </c>
      <c r="BZ10" s="14"/>
      <c r="CA10" s="14"/>
      <c r="CB10" s="14">
        <v>0</v>
      </c>
      <c r="CC10" s="14">
        <f t="shared" ref="CC10:CC49" si="19">CA10+CB10</f>
        <v>0</v>
      </c>
      <c r="CD10" s="14"/>
      <c r="CE10" s="14"/>
      <c r="CF10" s="14">
        <v>0</v>
      </c>
      <c r="CG10" s="14">
        <f t="shared" ref="CG10:CG49" si="20">CE10+CF10</f>
        <v>0</v>
      </c>
      <c r="CH10" s="14"/>
      <c r="CI10" s="14"/>
      <c r="CJ10" s="14">
        <v>0</v>
      </c>
      <c r="CK10" s="14">
        <f t="shared" ref="CK10:CK49" si="21">CI10+CJ10</f>
        <v>0</v>
      </c>
      <c r="CL10" s="14"/>
      <c r="CM10" s="14"/>
      <c r="CN10" s="14">
        <v>0</v>
      </c>
      <c r="CO10" s="14">
        <v>0</v>
      </c>
      <c r="CP10" s="14"/>
      <c r="CQ10" s="14"/>
      <c r="CR10" s="14">
        <v>0</v>
      </c>
      <c r="CS10" s="14">
        <f t="shared" ref="CS10:CS49" si="22">CQ10+CR10</f>
        <v>0</v>
      </c>
      <c r="CT10" s="14"/>
      <c r="CU10" s="14"/>
      <c r="CV10" s="14">
        <v>0</v>
      </c>
      <c r="CW10" s="14">
        <f t="shared" ref="CW10:CW49" si="23">CU10+CV10</f>
        <v>0</v>
      </c>
      <c r="CX10" s="14"/>
      <c r="CY10" s="14"/>
      <c r="CZ10" s="14">
        <v>0</v>
      </c>
      <c r="DA10" s="14">
        <f t="shared" si="2"/>
        <v>0</v>
      </c>
      <c r="DB10" s="14"/>
      <c r="DC10" s="14"/>
      <c r="DD10" s="14">
        <v>1932525</v>
      </c>
      <c r="DE10" s="14">
        <f t="shared" ref="DE10:DE48" si="24">DC10+DD10</f>
        <v>1932525</v>
      </c>
    </row>
    <row r="11" spans="1:109" x14ac:dyDescent="0.2">
      <c r="A11" s="2">
        <v>39356</v>
      </c>
      <c r="C11" s="15">
        <v>2485000</v>
      </c>
      <c r="D11" s="15">
        <v>1932525</v>
      </c>
      <c r="G11" s="15">
        <f t="shared" ref="G11:G49" si="25">C11+E11</f>
        <v>2485000</v>
      </c>
      <c r="H11" s="15">
        <f t="shared" si="3"/>
        <v>1932525</v>
      </c>
      <c r="I11" s="15">
        <f t="shared" si="4"/>
        <v>4417525</v>
      </c>
      <c r="K11" s="14">
        <f>C11*2.76731/100</f>
        <v>68767.6535</v>
      </c>
      <c r="L11" s="14">
        <v>53479</v>
      </c>
      <c r="M11" s="14">
        <f>K11+L11</f>
        <v>122246.6535</v>
      </c>
      <c r="O11" s="14">
        <f>S11+W11+AA11+AE11+AI11+AM11+AQ11+AU11+AY11+BC11+BG11+BK11+BO11+BS11+BW11+CA11+CE11+CI11+CM11+CQ11+CU11+CY11+DC11</f>
        <v>2416231.7110000001</v>
      </c>
      <c r="P11" s="15">
        <f t="shared" si="5"/>
        <v>1879046.0658150001</v>
      </c>
      <c r="Q11" s="14">
        <f t="shared" si="0"/>
        <v>4295277.776815</v>
      </c>
      <c r="S11" s="3">
        <v>0</v>
      </c>
      <c r="T11" s="3">
        <v>0</v>
      </c>
      <c r="U11" s="3">
        <f t="shared" si="6"/>
        <v>0</v>
      </c>
      <c r="W11" s="3">
        <v>0</v>
      </c>
      <c r="X11" s="3">
        <v>0</v>
      </c>
      <c r="Y11" s="3">
        <f t="shared" si="7"/>
        <v>0</v>
      </c>
      <c r="AA11" s="14">
        <v>0</v>
      </c>
      <c r="AB11" s="14">
        <v>0</v>
      </c>
      <c r="AC11" s="14">
        <v>0</v>
      </c>
      <c r="AE11" s="3"/>
      <c r="AF11" s="3">
        <v>0</v>
      </c>
      <c r="AG11" s="3">
        <f t="shared" si="8"/>
        <v>0</v>
      </c>
      <c r="AI11" s="3">
        <f>G11*5.33571/100</f>
        <v>132592.39350000001</v>
      </c>
      <c r="AJ11" s="3">
        <f>H11*5.33571/100</f>
        <v>103113.9296775</v>
      </c>
      <c r="AK11" s="3">
        <f t="shared" si="9"/>
        <v>235706.32317749999</v>
      </c>
      <c r="AL11" s="14"/>
      <c r="AM11" s="3">
        <v>0</v>
      </c>
      <c r="AN11" s="3">
        <v>0</v>
      </c>
      <c r="AO11" s="3">
        <f t="shared" si="10"/>
        <v>0</v>
      </c>
      <c r="AP11" s="14"/>
      <c r="AQ11" s="14">
        <f>G11*0.24056/100</f>
        <v>5977.9160000000002</v>
      </c>
      <c r="AR11" s="14">
        <f>H11*0.24056/100</f>
        <v>4648.8821399999997</v>
      </c>
      <c r="AS11" s="14">
        <f t="shared" si="11"/>
        <v>10626.798139999999</v>
      </c>
      <c r="AT11" s="14"/>
      <c r="AU11" s="14">
        <f>G11*1.875/100</f>
        <v>46593.75</v>
      </c>
      <c r="AV11" s="14">
        <f>H11*1.875/100</f>
        <v>36234.84375</v>
      </c>
      <c r="AW11" s="14">
        <f t="shared" si="12"/>
        <v>82828.59375</v>
      </c>
      <c r="AX11" s="14"/>
      <c r="AY11" s="14">
        <f>G11*0.29004/100</f>
        <v>7207.4940000000006</v>
      </c>
      <c r="AZ11" s="14">
        <f>H11*0.29004/100</f>
        <v>5605.095510000001</v>
      </c>
      <c r="BA11" s="14">
        <f t="shared" si="13"/>
        <v>12812.589510000002</v>
      </c>
      <c r="BB11" s="14"/>
      <c r="BC11" s="14">
        <f>G11*0.5477/100</f>
        <v>13610.344999999999</v>
      </c>
      <c r="BD11" s="14">
        <f>H11*0.5477/100</f>
        <v>10584.439424999999</v>
      </c>
      <c r="BE11" s="14">
        <f t="shared" si="14"/>
        <v>24194.784424999998</v>
      </c>
      <c r="BF11" s="14"/>
      <c r="BG11" s="14">
        <f>G11*0.00178/100</f>
        <v>44.233000000000004</v>
      </c>
      <c r="BH11" s="14">
        <f>H11*0.00178/100</f>
        <v>34.398944999999998</v>
      </c>
      <c r="BI11" s="14">
        <f t="shared" si="15"/>
        <v>78.631945000000002</v>
      </c>
      <c r="BJ11" s="14"/>
      <c r="BK11" s="14">
        <v>0</v>
      </c>
      <c r="BL11" s="14">
        <v>0</v>
      </c>
      <c r="BM11" s="14">
        <f t="shared" si="1"/>
        <v>0</v>
      </c>
      <c r="BN11" s="14"/>
      <c r="BO11" s="14"/>
      <c r="BP11" s="14">
        <v>0</v>
      </c>
      <c r="BQ11" s="14">
        <f t="shared" si="16"/>
        <v>0</v>
      </c>
      <c r="BR11" s="14"/>
      <c r="BS11" s="14"/>
      <c r="BT11" s="14">
        <v>0</v>
      </c>
      <c r="BU11" s="14">
        <f t="shared" si="17"/>
        <v>0</v>
      </c>
      <c r="BV11" s="14"/>
      <c r="BW11" s="14"/>
      <c r="BX11" s="14">
        <v>0</v>
      </c>
      <c r="BY11" s="14">
        <f t="shared" si="18"/>
        <v>0</v>
      </c>
      <c r="BZ11" s="14"/>
      <c r="CA11" s="14"/>
      <c r="CB11" s="14">
        <v>0</v>
      </c>
      <c r="CC11" s="14">
        <f t="shared" si="19"/>
        <v>0</v>
      </c>
      <c r="CD11" s="14"/>
      <c r="CE11" s="14">
        <f>G11*0.60544/100</f>
        <v>15045.183999999999</v>
      </c>
      <c r="CF11" s="14">
        <f>H11*0.60544/100</f>
        <v>11700.27936</v>
      </c>
      <c r="CG11" s="14">
        <f t="shared" si="20"/>
        <v>26745.463360000002</v>
      </c>
      <c r="CH11" s="14"/>
      <c r="CI11" s="14">
        <f>G11*5.21695/100</f>
        <v>129641.2075</v>
      </c>
      <c r="CJ11" s="14">
        <f>H11*5.21695/100</f>
        <v>100818.8629875</v>
      </c>
      <c r="CK11" s="14">
        <f t="shared" si="21"/>
        <v>230460.07048749999</v>
      </c>
      <c r="CL11" s="14"/>
      <c r="CM11" s="14">
        <f>G11*0.0094/100</f>
        <v>233.59</v>
      </c>
      <c r="CN11" s="14">
        <f>H11*0.0094/100</f>
        <v>181.65735000000001</v>
      </c>
      <c r="CO11" s="14">
        <f>CM11+CN11</f>
        <v>415.24734999999998</v>
      </c>
      <c r="CP11" s="14"/>
      <c r="CQ11" s="14">
        <v>0</v>
      </c>
      <c r="CR11" s="14">
        <v>0</v>
      </c>
      <c r="CS11" s="14">
        <f t="shared" si="22"/>
        <v>0</v>
      </c>
      <c r="CT11" s="14"/>
      <c r="CU11" s="14">
        <f>G11*1.55988/100</f>
        <v>38763.017999999996</v>
      </c>
      <c r="CV11" s="14">
        <f>H11*1.55988/100</f>
        <v>30145.070970000001</v>
      </c>
      <c r="CW11" s="14">
        <f t="shared" si="23"/>
        <v>68908.088969999997</v>
      </c>
      <c r="CX11" s="14"/>
      <c r="CY11" s="14">
        <f>G11*-0.0172/100</f>
        <v>-427.42</v>
      </c>
      <c r="CZ11" s="14">
        <f>H11*-0.0172/100</f>
        <v>-332.39429999999999</v>
      </c>
      <c r="DA11" s="14">
        <f t="shared" si="2"/>
        <v>-759.8143</v>
      </c>
      <c r="DB11" s="14"/>
      <c r="DC11" s="14">
        <v>2026950</v>
      </c>
      <c r="DD11" s="14">
        <v>1576311</v>
      </c>
      <c r="DE11" s="14">
        <f t="shared" si="24"/>
        <v>3603261</v>
      </c>
    </row>
    <row r="12" spans="1:109" x14ac:dyDescent="0.2">
      <c r="A12" s="2">
        <v>39539</v>
      </c>
      <c r="D12" s="15">
        <v>1882825</v>
      </c>
      <c r="H12" s="15">
        <f t="shared" si="3"/>
        <v>1882825</v>
      </c>
      <c r="I12" s="15">
        <f t="shared" si="4"/>
        <v>1882825</v>
      </c>
      <c r="L12" s="14">
        <v>208033</v>
      </c>
      <c r="M12" s="14">
        <f>K12+L12</f>
        <v>208033</v>
      </c>
      <c r="O12" s="14"/>
      <c r="P12" s="15">
        <f t="shared" si="5"/>
        <v>1674791.8540324999</v>
      </c>
      <c r="Q12" s="14">
        <f t="shared" si="0"/>
        <v>1674791.8540324999</v>
      </c>
      <c r="S12" s="3"/>
      <c r="T12" s="3">
        <f>H12*0.00053/100</f>
        <v>9.9789724999999994</v>
      </c>
      <c r="U12" s="3">
        <f t="shared" si="6"/>
        <v>9.9789724999999994</v>
      </c>
      <c r="W12" s="3"/>
      <c r="X12" s="3">
        <f>H12*0.00016/100</f>
        <v>3.0125200000000003</v>
      </c>
      <c r="Y12" s="3">
        <f t="shared" si="7"/>
        <v>3.0125200000000003</v>
      </c>
      <c r="AB12" s="14">
        <v>0</v>
      </c>
      <c r="AC12" s="14">
        <v>0</v>
      </c>
      <c r="AE12" s="3"/>
      <c r="AF12" s="3">
        <f>H12*0.23902/100</f>
        <v>4500.3283150000007</v>
      </c>
      <c r="AG12" s="3">
        <f t="shared" si="8"/>
        <v>4500.3283150000007</v>
      </c>
      <c r="AI12" s="3"/>
      <c r="AJ12" s="3">
        <f>H12*14.8282/100</f>
        <v>279189.05665000004</v>
      </c>
      <c r="AK12" s="3">
        <f t="shared" si="9"/>
        <v>279189.05665000004</v>
      </c>
      <c r="AL12" s="14"/>
      <c r="AM12" s="3"/>
      <c r="AN12" s="3">
        <v>0</v>
      </c>
      <c r="AO12" s="3">
        <f t="shared" si="10"/>
        <v>0</v>
      </c>
      <c r="AP12" s="14"/>
      <c r="AQ12" s="14"/>
      <c r="AR12" s="14">
        <f>H12*0.57505/100</f>
        <v>10827.185162499998</v>
      </c>
      <c r="AS12" s="14">
        <f t="shared" si="11"/>
        <v>10827.185162499998</v>
      </c>
      <c r="AT12" s="14"/>
      <c r="AU12" s="14"/>
      <c r="AV12" s="14">
        <f>H12*1.875/100</f>
        <v>35302.96875</v>
      </c>
      <c r="AW12" s="14">
        <f t="shared" si="12"/>
        <v>35302.96875</v>
      </c>
      <c r="AX12" s="14"/>
      <c r="AY12" s="14"/>
      <c r="AZ12" s="14">
        <f>H12*1.35113/100</f>
        <v>25439.413422499998</v>
      </c>
      <c r="BA12" s="14">
        <f t="shared" si="13"/>
        <v>25439.413422499998</v>
      </c>
      <c r="BB12" s="14"/>
      <c r="BC12" s="14"/>
      <c r="BD12" s="14">
        <f>H12*3.0839/100</f>
        <v>58064.440175000003</v>
      </c>
      <c r="BE12" s="14">
        <f t="shared" si="14"/>
        <v>58064.440175000003</v>
      </c>
      <c r="BF12" s="14"/>
      <c r="BG12" s="14"/>
      <c r="BH12" s="14">
        <f>H12*0.00178/100</f>
        <v>33.514285000000001</v>
      </c>
      <c r="BI12" s="14">
        <f t="shared" si="15"/>
        <v>33.514285000000001</v>
      </c>
      <c r="BJ12" s="14"/>
      <c r="BK12" s="14"/>
      <c r="BL12" s="14">
        <f>H12*0.12958/100</f>
        <v>2439.764635</v>
      </c>
      <c r="BM12" s="14">
        <f t="shared" si="1"/>
        <v>2439.764635</v>
      </c>
      <c r="BN12" s="14"/>
      <c r="BO12" s="14"/>
      <c r="BP12" s="14">
        <f>H12*0.06573/100</f>
        <v>1237.5808724999999</v>
      </c>
      <c r="BQ12" s="14">
        <f t="shared" si="16"/>
        <v>1237.5808724999999</v>
      </c>
      <c r="BR12" s="14"/>
      <c r="BS12" s="14"/>
      <c r="BT12" s="14">
        <f>H12*0.11857/100</f>
        <v>2232.4656024999999</v>
      </c>
      <c r="BU12" s="14">
        <f t="shared" si="17"/>
        <v>2232.4656024999999</v>
      </c>
      <c r="BV12" s="14"/>
      <c r="BW12" s="14"/>
      <c r="BX12" s="14">
        <f>H12*0.13503/100</f>
        <v>2542.3785975000005</v>
      </c>
      <c r="BY12" s="14">
        <f t="shared" si="18"/>
        <v>2542.3785975000005</v>
      </c>
      <c r="BZ12" s="14"/>
      <c r="CA12" s="14"/>
      <c r="CB12" s="14">
        <f>H12*0.19885/100</f>
        <v>3743.9975124999996</v>
      </c>
      <c r="CC12" s="14">
        <f t="shared" si="19"/>
        <v>3743.9975124999996</v>
      </c>
      <c r="CD12" s="14"/>
      <c r="CE12" s="14"/>
      <c r="CF12" s="14">
        <f>H12*0.60544/100</f>
        <v>11399.375679999999</v>
      </c>
      <c r="CG12" s="14">
        <f t="shared" si="20"/>
        <v>11399.375679999999</v>
      </c>
      <c r="CH12" s="14"/>
      <c r="CI12" s="14"/>
      <c r="CJ12" s="14">
        <f>H12*11.3408/100</f>
        <v>213527.41759999999</v>
      </c>
      <c r="CK12" s="14">
        <f t="shared" si="21"/>
        <v>213527.41759999999</v>
      </c>
      <c r="CL12" s="14"/>
      <c r="CM12" s="14"/>
      <c r="CN12" s="14">
        <f>H12*0.43303/100</f>
        <v>8153.1970975000004</v>
      </c>
      <c r="CO12" s="14">
        <f>CM12+CN12</f>
        <v>8153.1970975000004</v>
      </c>
      <c r="CP12" s="14"/>
      <c r="CQ12" s="14"/>
      <c r="CR12" s="14">
        <v>0</v>
      </c>
      <c r="CS12" s="14">
        <f t="shared" si="22"/>
        <v>0</v>
      </c>
      <c r="CT12" s="14"/>
      <c r="CU12" s="14"/>
      <c r="CV12" s="14">
        <f>H12*6.06817/100</f>
        <v>114253.02180250001</v>
      </c>
      <c r="CW12" s="14">
        <f t="shared" si="23"/>
        <v>114253.02180250001</v>
      </c>
      <c r="CX12" s="14"/>
      <c r="CY12" s="14"/>
      <c r="CZ12" s="14">
        <f t="shared" ref="CZ12:CZ20" si="26">H12*-0.01487/100</f>
        <v>-279.97607749999997</v>
      </c>
      <c r="DA12" s="14">
        <f t="shared" si="2"/>
        <v>-279.97607749999997</v>
      </c>
      <c r="DB12" s="14"/>
      <c r="DC12" s="14"/>
      <c r="DD12" s="14">
        <f>D12*47.91591/100</f>
        <v>902172.73245749995</v>
      </c>
      <c r="DE12" s="14">
        <f t="shared" si="24"/>
        <v>902172.73245749995</v>
      </c>
    </row>
    <row r="13" spans="1:109" x14ac:dyDescent="0.2">
      <c r="A13" s="2">
        <v>39722</v>
      </c>
      <c r="C13" s="15">
        <v>2590000</v>
      </c>
      <c r="D13" s="15">
        <v>1882825</v>
      </c>
      <c r="G13" s="15">
        <f t="shared" si="25"/>
        <v>2590000</v>
      </c>
      <c r="H13" s="15">
        <f t="shared" si="3"/>
        <v>1882825</v>
      </c>
      <c r="I13" s="15">
        <f t="shared" si="4"/>
        <v>4472825</v>
      </c>
      <c r="K13" s="34">
        <v>381006</v>
      </c>
      <c r="L13" s="34">
        <v>276976</v>
      </c>
      <c r="M13" s="34">
        <f t="shared" ref="M13:M49" si="27">K13+L13</f>
        <v>657982</v>
      </c>
      <c r="O13" s="34">
        <f t="shared" ref="O13:O49" si="28">S13+W13+AA13+AE13+AI13+AM13+AQ13+AU13+AY13+BC13+BG13+BK13+BO13+BS13+BW13+CA13+CE13+CI13+CM13+CQ13+CU13+CY13+DC13</f>
        <v>2208994.4849999999</v>
      </c>
      <c r="P13" s="38">
        <f t="shared" si="5"/>
        <v>1605849.0672374999</v>
      </c>
      <c r="Q13" s="34">
        <f t="shared" si="0"/>
        <v>3814843.5522374995</v>
      </c>
      <c r="S13" s="39">
        <f>G13*0.02009/100</f>
        <v>520.33100000000002</v>
      </c>
      <c r="T13" s="39">
        <f>H13*0.02009/100</f>
        <v>378.25954250000001</v>
      </c>
      <c r="U13" s="39">
        <f t="shared" si="6"/>
        <v>898.59054250000008</v>
      </c>
      <c r="W13" s="39">
        <f>G13*0.46596/100</f>
        <v>12068.364</v>
      </c>
      <c r="X13" s="39">
        <f>H13*0.46596/100</f>
        <v>8773.2113699999991</v>
      </c>
      <c r="Y13" s="39">
        <f t="shared" si="7"/>
        <v>20841.575369999999</v>
      </c>
      <c r="AA13" s="34">
        <v>0</v>
      </c>
      <c r="AB13" s="34">
        <v>0</v>
      </c>
      <c r="AC13" s="34">
        <v>0</v>
      </c>
      <c r="AE13" s="39">
        <f>G13*0.49018/100</f>
        <v>12695.662</v>
      </c>
      <c r="AF13" s="39">
        <f>H13*0.49018/100</f>
        <v>9229.2315849999995</v>
      </c>
      <c r="AG13" s="39">
        <f t="shared" si="8"/>
        <v>21924.893584999998</v>
      </c>
      <c r="AI13" s="39">
        <f>G13*26.83666/100</f>
        <v>695069.49399999995</v>
      </c>
      <c r="AJ13" s="39">
        <f>H13*26.83666/100</f>
        <v>505287.34364499996</v>
      </c>
      <c r="AK13" s="39">
        <f t="shared" si="9"/>
        <v>1200356.8376449998</v>
      </c>
      <c r="AL13" s="14"/>
      <c r="AM13" s="39">
        <f>G13*0.16514/100</f>
        <v>4277.1260000000002</v>
      </c>
      <c r="AN13" s="39">
        <f>H13*0.16514/100</f>
        <v>3109.2972049999998</v>
      </c>
      <c r="AO13" s="39">
        <f t="shared" si="10"/>
        <v>7386.4232050000001</v>
      </c>
      <c r="AP13" s="14"/>
      <c r="AQ13" s="34">
        <f>G13*0.57505/100</f>
        <v>14893.794999999998</v>
      </c>
      <c r="AR13" s="34">
        <f>H13*0.57505/100</f>
        <v>10827.185162499998</v>
      </c>
      <c r="AS13" s="34">
        <f t="shared" si="11"/>
        <v>25720.980162499996</v>
      </c>
      <c r="AT13" s="14"/>
      <c r="AU13" s="34">
        <f>G13*4.3991/100</f>
        <v>113936.69</v>
      </c>
      <c r="AV13" s="34">
        <f>H13*4.3991/100</f>
        <v>82827.35457499999</v>
      </c>
      <c r="AW13" s="34">
        <f t="shared" si="12"/>
        <v>196764.04457500001</v>
      </c>
      <c r="AX13" s="14"/>
      <c r="AY13" s="34">
        <f>G13*1.38588/100</f>
        <v>35894.292000000001</v>
      </c>
      <c r="AZ13" s="34">
        <f>H13*1.38588/100</f>
        <v>26093.695110000001</v>
      </c>
      <c r="BA13" s="34">
        <f t="shared" si="13"/>
        <v>61987.987110000002</v>
      </c>
      <c r="BB13" s="14"/>
      <c r="BC13" s="34">
        <f>G13*6.01359/100</f>
        <v>155751.981</v>
      </c>
      <c r="BD13" s="34">
        <f>H13*6.01359/100</f>
        <v>113225.3759175</v>
      </c>
      <c r="BE13" s="34">
        <f t="shared" si="14"/>
        <v>268977.35691750003</v>
      </c>
      <c r="BF13" s="14"/>
      <c r="BG13" s="34">
        <f>G13*0.00178/100</f>
        <v>46.101999999999997</v>
      </c>
      <c r="BH13" s="34">
        <f>H13*0.00178/100</f>
        <v>33.514285000000001</v>
      </c>
      <c r="BI13" s="34">
        <f t="shared" si="15"/>
        <v>79.616285000000005</v>
      </c>
      <c r="BJ13" s="14"/>
      <c r="BK13" s="34">
        <f>G13*0.51577/100</f>
        <v>13358.442999999997</v>
      </c>
      <c r="BL13" s="34">
        <f>H13*0.51577/100</f>
        <v>9711.0465024999994</v>
      </c>
      <c r="BM13" s="34">
        <f t="shared" si="1"/>
        <v>23069.489502499997</v>
      </c>
      <c r="BN13" s="14"/>
      <c r="BO13" s="34">
        <f>G13*0.3486/100</f>
        <v>9028.74</v>
      </c>
      <c r="BP13" s="34">
        <f>H13*0.3486/100</f>
        <v>6563.5279500000006</v>
      </c>
      <c r="BQ13" s="34">
        <f t="shared" si="16"/>
        <v>15592.267950000001</v>
      </c>
      <c r="BR13" s="14"/>
      <c r="BS13" s="34">
        <f>G13*0.30131/100</f>
        <v>7803.9290000000001</v>
      </c>
      <c r="BT13" s="34">
        <f>H13*0.30131/100</f>
        <v>5673.1400075000001</v>
      </c>
      <c r="BU13" s="34">
        <f t="shared" si="17"/>
        <v>13477.0690075</v>
      </c>
      <c r="BV13" s="14"/>
      <c r="BW13" s="34">
        <f>G13*0.18753/100</f>
        <v>4857.027</v>
      </c>
      <c r="BX13" s="34">
        <f>H13*0.18753/100</f>
        <v>3530.8617224999998</v>
      </c>
      <c r="BY13" s="34">
        <f t="shared" si="18"/>
        <v>8387.8887224999999</v>
      </c>
      <c r="BZ13" s="14"/>
      <c r="CA13" s="34">
        <f>G13*4.02176/100</f>
        <v>104163.58399999999</v>
      </c>
      <c r="CB13" s="34">
        <f>H13*4.02176/100</f>
        <v>75722.702719999987</v>
      </c>
      <c r="CC13" s="34">
        <f t="shared" si="19"/>
        <v>179886.28671999997</v>
      </c>
      <c r="CD13" s="14"/>
      <c r="CE13" s="34">
        <f>G13*0.60544/100</f>
        <v>15680.895999999999</v>
      </c>
      <c r="CF13" s="34">
        <f>H13*0.60544/100</f>
        <v>11399.375679999999</v>
      </c>
      <c r="CG13" s="34">
        <f t="shared" si="20"/>
        <v>27080.271679999998</v>
      </c>
      <c r="CH13" s="14"/>
      <c r="CI13" s="34">
        <f>G13*11.83722/100</f>
        <v>306583.99800000002</v>
      </c>
      <c r="CJ13" s="34">
        <f>H13*11.83722/100</f>
        <v>222874.13746500001</v>
      </c>
      <c r="CK13" s="34">
        <f t="shared" si="21"/>
        <v>529458.13546500006</v>
      </c>
      <c r="CL13" s="14"/>
      <c r="CM13" s="34">
        <f>G13*0.60889/100</f>
        <v>15770.251</v>
      </c>
      <c r="CN13" s="34">
        <f>H13*0.60889/100</f>
        <v>11464.3331425</v>
      </c>
      <c r="CO13" s="34">
        <f t="shared" ref="CO13:CO49" si="29">CM13+CN13</f>
        <v>27234.5841425</v>
      </c>
      <c r="CP13" s="14"/>
      <c r="CQ13" s="34">
        <f>G13*1.04215/100</f>
        <v>26991.684999999994</v>
      </c>
      <c r="CR13" s="34">
        <f>H13*1.04215/100</f>
        <v>19621.860737499999</v>
      </c>
      <c r="CS13" s="34">
        <f t="shared" si="22"/>
        <v>46613.545737499997</v>
      </c>
      <c r="CT13" s="14"/>
      <c r="CU13" s="34">
        <f>G13*14.63692/100</f>
        <v>379096.22799999994</v>
      </c>
      <c r="CV13" s="34">
        <f>H13*14.63692/100</f>
        <v>275587.58899000002</v>
      </c>
      <c r="CW13" s="34">
        <f t="shared" si="23"/>
        <v>654683.81698999996</v>
      </c>
      <c r="CX13" s="14"/>
      <c r="CY13" s="34">
        <f>G13*-0.01487/100</f>
        <v>-385.13299999999998</v>
      </c>
      <c r="CZ13" s="34">
        <f t="shared" si="26"/>
        <v>-279.97607749999997</v>
      </c>
      <c r="DA13" s="34">
        <f t="shared" si="2"/>
        <v>-665.10907750000001</v>
      </c>
      <c r="DB13" s="14"/>
      <c r="DC13" s="34">
        <v>280891</v>
      </c>
      <c r="DD13" s="34">
        <v>204196</v>
      </c>
      <c r="DE13" s="34">
        <f t="shared" si="24"/>
        <v>485087</v>
      </c>
    </row>
    <row r="14" spans="1:109" x14ac:dyDescent="0.2">
      <c r="A14" s="2">
        <v>39904</v>
      </c>
      <c r="D14" s="15">
        <v>1831025</v>
      </c>
      <c r="H14" s="15">
        <f t="shared" si="3"/>
        <v>1831025</v>
      </c>
      <c r="I14" s="15">
        <f t="shared" si="4"/>
        <v>1831025</v>
      </c>
      <c r="L14" s="14">
        <v>308449</v>
      </c>
      <c r="M14" s="14">
        <f t="shared" si="27"/>
        <v>308449</v>
      </c>
      <c r="O14" s="14"/>
      <c r="P14" s="15">
        <f t="shared" si="5"/>
        <v>1522576.0215749999</v>
      </c>
      <c r="Q14" s="14">
        <f t="shared" si="0"/>
        <v>1522576.0215749999</v>
      </c>
      <c r="S14" s="3"/>
      <c r="T14" s="3">
        <f>H14*0.27985/100</f>
        <v>5124.1234624999997</v>
      </c>
      <c r="U14" s="3">
        <f t="shared" si="6"/>
        <v>5124.1234624999997</v>
      </c>
      <c r="W14" s="3"/>
      <c r="X14" s="3">
        <f>H14*1.50621/100</f>
        <v>27579.081652500001</v>
      </c>
      <c r="Y14" s="3">
        <f t="shared" si="7"/>
        <v>27579.081652500001</v>
      </c>
      <c r="AB14" s="14">
        <f>H14*2.36104/100</f>
        <v>43231.232660000001</v>
      </c>
      <c r="AC14" s="14">
        <f>AA14+AB14</f>
        <v>43231.232660000001</v>
      </c>
      <c r="AE14" s="3"/>
      <c r="AF14" s="3">
        <f>H14*0.49018/100</f>
        <v>8975.3183449999997</v>
      </c>
      <c r="AG14" s="3">
        <f t="shared" si="8"/>
        <v>8975.3183449999997</v>
      </c>
      <c r="AI14" s="3"/>
      <c r="AJ14" s="3">
        <f>H14*29.73469/100</f>
        <v>544449.60757250001</v>
      </c>
      <c r="AK14" s="3">
        <f t="shared" si="9"/>
        <v>544449.60757250001</v>
      </c>
      <c r="AL14" s="14"/>
      <c r="AM14" s="3"/>
      <c r="AN14" s="3">
        <f>H14*0.16514/100</f>
        <v>3023.7546850000003</v>
      </c>
      <c r="AO14" s="3">
        <f t="shared" si="10"/>
        <v>3023.7546850000003</v>
      </c>
      <c r="AP14" s="14"/>
      <c r="AQ14" s="14"/>
      <c r="AR14" s="14">
        <f>H14*0.57505/100</f>
        <v>10529.309262500001</v>
      </c>
      <c r="AS14" s="14">
        <f t="shared" si="11"/>
        <v>10529.309262500001</v>
      </c>
      <c r="AT14" s="14"/>
      <c r="AU14" s="14"/>
      <c r="AV14" s="14">
        <f>H14*4.3991/100</f>
        <v>80548.620775000003</v>
      </c>
      <c r="AW14" s="14">
        <f t="shared" si="12"/>
        <v>80548.620775000003</v>
      </c>
      <c r="AX14" s="14"/>
      <c r="AY14" s="14"/>
      <c r="AZ14" s="14">
        <f>H14*1.38588/100</f>
        <v>25375.809270000002</v>
      </c>
      <c r="BA14" s="14">
        <f t="shared" si="13"/>
        <v>25375.809270000002</v>
      </c>
      <c r="BB14" s="14"/>
      <c r="BC14" s="14"/>
      <c r="BD14" s="14">
        <f>H14*6.27067/100</f>
        <v>114817.53536749999</v>
      </c>
      <c r="BE14" s="14">
        <f t="shared" si="14"/>
        <v>114817.53536749999</v>
      </c>
      <c r="BF14" s="14"/>
      <c r="BG14" s="14"/>
      <c r="BH14" s="14">
        <f>H14*0.00178/100</f>
        <v>32.592244999999998</v>
      </c>
      <c r="BI14" s="14">
        <f t="shared" si="15"/>
        <v>32.592244999999998</v>
      </c>
      <c r="BJ14" s="14"/>
      <c r="BK14" s="14"/>
      <c r="BL14" s="14">
        <f>H14*0.80662/100</f>
        <v>14769.413855000001</v>
      </c>
      <c r="BM14" s="14">
        <f t="shared" si="1"/>
        <v>14769.413855000001</v>
      </c>
      <c r="BN14" s="14"/>
      <c r="BO14" s="14"/>
      <c r="BP14" s="14">
        <f>H14*0.45051/100</f>
        <v>8248.9507274999996</v>
      </c>
      <c r="BQ14" s="14">
        <f t="shared" si="16"/>
        <v>8248.9507274999996</v>
      </c>
      <c r="BR14" s="14"/>
      <c r="BS14" s="14"/>
      <c r="BT14" s="14">
        <f>H14*0.30131/100</f>
        <v>5517.0614274999998</v>
      </c>
      <c r="BU14" s="14">
        <f t="shared" si="17"/>
        <v>5517.0614274999998</v>
      </c>
      <c r="BV14" s="14"/>
      <c r="BW14" s="14"/>
      <c r="BX14" s="14">
        <f>H14*0.33283/100</f>
        <v>6094.2005075000006</v>
      </c>
      <c r="BY14" s="14">
        <f t="shared" si="18"/>
        <v>6094.2005075000006</v>
      </c>
      <c r="BZ14" s="14"/>
      <c r="CA14" s="14"/>
      <c r="CB14" s="14">
        <f t="shared" ref="CB14:CB21" si="30">H14*4.05633/100</f>
        <v>74272.4163825</v>
      </c>
      <c r="CC14" s="14">
        <f t="shared" si="19"/>
        <v>74272.4163825</v>
      </c>
      <c r="CD14" s="14"/>
      <c r="CE14" s="14"/>
      <c r="CF14" s="14">
        <f>H14*0.60544/100</f>
        <v>11085.75776</v>
      </c>
      <c r="CG14" s="14">
        <f t="shared" si="20"/>
        <v>11085.75776</v>
      </c>
      <c r="CH14" s="14"/>
      <c r="CI14" s="14"/>
      <c r="CJ14" s="14">
        <f>H14*11.87318/100</f>
        <v>217400.894095</v>
      </c>
      <c r="CK14" s="14">
        <f t="shared" si="21"/>
        <v>217400.894095</v>
      </c>
      <c r="CL14" s="14"/>
      <c r="CM14" s="14"/>
      <c r="CN14" s="14">
        <f>H14*0.60889/100</f>
        <v>11148.928122500001</v>
      </c>
      <c r="CO14" s="14">
        <f t="shared" si="29"/>
        <v>11148.928122500001</v>
      </c>
      <c r="CP14" s="14"/>
      <c r="CQ14" s="14"/>
      <c r="CR14" s="14">
        <f>H14*1.52665/100</f>
        <v>27953.343162500001</v>
      </c>
      <c r="CS14" s="14">
        <f t="shared" si="22"/>
        <v>27953.343162500001</v>
      </c>
      <c r="CT14" s="14"/>
      <c r="CU14" s="14"/>
      <c r="CV14" s="14">
        <f>H14*15.43782/100</f>
        <v>282670.34365499998</v>
      </c>
      <c r="CW14" s="14">
        <f t="shared" si="23"/>
        <v>282670.34365499998</v>
      </c>
      <c r="CX14" s="14"/>
      <c r="CY14" s="14"/>
      <c r="CZ14" s="14">
        <f t="shared" si="26"/>
        <v>-272.27341749999999</v>
      </c>
      <c r="DA14" s="14">
        <f t="shared" si="2"/>
        <v>-272.27341749999999</v>
      </c>
      <c r="DB14" s="14"/>
      <c r="DC14" s="14"/>
      <c r="DD14" s="14"/>
      <c r="DE14" s="14">
        <f t="shared" si="24"/>
        <v>0</v>
      </c>
    </row>
    <row r="15" spans="1:109" x14ac:dyDescent="0.2">
      <c r="A15" s="2">
        <v>40087</v>
      </c>
      <c r="C15" s="15">
        <v>2695000</v>
      </c>
      <c r="D15" s="15">
        <v>1831025</v>
      </c>
      <c r="G15" s="15">
        <f t="shared" si="25"/>
        <v>2695000</v>
      </c>
      <c r="H15" s="15">
        <f t="shared" si="3"/>
        <v>1831025</v>
      </c>
      <c r="I15" s="15">
        <f t="shared" si="4"/>
        <v>4526025</v>
      </c>
      <c r="K15" s="14">
        <v>453992</v>
      </c>
      <c r="L15" s="14">
        <v>308449</v>
      </c>
      <c r="M15" s="14">
        <f t="shared" si="27"/>
        <v>762441</v>
      </c>
      <c r="O15" s="14">
        <f t="shared" si="28"/>
        <v>2241008.3850000002</v>
      </c>
      <c r="P15" s="15">
        <f t="shared" si="5"/>
        <v>1522576.0215749999</v>
      </c>
      <c r="Q15" s="14">
        <f t="shared" si="0"/>
        <v>3763584.4065749999</v>
      </c>
      <c r="S15" s="3">
        <f>G15*0.27985/100</f>
        <v>7541.9575000000004</v>
      </c>
      <c r="T15" s="3">
        <f>H15*0.27985/100</f>
        <v>5124.1234624999997</v>
      </c>
      <c r="U15" s="3">
        <f t="shared" si="6"/>
        <v>12666.0809625</v>
      </c>
      <c r="W15" s="3">
        <f>G15*1.50621/100</f>
        <v>40592.359499999999</v>
      </c>
      <c r="X15" s="3">
        <f>H15*1.50621/100</f>
        <v>27579.081652500001</v>
      </c>
      <c r="Y15" s="3">
        <f t="shared" si="7"/>
        <v>68171.441152500003</v>
      </c>
      <c r="AA15" s="14">
        <f>G15*2.36104/100</f>
        <v>63630.027999999998</v>
      </c>
      <c r="AB15" s="14">
        <f>H15*2.36104/100</f>
        <v>43231.232660000001</v>
      </c>
      <c r="AC15" s="14">
        <f t="shared" ref="AC15:AC49" si="31">AA15+AB15</f>
        <v>106861.26066</v>
      </c>
      <c r="AE15" s="3">
        <f>G15*0.49018/100</f>
        <v>13210.351000000001</v>
      </c>
      <c r="AF15" s="3">
        <f>H15*0.49018/100</f>
        <v>8975.3183449999997</v>
      </c>
      <c r="AG15" s="3">
        <f t="shared" si="8"/>
        <v>22185.669345000002</v>
      </c>
      <c r="AI15" s="3">
        <f>G15*29.73469/100</f>
        <v>801349.89549999998</v>
      </c>
      <c r="AJ15" s="3">
        <f>H15*29.73469/100</f>
        <v>544449.60757250001</v>
      </c>
      <c r="AK15" s="3">
        <f t="shared" si="9"/>
        <v>1345799.5030725</v>
      </c>
      <c r="AL15" s="14"/>
      <c r="AM15" s="3">
        <f>G15*0.16514/100</f>
        <v>4450.5230000000001</v>
      </c>
      <c r="AN15" s="3">
        <f>H15*0.16514/100</f>
        <v>3023.7546850000003</v>
      </c>
      <c r="AO15" s="3">
        <f t="shared" si="10"/>
        <v>7474.2776850000009</v>
      </c>
      <c r="AP15" s="14"/>
      <c r="AQ15" s="14">
        <f>G15*0.57505/100</f>
        <v>15497.597499999998</v>
      </c>
      <c r="AR15" s="14">
        <f>H15*0.57505/100</f>
        <v>10529.309262500001</v>
      </c>
      <c r="AS15" s="14">
        <f t="shared" si="11"/>
        <v>26026.906762499999</v>
      </c>
      <c r="AT15" s="14"/>
      <c r="AU15" s="14">
        <f>G15*4.3991/100</f>
        <v>118555.745</v>
      </c>
      <c r="AV15" s="14">
        <f>H15*4.3991/100</f>
        <v>80548.620775000003</v>
      </c>
      <c r="AW15" s="14">
        <f t="shared" si="12"/>
        <v>199104.36577500001</v>
      </c>
      <c r="AX15" s="14"/>
      <c r="AY15" s="14">
        <f>G15*1.38588/100</f>
        <v>37349.466</v>
      </c>
      <c r="AZ15" s="14">
        <f>H15*1.38588/100</f>
        <v>25375.809270000002</v>
      </c>
      <c r="BA15" s="14">
        <f t="shared" si="13"/>
        <v>62725.275269999998</v>
      </c>
      <c r="BB15" s="14"/>
      <c r="BC15" s="14">
        <f>G15*6.27067/100</f>
        <v>168994.55649999998</v>
      </c>
      <c r="BD15" s="14">
        <f>H15*6.27067/100</f>
        <v>114817.53536749999</v>
      </c>
      <c r="BE15" s="14">
        <f t="shared" si="14"/>
        <v>283812.09186749998</v>
      </c>
      <c r="BF15" s="14"/>
      <c r="BG15" s="14">
        <f>G15*0.00178/100</f>
        <v>47.970999999999997</v>
      </c>
      <c r="BH15" s="14">
        <f>H15*0.00178/100</f>
        <v>32.592244999999998</v>
      </c>
      <c r="BI15" s="14">
        <f t="shared" si="15"/>
        <v>80.563244999999995</v>
      </c>
      <c r="BJ15" s="14"/>
      <c r="BK15" s="14">
        <f>G15*0.80662/100</f>
        <v>21738.409</v>
      </c>
      <c r="BL15" s="14">
        <f>H15*0.80662/100</f>
        <v>14769.413855000001</v>
      </c>
      <c r="BM15" s="14">
        <f t="shared" si="1"/>
        <v>36507.822854999999</v>
      </c>
      <c r="BN15" s="14"/>
      <c r="BO15" s="14">
        <f>G15*0.45051/100</f>
        <v>12141.244499999999</v>
      </c>
      <c r="BP15" s="14">
        <f>H15*0.45051/100</f>
        <v>8248.9507274999996</v>
      </c>
      <c r="BQ15" s="14">
        <f t="shared" si="16"/>
        <v>20390.1952275</v>
      </c>
      <c r="BR15" s="14"/>
      <c r="BS15" s="14">
        <f>G15*0.30131/100</f>
        <v>8120.3045000000011</v>
      </c>
      <c r="BT15" s="14">
        <f>H15*0.30131/100</f>
        <v>5517.0614274999998</v>
      </c>
      <c r="BU15" s="14">
        <f t="shared" si="17"/>
        <v>13637.365927500001</v>
      </c>
      <c r="BV15" s="14"/>
      <c r="BW15" s="14">
        <f>G15*0.33283/100</f>
        <v>8969.7685000000001</v>
      </c>
      <c r="BX15" s="14">
        <f>H15*0.33283/100</f>
        <v>6094.2005075000006</v>
      </c>
      <c r="BY15" s="14">
        <f t="shared" si="18"/>
        <v>15063.9690075</v>
      </c>
      <c r="BZ15" s="14"/>
      <c r="CA15" s="14">
        <f>G15*4.05633/100</f>
        <v>109318.0935</v>
      </c>
      <c r="CB15" s="14">
        <f t="shared" si="30"/>
        <v>74272.4163825</v>
      </c>
      <c r="CC15" s="14">
        <f t="shared" si="19"/>
        <v>183590.50988249999</v>
      </c>
      <c r="CD15" s="14"/>
      <c r="CE15" s="14">
        <f>G15*0.60544/100</f>
        <v>16316.608</v>
      </c>
      <c r="CF15" s="14">
        <f>H15*0.60544/100</f>
        <v>11085.75776</v>
      </c>
      <c r="CG15" s="14">
        <f t="shared" si="20"/>
        <v>27402.365760000001</v>
      </c>
      <c r="CH15" s="14"/>
      <c r="CI15" s="14">
        <f>G15*11.87318/100</f>
        <v>319982.201</v>
      </c>
      <c r="CJ15" s="14">
        <f>H15*11.87318/100</f>
        <v>217400.894095</v>
      </c>
      <c r="CK15" s="14">
        <f t="shared" si="21"/>
        <v>537383.095095</v>
      </c>
      <c r="CL15" s="14"/>
      <c r="CM15" s="14">
        <f>G15*0.60889/100</f>
        <v>16409.585500000001</v>
      </c>
      <c r="CN15" s="14">
        <f>H15*0.60889/100</f>
        <v>11148.928122500001</v>
      </c>
      <c r="CO15" s="14">
        <f t="shared" si="29"/>
        <v>27558.513622500002</v>
      </c>
      <c r="CP15" s="14"/>
      <c r="CQ15" s="14">
        <f>G15*1.52665/100</f>
        <v>41143.217499999999</v>
      </c>
      <c r="CR15" s="14">
        <f>H15*1.52665/100</f>
        <v>27953.343162500001</v>
      </c>
      <c r="CS15" s="14">
        <f t="shared" si="22"/>
        <v>69096.560662500007</v>
      </c>
      <c r="CT15" s="14"/>
      <c r="CU15" s="14">
        <f>G15*15.43782/100</f>
        <v>416049.24900000001</v>
      </c>
      <c r="CV15" s="14">
        <f>H15*15.43782/100</f>
        <v>282670.34365499998</v>
      </c>
      <c r="CW15" s="14">
        <f t="shared" si="23"/>
        <v>698719.59265500004</v>
      </c>
      <c r="CX15" s="14"/>
      <c r="CY15" s="14">
        <f>G15*-0.01487/100</f>
        <v>-400.74650000000003</v>
      </c>
      <c r="CZ15" s="14">
        <f t="shared" si="26"/>
        <v>-272.27341749999999</v>
      </c>
      <c r="DA15" s="14">
        <f t="shared" si="2"/>
        <v>-673.01991750000002</v>
      </c>
      <c r="DB15" s="14"/>
      <c r="DC15" s="14"/>
      <c r="DD15" s="14"/>
      <c r="DE15" s="14">
        <f t="shared" si="24"/>
        <v>0</v>
      </c>
    </row>
    <row r="16" spans="1:109" x14ac:dyDescent="0.2">
      <c r="A16" s="2">
        <v>40269</v>
      </c>
      <c r="D16" s="15">
        <v>1777125</v>
      </c>
      <c r="H16" s="15">
        <f t="shared" si="3"/>
        <v>1777125</v>
      </c>
      <c r="I16" s="15">
        <f t="shared" si="4"/>
        <v>1777125</v>
      </c>
      <c r="L16" s="14">
        <v>299369</v>
      </c>
      <c r="M16" s="14">
        <f t="shared" si="27"/>
        <v>299369</v>
      </c>
      <c r="O16" s="14"/>
      <c r="P16" s="15">
        <f t="shared" si="5"/>
        <v>1477755.853875</v>
      </c>
      <c r="Q16" s="14">
        <f t="shared" si="0"/>
        <v>1477755.853875</v>
      </c>
      <c r="S16" s="3"/>
      <c r="T16" s="3">
        <f t="shared" ref="T16:T21" si="32">H16*0.27985/100</f>
        <v>4973.2843124999999</v>
      </c>
      <c r="U16" s="3">
        <f t="shared" si="6"/>
        <v>4973.2843124999999</v>
      </c>
      <c r="W16" s="3"/>
      <c r="X16" s="3">
        <f t="shared" ref="X16:X21" si="33">H16*1.50621/100</f>
        <v>26767.234462500001</v>
      </c>
      <c r="Y16" s="3">
        <f t="shared" si="7"/>
        <v>26767.234462500001</v>
      </c>
      <c r="AB16" s="14">
        <f t="shared" ref="AB16:AB21" si="34">H16*2.36104/100</f>
        <v>41958.632100000003</v>
      </c>
      <c r="AC16" s="14">
        <f t="shared" si="31"/>
        <v>41958.632100000003</v>
      </c>
      <c r="AE16" s="3"/>
      <c r="AF16" s="3">
        <f t="shared" ref="AF16:AF21" si="35">H16*0.49018/100</f>
        <v>8711.1113249999999</v>
      </c>
      <c r="AG16" s="3">
        <f t="shared" si="8"/>
        <v>8711.1113249999999</v>
      </c>
      <c r="AI16" s="3"/>
      <c r="AJ16" s="3">
        <f t="shared" ref="AJ16:AJ21" si="36">H16*29.73469/100</f>
        <v>528422.60966249998</v>
      </c>
      <c r="AK16" s="3">
        <f t="shared" si="9"/>
        <v>528422.60966249998</v>
      </c>
      <c r="AL16" s="14"/>
      <c r="AM16" s="3"/>
      <c r="AN16" s="3">
        <f t="shared" ref="AN16:AN21" si="37">H16*0.16514/100</f>
        <v>2934.7442250000004</v>
      </c>
      <c r="AO16" s="3">
        <f t="shared" si="10"/>
        <v>2934.7442250000004</v>
      </c>
      <c r="AP16" s="14"/>
      <c r="AQ16" s="14"/>
      <c r="AR16" s="14">
        <f t="shared" ref="AR16:AR21" si="38">H16*0.57505/100</f>
        <v>10219.3573125</v>
      </c>
      <c r="AS16" s="14">
        <f t="shared" si="11"/>
        <v>10219.3573125</v>
      </c>
      <c r="AT16" s="14"/>
      <c r="AU16" s="14"/>
      <c r="AV16" s="14">
        <f t="shared" ref="AV16:AV21" si="39">H16*4.3991/100</f>
        <v>78177.505874999988</v>
      </c>
      <c r="AW16" s="14">
        <f t="shared" si="12"/>
        <v>78177.505874999988</v>
      </c>
      <c r="AX16" s="14"/>
      <c r="AY16" s="14"/>
      <c r="AZ16" s="14">
        <f t="shared" ref="AZ16:AZ21" si="40">H16*1.38588/100</f>
        <v>24628.819950000001</v>
      </c>
      <c r="BA16" s="14">
        <f t="shared" si="13"/>
        <v>24628.819950000001</v>
      </c>
      <c r="BB16" s="14"/>
      <c r="BC16" s="14"/>
      <c r="BD16" s="14">
        <f t="shared" ref="BD16:BD21" si="41">H16*6.27067/100</f>
        <v>111437.6442375</v>
      </c>
      <c r="BE16" s="14">
        <f t="shared" si="14"/>
        <v>111437.6442375</v>
      </c>
      <c r="BF16" s="14"/>
      <c r="BG16" s="14"/>
      <c r="BH16" s="14">
        <f t="shared" ref="BH16:BH21" si="42">H16*0.00178/100</f>
        <v>31.632824999999997</v>
      </c>
      <c r="BI16" s="14">
        <f t="shared" si="15"/>
        <v>31.632824999999997</v>
      </c>
      <c r="BJ16" s="14"/>
      <c r="BK16" s="14"/>
      <c r="BL16" s="14">
        <f t="shared" ref="BL16:BL21" si="43">H16*0.80662/100</f>
        <v>14334.645675000002</v>
      </c>
      <c r="BM16" s="14">
        <f t="shared" si="1"/>
        <v>14334.645675000002</v>
      </c>
      <c r="BN16" s="14"/>
      <c r="BO16" s="14"/>
      <c r="BP16" s="14">
        <f t="shared" ref="BP16:BP21" si="44">H16*0.45051/100</f>
        <v>8006.1258374999998</v>
      </c>
      <c r="BQ16" s="14">
        <f t="shared" si="16"/>
        <v>8006.1258374999998</v>
      </c>
      <c r="BR16" s="14"/>
      <c r="BS16" s="14"/>
      <c r="BT16" s="14">
        <f t="shared" ref="BT16:BT21" si="45">H16*0.30131/100</f>
        <v>5354.6553375000003</v>
      </c>
      <c r="BU16" s="14">
        <f t="shared" si="17"/>
        <v>5354.6553375000003</v>
      </c>
      <c r="BV16" s="14"/>
      <c r="BW16" s="14"/>
      <c r="BX16" s="14">
        <f t="shared" ref="BX16:BX21" si="46">H16*0.33283/100</f>
        <v>5914.8051375000005</v>
      </c>
      <c r="BY16" s="14">
        <f t="shared" si="18"/>
        <v>5914.8051375000005</v>
      </c>
      <c r="BZ16" s="14"/>
      <c r="CA16" s="14"/>
      <c r="CB16" s="14">
        <f t="shared" si="30"/>
        <v>72086.054512500006</v>
      </c>
      <c r="CC16" s="14">
        <f t="shared" si="19"/>
        <v>72086.054512500006</v>
      </c>
      <c r="CD16" s="14"/>
      <c r="CE16" s="14"/>
      <c r="CF16" s="14">
        <f t="shared" ref="CF16:CF21" si="47">H16*0.60544/100</f>
        <v>10759.4256</v>
      </c>
      <c r="CG16" s="14">
        <f t="shared" si="20"/>
        <v>10759.4256</v>
      </c>
      <c r="CH16" s="14"/>
      <c r="CI16" s="14"/>
      <c r="CJ16" s="14">
        <f t="shared" ref="CJ16:CJ21" si="48">H16*11.87318/100</f>
        <v>211001.25007499999</v>
      </c>
      <c r="CK16" s="14">
        <f t="shared" si="21"/>
        <v>211001.25007499999</v>
      </c>
      <c r="CL16" s="14"/>
      <c r="CM16" s="14"/>
      <c r="CN16" s="14">
        <f t="shared" ref="CN16:CN21" si="49">H16*0.60889/100</f>
        <v>10820.7364125</v>
      </c>
      <c r="CO16" s="14">
        <f t="shared" si="29"/>
        <v>10820.7364125</v>
      </c>
      <c r="CP16" s="14"/>
      <c r="CQ16" s="14"/>
      <c r="CR16" s="14">
        <f t="shared" ref="CR16:CR21" si="50">H16*1.52665/100</f>
        <v>27130.478812500001</v>
      </c>
      <c r="CS16" s="14">
        <f t="shared" si="22"/>
        <v>27130.478812500001</v>
      </c>
      <c r="CT16" s="14"/>
      <c r="CU16" s="14"/>
      <c r="CV16" s="14">
        <f t="shared" ref="CV16:CV21" si="51">H16*15.43782/100</f>
        <v>274349.35867500002</v>
      </c>
      <c r="CW16" s="14">
        <f t="shared" si="23"/>
        <v>274349.35867500002</v>
      </c>
      <c r="CX16" s="14"/>
      <c r="CY16" s="14"/>
      <c r="CZ16" s="14">
        <f t="shared" si="26"/>
        <v>-264.2584875</v>
      </c>
      <c r="DA16" s="14">
        <f t="shared" si="2"/>
        <v>-264.2584875</v>
      </c>
      <c r="DB16" s="14"/>
      <c r="DC16" s="14"/>
      <c r="DD16" s="14"/>
      <c r="DE16" s="14">
        <f t="shared" si="24"/>
        <v>0</v>
      </c>
    </row>
    <row r="17" spans="1:109" x14ac:dyDescent="0.2">
      <c r="A17" s="2">
        <v>40452</v>
      </c>
      <c r="C17" s="15">
        <v>2805000</v>
      </c>
      <c r="D17" s="15">
        <v>1777125</v>
      </c>
      <c r="G17" s="15">
        <f t="shared" si="25"/>
        <v>2805000</v>
      </c>
      <c r="H17" s="15">
        <f t="shared" si="3"/>
        <v>1777125</v>
      </c>
      <c r="I17" s="15">
        <f t="shared" si="4"/>
        <v>4582125</v>
      </c>
      <c r="K17" s="14">
        <v>472522</v>
      </c>
      <c r="L17" s="14">
        <v>299369</v>
      </c>
      <c r="M17" s="14">
        <f t="shared" si="27"/>
        <v>771891</v>
      </c>
      <c r="O17" s="14">
        <f t="shared" si="28"/>
        <v>2332478.1149999993</v>
      </c>
      <c r="P17" s="15">
        <f t="shared" si="5"/>
        <v>1477755.853875</v>
      </c>
      <c r="Q17" s="14">
        <f t="shared" si="0"/>
        <v>3810233.9688749993</v>
      </c>
      <c r="S17" s="3">
        <f>G17*0.27985/100</f>
        <v>7849.7924999999996</v>
      </c>
      <c r="T17" s="3">
        <f t="shared" si="32"/>
        <v>4973.2843124999999</v>
      </c>
      <c r="U17" s="3">
        <f t="shared" si="6"/>
        <v>12823.0768125</v>
      </c>
      <c r="W17" s="3">
        <f>G17*1.50621/100</f>
        <v>42249.190499999997</v>
      </c>
      <c r="X17" s="3">
        <f t="shared" si="33"/>
        <v>26767.234462500001</v>
      </c>
      <c r="Y17" s="3">
        <f t="shared" si="7"/>
        <v>69016.424962499994</v>
      </c>
      <c r="AA17" s="14">
        <f>G17*2.36104/100</f>
        <v>66227.172000000006</v>
      </c>
      <c r="AB17" s="14">
        <f t="shared" si="34"/>
        <v>41958.632100000003</v>
      </c>
      <c r="AC17" s="14">
        <f t="shared" si="31"/>
        <v>108185.80410000001</v>
      </c>
      <c r="AE17" s="3">
        <f>G17*0.49018/100</f>
        <v>13749.548999999999</v>
      </c>
      <c r="AF17" s="3">
        <f t="shared" si="35"/>
        <v>8711.1113249999999</v>
      </c>
      <c r="AG17" s="3">
        <f t="shared" si="8"/>
        <v>22460.660324999997</v>
      </c>
      <c r="AI17" s="3">
        <f>G17*29.73469/100</f>
        <v>834058.05450000009</v>
      </c>
      <c r="AJ17" s="3">
        <f t="shared" si="36"/>
        <v>528422.60966249998</v>
      </c>
      <c r="AK17" s="3">
        <f t="shared" si="9"/>
        <v>1362480.6641625001</v>
      </c>
      <c r="AL17" s="14"/>
      <c r="AM17" s="3">
        <f>G17*0.16514/100</f>
        <v>4632.1769999999997</v>
      </c>
      <c r="AN17" s="3">
        <f t="shared" si="37"/>
        <v>2934.7442250000004</v>
      </c>
      <c r="AO17" s="3">
        <f t="shared" si="10"/>
        <v>7566.921225</v>
      </c>
      <c r="AP17" s="14"/>
      <c r="AQ17" s="14">
        <f>G17*0.57505/100</f>
        <v>16130.152499999998</v>
      </c>
      <c r="AR17" s="14">
        <f t="shared" si="38"/>
        <v>10219.3573125</v>
      </c>
      <c r="AS17" s="14">
        <f t="shared" si="11"/>
        <v>26349.5098125</v>
      </c>
      <c r="AT17" s="14"/>
      <c r="AU17" s="14">
        <f>G17*4.3991/100</f>
        <v>123394.755</v>
      </c>
      <c r="AV17" s="14">
        <f t="shared" si="39"/>
        <v>78177.505874999988</v>
      </c>
      <c r="AW17" s="14">
        <f t="shared" si="12"/>
        <v>201572.26087499998</v>
      </c>
      <c r="AX17" s="14"/>
      <c r="AY17" s="14">
        <f>G17*1.38588/100</f>
        <v>38873.934000000001</v>
      </c>
      <c r="AZ17" s="14">
        <f t="shared" si="40"/>
        <v>24628.819950000001</v>
      </c>
      <c r="BA17" s="14">
        <f t="shared" si="13"/>
        <v>63502.753949999998</v>
      </c>
      <c r="BB17" s="14"/>
      <c r="BC17" s="14">
        <f>G17*6.27067/100</f>
        <v>175892.29350000003</v>
      </c>
      <c r="BD17" s="14">
        <f t="shared" si="41"/>
        <v>111437.6442375</v>
      </c>
      <c r="BE17" s="14">
        <f t="shared" si="14"/>
        <v>287329.93773750006</v>
      </c>
      <c r="BF17" s="14"/>
      <c r="BG17" s="14">
        <f>G17*0.00178/100</f>
        <v>49.928999999999995</v>
      </c>
      <c r="BH17" s="14">
        <f t="shared" si="42"/>
        <v>31.632824999999997</v>
      </c>
      <c r="BI17" s="14">
        <f t="shared" si="15"/>
        <v>81.561824999999999</v>
      </c>
      <c r="BJ17" s="14"/>
      <c r="BK17" s="14">
        <f>G17*0.80662/100</f>
        <v>22625.691000000003</v>
      </c>
      <c r="BL17" s="14">
        <f t="shared" si="43"/>
        <v>14334.645675000002</v>
      </c>
      <c r="BM17" s="14">
        <f t="shared" si="1"/>
        <v>36960.336675000006</v>
      </c>
      <c r="BN17" s="14"/>
      <c r="BO17" s="14">
        <f>G17*0.45051/100</f>
        <v>12636.8055</v>
      </c>
      <c r="BP17" s="14">
        <f t="shared" si="44"/>
        <v>8006.1258374999998</v>
      </c>
      <c r="BQ17" s="14">
        <f t="shared" si="16"/>
        <v>20642.931337499998</v>
      </c>
      <c r="BR17" s="14"/>
      <c r="BS17" s="14">
        <f>G17*0.30131/100</f>
        <v>8451.7455000000009</v>
      </c>
      <c r="BT17" s="14">
        <f t="shared" si="45"/>
        <v>5354.6553375000003</v>
      </c>
      <c r="BU17" s="14">
        <f t="shared" si="17"/>
        <v>13806.400837500001</v>
      </c>
      <c r="BV17" s="14"/>
      <c r="BW17" s="14">
        <f>G17*0.33283/100</f>
        <v>9335.8814999999995</v>
      </c>
      <c r="BX17" s="14">
        <f t="shared" si="46"/>
        <v>5914.8051375000005</v>
      </c>
      <c r="BY17" s="14">
        <f t="shared" si="18"/>
        <v>15250.686637499999</v>
      </c>
      <c r="BZ17" s="14"/>
      <c r="CA17" s="14">
        <f>G17*4.05633/100</f>
        <v>113780.05650000001</v>
      </c>
      <c r="CB17" s="14">
        <f t="shared" si="30"/>
        <v>72086.054512500006</v>
      </c>
      <c r="CC17" s="14">
        <f t="shared" si="19"/>
        <v>185866.11101250001</v>
      </c>
      <c r="CD17" s="14"/>
      <c r="CE17" s="14">
        <f>G17*0.60544/100</f>
        <v>16982.592000000001</v>
      </c>
      <c r="CF17" s="14">
        <f t="shared" si="47"/>
        <v>10759.4256</v>
      </c>
      <c r="CG17" s="14">
        <f t="shared" si="20"/>
        <v>27742.017599999999</v>
      </c>
      <c r="CH17" s="14"/>
      <c r="CI17" s="14">
        <f>G17*11.87318/100</f>
        <v>333042.69899999996</v>
      </c>
      <c r="CJ17" s="14">
        <f t="shared" si="48"/>
        <v>211001.25007499999</v>
      </c>
      <c r="CK17" s="14">
        <f t="shared" si="21"/>
        <v>544043.94907499989</v>
      </c>
      <c r="CL17" s="14"/>
      <c r="CM17" s="14">
        <f>G17*0.60889/100</f>
        <v>17079.364500000003</v>
      </c>
      <c r="CN17" s="14">
        <f t="shared" si="49"/>
        <v>10820.7364125</v>
      </c>
      <c r="CO17" s="14">
        <f t="shared" si="29"/>
        <v>27900.100912500006</v>
      </c>
      <c r="CP17" s="14"/>
      <c r="CQ17" s="14">
        <f>G17*1.52665/100</f>
        <v>42822.532500000001</v>
      </c>
      <c r="CR17" s="14">
        <f t="shared" si="50"/>
        <v>27130.478812500001</v>
      </c>
      <c r="CS17" s="14">
        <f t="shared" si="22"/>
        <v>69953.011312500006</v>
      </c>
      <c r="CT17" s="14"/>
      <c r="CU17" s="14">
        <f>G17*15.43782/100</f>
        <v>433030.85100000002</v>
      </c>
      <c r="CV17" s="14">
        <f t="shared" si="51"/>
        <v>274349.35867500002</v>
      </c>
      <c r="CW17" s="14">
        <f t="shared" si="23"/>
        <v>707380.20967500005</v>
      </c>
      <c r="CX17" s="14"/>
      <c r="CY17" s="14">
        <f>G17*-0.01487/100</f>
        <v>-417.1035</v>
      </c>
      <c r="CZ17" s="14">
        <f t="shared" si="26"/>
        <v>-264.2584875</v>
      </c>
      <c r="DA17" s="14">
        <f t="shared" si="2"/>
        <v>-681.36198749999994</v>
      </c>
      <c r="DB17" s="14"/>
      <c r="DC17" s="14"/>
      <c r="DD17" s="14"/>
      <c r="DE17" s="14">
        <f t="shared" si="24"/>
        <v>0</v>
      </c>
    </row>
    <row r="18" spans="1:109" x14ac:dyDescent="0.2">
      <c r="A18" s="2">
        <v>40634</v>
      </c>
      <c r="B18" t="s">
        <v>15</v>
      </c>
      <c r="D18" s="15">
        <v>1721025</v>
      </c>
      <c r="H18" s="15">
        <f t="shared" si="3"/>
        <v>1721025</v>
      </c>
      <c r="I18" s="15">
        <f t="shared" si="4"/>
        <v>1721025</v>
      </c>
      <c r="L18" s="14">
        <v>289919</v>
      </c>
      <c r="M18" s="14">
        <f t="shared" si="27"/>
        <v>289919</v>
      </c>
      <c r="O18" s="14"/>
      <c r="P18" s="15">
        <f t="shared" si="5"/>
        <v>1431106.2915749999</v>
      </c>
      <c r="Q18" s="14">
        <f t="shared" si="0"/>
        <v>1431106.2915749999</v>
      </c>
      <c r="S18" s="3"/>
      <c r="T18" s="3">
        <f t="shared" si="32"/>
        <v>4816.2884624999997</v>
      </c>
      <c r="U18" s="3">
        <f t="shared" si="6"/>
        <v>4816.2884624999997</v>
      </c>
      <c r="W18" s="3"/>
      <c r="X18" s="3">
        <f t="shared" si="33"/>
        <v>25922.250652499999</v>
      </c>
      <c r="Y18" s="3">
        <f t="shared" si="7"/>
        <v>25922.250652499999</v>
      </c>
      <c r="AB18" s="14">
        <f t="shared" si="34"/>
        <v>40634.088660000001</v>
      </c>
      <c r="AC18" s="14">
        <f t="shared" si="31"/>
        <v>40634.088660000001</v>
      </c>
      <c r="AE18" s="3"/>
      <c r="AF18" s="3">
        <f t="shared" si="35"/>
        <v>8436.1203449999994</v>
      </c>
      <c r="AG18" s="3">
        <f t="shared" si="8"/>
        <v>8436.1203449999994</v>
      </c>
      <c r="AI18" s="3"/>
      <c r="AJ18" s="3">
        <f t="shared" si="36"/>
        <v>511741.44857249997</v>
      </c>
      <c r="AK18" s="3">
        <f t="shared" si="9"/>
        <v>511741.44857249997</v>
      </c>
      <c r="AL18" s="14"/>
      <c r="AM18" s="3"/>
      <c r="AN18" s="3">
        <f t="shared" si="37"/>
        <v>2842.1006849999999</v>
      </c>
      <c r="AO18" s="3">
        <f t="shared" si="10"/>
        <v>2842.1006849999999</v>
      </c>
      <c r="AP18" s="14"/>
      <c r="AQ18" s="14"/>
      <c r="AR18" s="14">
        <f t="shared" si="38"/>
        <v>9896.7542624999987</v>
      </c>
      <c r="AS18" s="14">
        <f t="shared" si="11"/>
        <v>9896.7542624999987</v>
      </c>
      <c r="AT18" s="14"/>
      <c r="AU18" s="14"/>
      <c r="AV18" s="14">
        <f t="shared" si="39"/>
        <v>75709.610774999994</v>
      </c>
      <c r="AW18" s="14">
        <f t="shared" si="12"/>
        <v>75709.610774999994</v>
      </c>
      <c r="AX18" s="14"/>
      <c r="AY18" s="14"/>
      <c r="AZ18" s="14">
        <f t="shared" si="40"/>
        <v>23851.341269999997</v>
      </c>
      <c r="BA18" s="14">
        <f t="shared" si="13"/>
        <v>23851.341269999997</v>
      </c>
      <c r="BB18" s="14"/>
      <c r="BC18" s="14"/>
      <c r="BD18" s="14">
        <f t="shared" si="41"/>
        <v>107919.79836750001</v>
      </c>
      <c r="BE18" s="14">
        <f t="shared" si="14"/>
        <v>107919.79836750001</v>
      </c>
      <c r="BF18" s="14"/>
      <c r="BG18" s="14"/>
      <c r="BH18" s="14">
        <f t="shared" si="42"/>
        <v>30.634244999999996</v>
      </c>
      <c r="BI18" s="14">
        <f t="shared" si="15"/>
        <v>30.634244999999996</v>
      </c>
      <c r="BJ18" s="14"/>
      <c r="BK18" s="14"/>
      <c r="BL18" s="14">
        <f t="shared" si="43"/>
        <v>13882.131855</v>
      </c>
      <c r="BM18" s="14">
        <f t="shared" si="1"/>
        <v>13882.131855</v>
      </c>
      <c r="BN18" s="14"/>
      <c r="BO18" s="14"/>
      <c r="BP18" s="14">
        <f t="shared" si="44"/>
        <v>7753.3897275000008</v>
      </c>
      <c r="BQ18" s="14">
        <f t="shared" si="16"/>
        <v>7753.3897275000008</v>
      </c>
      <c r="BR18" s="14"/>
      <c r="BS18" s="14"/>
      <c r="BT18" s="14">
        <f t="shared" si="45"/>
        <v>5185.6204275</v>
      </c>
      <c r="BU18" s="14">
        <f t="shared" si="17"/>
        <v>5185.6204275</v>
      </c>
      <c r="BV18" s="14"/>
      <c r="BW18" s="14"/>
      <c r="BX18" s="14">
        <f t="shared" si="46"/>
        <v>5728.0875075000004</v>
      </c>
      <c r="BY18" s="14">
        <f t="shared" si="18"/>
        <v>5728.0875075000004</v>
      </c>
      <c r="BZ18" s="14"/>
      <c r="CA18" s="14"/>
      <c r="CB18" s="14">
        <f t="shared" si="30"/>
        <v>69810.453382499996</v>
      </c>
      <c r="CC18" s="14">
        <f t="shared" si="19"/>
        <v>69810.453382499996</v>
      </c>
      <c r="CD18" s="14"/>
      <c r="CE18" s="14"/>
      <c r="CF18" s="14">
        <f t="shared" si="47"/>
        <v>10419.77376</v>
      </c>
      <c r="CG18" s="14">
        <f t="shared" si="20"/>
        <v>10419.77376</v>
      </c>
      <c r="CH18" s="14"/>
      <c r="CI18" s="14"/>
      <c r="CJ18" s="14">
        <f t="shared" si="48"/>
        <v>204340.39609499997</v>
      </c>
      <c r="CK18" s="14">
        <f t="shared" si="21"/>
        <v>204340.39609499997</v>
      </c>
      <c r="CL18" s="14"/>
      <c r="CM18" s="14"/>
      <c r="CN18" s="14">
        <f t="shared" si="49"/>
        <v>10479.149122500001</v>
      </c>
      <c r="CO18" s="14">
        <f t="shared" si="29"/>
        <v>10479.149122500001</v>
      </c>
      <c r="CP18" s="14"/>
      <c r="CQ18" s="14"/>
      <c r="CR18" s="14">
        <f t="shared" si="50"/>
        <v>26274.028162500003</v>
      </c>
      <c r="CS18" s="14">
        <f t="shared" si="22"/>
        <v>26274.028162500003</v>
      </c>
      <c r="CT18" s="14"/>
      <c r="CU18" s="14"/>
      <c r="CV18" s="14">
        <f t="shared" si="51"/>
        <v>265688.74165500002</v>
      </c>
      <c r="CW18" s="14">
        <f t="shared" si="23"/>
        <v>265688.74165500002</v>
      </c>
      <c r="CX18" s="14"/>
      <c r="CY18" s="14"/>
      <c r="CZ18" s="14">
        <f t="shared" si="26"/>
        <v>-255.91641749999999</v>
      </c>
      <c r="DA18" s="14">
        <f t="shared" si="2"/>
        <v>-255.91641749999999</v>
      </c>
      <c r="DB18" s="14"/>
      <c r="DC18" s="14"/>
      <c r="DD18" s="14"/>
      <c r="DE18" s="14">
        <f t="shared" si="24"/>
        <v>0</v>
      </c>
    </row>
    <row r="19" spans="1:109" x14ac:dyDescent="0.2">
      <c r="A19" s="2">
        <v>40817</v>
      </c>
      <c r="C19" s="15">
        <v>2920000</v>
      </c>
      <c r="D19" s="15">
        <v>1721025</v>
      </c>
      <c r="G19" s="15">
        <f t="shared" si="25"/>
        <v>2920000</v>
      </c>
      <c r="H19" s="15">
        <f t="shared" si="3"/>
        <v>1721025</v>
      </c>
      <c r="I19" s="15">
        <f t="shared" si="4"/>
        <v>4641025</v>
      </c>
      <c r="K19" s="14">
        <v>491894</v>
      </c>
      <c r="L19" s="14">
        <v>289919</v>
      </c>
      <c r="M19" s="14">
        <f t="shared" si="27"/>
        <v>781813</v>
      </c>
      <c r="O19" s="14">
        <f t="shared" si="28"/>
        <v>2428105.5599999996</v>
      </c>
      <c r="P19" s="15">
        <f t="shared" si="5"/>
        <v>1431106.2915749999</v>
      </c>
      <c r="Q19" s="14">
        <f t="shared" si="0"/>
        <v>3859211.8515749993</v>
      </c>
      <c r="S19" s="3">
        <f>G19*0.27985/100</f>
        <v>8171.62</v>
      </c>
      <c r="T19" s="3">
        <f t="shared" si="32"/>
        <v>4816.2884624999997</v>
      </c>
      <c r="U19" s="3">
        <f t="shared" si="6"/>
        <v>12987.9084625</v>
      </c>
      <c r="W19" s="3">
        <f>G19*1.50621/100</f>
        <v>43981.332000000002</v>
      </c>
      <c r="X19" s="3">
        <f t="shared" si="33"/>
        <v>25922.250652499999</v>
      </c>
      <c r="Y19" s="3">
        <f t="shared" si="7"/>
        <v>69903.582652500001</v>
      </c>
      <c r="AA19" s="14">
        <f>G19*2.36104/100</f>
        <v>68942.368000000002</v>
      </c>
      <c r="AB19" s="14">
        <f t="shared" si="34"/>
        <v>40634.088660000001</v>
      </c>
      <c r="AC19" s="14">
        <f t="shared" si="31"/>
        <v>109576.45666</v>
      </c>
      <c r="AE19" s="3">
        <f>G19*0.49018/100</f>
        <v>14313.256000000001</v>
      </c>
      <c r="AF19" s="3">
        <f t="shared" si="35"/>
        <v>8436.1203449999994</v>
      </c>
      <c r="AG19" s="3">
        <f t="shared" si="8"/>
        <v>22749.376345000001</v>
      </c>
      <c r="AI19" s="3">
        <f>G19*29.73469/100</f>
        <v>868252.94799999997</v>
      </c>
      <c r="AJ19" s="3">
        <f t="shared" si="36"/>
        <v>511741.44857249997</v>
      </c>
      <c r="AK19" s="3">
        <f t="shared" si="9"/>
        <v>1379994.3965725</v>
      </c>
      <c r="AL19" s="14"/>
      <c r="AM19" s="3">
        <f>G19*0.16514/100</f>
        <v>4822.0880000000006</v>
      </c>
      <c r="AN19" s="3">
        <f t="shared" si="37"/>
        <v>2842.1006849999999</v>
      </c>
      <c r="AO19" s="3">
        <f t="shared" si="10"/>
        <v>7664.188685000001</v>
      </c>
      <c r="AP19" s="14"/>
      <c r="AQ19" s="14">
        <f>G19*0.57505/100</f>
        <v>16791.46</v>
      </c>
      <c r="AR19" s="14">
        <f t="shared" si="38"/>
        <v>9896.7542624999987</v>
      </c>
      <c r="AS19" s="14">
        <f t="shared" si="11"/>
        <v>26688.214262499998</v>
      </c>
      <c r="AT19" s="14"/>
      <c r="AU19" s="14">
        <f>G19*4.3991/100</f>
        <v>128453.72</v>
      </c>
      <c r="AV19" s="14">
        <f t="shared" si="39"/>
        <v>75709.610774999994</v>
      </c>
      <c r="AW19" s="14">
        <f t="shared" si="12"/>
        <v>204163.33077499998</v>
      </c>
      <c r="AX19" s="14"/>
      <c r="AY19" s="14">
        <f>G19*1.38588/100</f>
        <v>40467.696000000004</v>
      </c>
      <c r="AZ19" s="14">
        <f t="shared" si="40"/>
        <v>23851.341269999997</v>
      </c>
      <c r="BA19" s="14">
        <f t="shared" si="13"/>
        <v>64319.037270000001</v>
      </c>
      <c r="BB19" s="14"/>
      <c r="BC19" s="14">
        <f>G19*6.27067/100</f>
        <v>183103.56399999998</v>
      </c>
      <c r="BD19" s="14">
        <f t="shared" si="41"/>
        <v>107919.79836750001</v>
      </c>
      <c r="BE19" s="14">
        <f t="shared" si="14"/>
        <v>291023.36236749997</v>
      </c>
      <c r="BF19" s="14"/>
      <c r="BG19" s="14">
        <f>G19*0.00178/100</f>
        <v>51.975999999999992</v>
      </c>
      <c r="BH19" s="14">
        <f t="shared" si="42"/>
        <v>30.634244999999996</v>
      </c>
      <c r="BI19" s="14">
        <f t="shared" si="15"/>
        <v>82.610244999999992</v>
      </c>
      <c r="BJ19" s="14"/>
      <c r="BK19" s="14">
        <f>G19*0.80662/100</f>
        <v>23553.304</v>
      </c>
      <c r="BL19" s="14">
        <f t="shared" si="43"/>
        <v>13882.131855</v>
      </c>
      <c r="BM19" s="14">
        <f t="shared" si="1"/>
        <v>37435.435855000003</v>
      </c>
      <c r="BN19" s="14"/>
      <c r="BO19" s="14">
        <f>G19*0.45051/100</f>
        <v>13154.892</v>
      </c>
      <c r="BP19" s="14">
        <f t="shared" si="44"/>
        <v>7753.3897275000008</v>
      </c>
      <c r="BQ19" s="14">
        <f t="shared" si="16"/>
        <v>20908.281727500002</v>
      </c>
      <c r="BR19" s="14"/>
      <c r="BS19" s="14">
        <f>G19*0.30131/100</f>
        <v>8798.2520000000004</v>
      </c>
      <c r="BT19" s="14">
        <f t="shared" si="45"/>
        <v>5185.6204275</v>
      </c>
      <c r="BU19" s="14">
        <f t="shared" si="17"/>
        <v>13983.8724275</v>
      </c>
      <c r="BV19" s="14"/>
      <c r="BW19" s="14">
        <f>G19*0.33283/100</f>
        <v>9718.6360000000004</v>
      </c>
      <c r="BX19" s="14">
        <f t="shared" si="46"/>
        <v>5728.0875075000004</v>
      </c>
      <c r="BY19" s="14">
        <f t="shared" si="18"/>
        <v>15446.723507500001</v>
      </c>
      <c r="BZ19" s="14"/>
      <c r="CA19" s="14">
        <f>G19*4.05633/100</f>
        <v>118444.836</v>
      </c>
      <c r="CB19" s="14">
        <f t="shared" si="30"/>
        <v>69810.453382499996</v>
      </c>
      <c r="CC19" s="14">
        <f t="shared" si="19"/>
        <v>188255.28938249999</v>
      </c>
      <c r="CD19" s="14"/>
      <c r="CE19" s="14">
        <f>G19*0.60544/100</f>
        <v>17678.848000000002</v>
      </c>
      <c r="CF19" s="14">
        <f t="shared" si="47"/>
        <v>10419.77376</v>
      </c>
      <c r="CG19" s="14">
        <f t="shared" si="20"/>
        <v>28098.621760000002</v>
      </c>
      <c r="CH19" s="14"/>
      <c r="CI19" s="14">
        <f>G19*11.87318/100</f>
        <v>346696.85600000003</v>
      </c>
      <c r="CJ19" s="14">
        <f t="shared" si="48"/>
        <v>204340.39609499997</v>
      </c>
      <c r="CK19" s="14">
        <f t="shared" si="21"/>
        <v>551037.252095</v>
      </c>
      <c r="CL19" s="14"/>
      <c r="CM19" s="14">
        <f>G19*0.60889/100</f>
        <v>17779.588</v>
      </c>
      <c r="CN19" s="14">
        <f t="shared" si="49"/>
        <v>10479.149122500001</v>
      </c>
      <c r="CO19" s="14">
        <f t="shared" si="29"/>
        <v>28258.737122500002</v>
      </c>
      <c r="CP19" s="14"/>
      <c r="CQ19" s="14">
        <f>G19*1.52665/100</f>
        <v>44578.18</v>
      </c>
      <c r="CR19" s="14">
        <f t="shared" si="50"/>
        <v>26274.028162500003</v>
      </c>
      <c r="CS19" s="14">
        <f t="shared" si="22"/>
        <v>70852.208162499999</v>
      </c>
      <c r="CT19" s="14"/>
      <c r="CU19" s="14">
        <f>G19*15.43782/100</f>
        <v>450784.34399999998</v>
      </c>
      <c r="CV19" s="14">
        <f t="shared" si="51"/>
        <v>265688.74165500002</v>
      </c>
      <c r="CW19" s="14">
        <f t="shared" si="23"/>
        <v>716473.08565500006</v>
      </c>
      <c r="CX19" s="14"/>
      <c r="CY19" s="14">
        <f>G19*-0.01487/100</f>
        <v>-434.20400000000001</v>
      </c>
      <c r="CZ19" s="14">
        <f t="shared" si="26"/>
        <v>-255.91641749999999</v>
      </c>
      <c r="DA19" s="14">
        <f t="shared" si="2"/>
        <v>-690.12041750000003</v>
      </c>
      <c r="DB19" s="14"/>
      <c r="DC19" s="14"/>
      <c r="DD19" s="14"/>
      <c r="DE19" s="14">
        <f t="shared" si="24"/>
        <v>0</v>
      </c>
    </row>
    <row r="20" spans="1:109" x14ac:dyDescent="0.2">
      <c r="A20" s="2">
        <v>41000</v>
      </c>
      <c r="D20" s="15">
        <v>1662625</v>
      </c>
      <c r="H20" s="15">
        <f t="shared" si="3"/>
        <v>1662625</v>
      </c>
      <c r="I20" s="15">
        <f t="shared" si="4"/>
        <v>1662625</v>
      </c>
      <c r="L20" s="14">
        <v>280081</v>
      </c>
      <c r="M20" s="14">
        <f t="shared" si="27"/>
        <v>280081</v>
      </c>
      <c r="O20" s="14"/>
      <c r="P20" s="15">
        <f t="shared" si="5"/>
        <v>1382544.180375</v>
      </c>
      <c r="Q20" s="14">
        <f t="shared" si="0"/>
        <v>1382544.180375</v>
      </c>
      <c r="S20" s="3"/>
      <c r="T20" s="3">
        <f t="shared" si="32"/>
        <v>4652.8560624999991</v>
      </c>
      <c r="U20" s="3">
        <f t="shared" si="6"/>
        <v>4652.8560624999991</v>
      </c>
      <c r="W20" s="3"/>
      <c r="X20" s="3">
        <f t="shared" si="33"/>
        <v>25042.6240125</v>
      </c>
      <c r="Y20" s="3">
        <f t="shared" si="7"/>
        <v>25042.6240125</v>
      </c>
      <c r="AB20" s="14">
        <f t="shared" si="34"/>
        <v>39255.241300000002</v>
      </c>
      <c r="AC20" s="14">
        <f t="shared" si="31"/>
        <v>39255.241300000002</v>
      </c>
      <c r="AE20" s="3"/>
      <c r="AF20" s="3">
        <f t="shared" si="35"/>
        <v>8149.8552249999993</v>
      </c>
      <c r="AG20" s="3">
        <f t="shared" si="8"/>
        <v>8149.8552249999993</v>
      </c>
      <c r="AI20" s="3"/>
      <c r="AJ20" s="3">
        <f t="shared" si="36"/>
        <v>494376.38961249997</v>
      </c>
      <c r="AK20" s="3">
        <f t="shared" si="9"/>
        <v>494376.38961249997</v>
      </c>
      <c r="AL20" s="14"/>
      <c r="AM20" s="3"/>
      <c r="AN20" s="3">
        <f t="shared" si="37"/>
        <v>2745.6589250000002</v>
      </c>
      <c r="AO20" s="3">
        <f t="shared" si="10"/>
        <v>2745.6589250000002</v>
      </c>
      <c r="AP20" s="14"/>
      <c r="AQ20" s="14"/>
      <c r="AR20" s="14">
        <f t="shared" si="38"/>
        <v>9560.9250624999986</v>
      </c>
      <c r="AS20" s="14">
        <f t="shared" si="11"/>
        <v>9560.9250624999986</v>
      </c>
      <c r="AT20" s="14"/>
      <c r="AU20" s="14"/>
      <c r="AV20" s="14">
        <f t="shared" si="39"/>
        <v>73140.536374999996</v>
      </c>
      <c r="AW20" s="14">
        <f t="shared" si="12"/>
        <v>73140.536374999996</v>
      </c>
      <c r="AX20" s="14"/>
      <c r="AY20" s="14"/>
      <c r="AZ20" s="14">
        <f t="shared" si="40"/>
        <v>23041.987349999999</v>
      </c>
      <c r="BA20" s="14">
        <f t="shared" si="13"/>
        <v>23041.987349999999</v>
      </c>
      <c r="BB20" s="14"/>
      <c r="BC20" s="14"/>
      <c r="BD20" s="14">
        <f t="shared" si="41"/>
        <v>104257.7270875</v>
      </c>
      <c r="BE20" s="14">
        <f t="shared" si="14"/>
        <v>104257.7270875</v>
      </c>
      <c r="BF20" s="14"/>
      <c r="BG20" s="14"/>
      <c r="BH20" s="14">
        <f t="shared" si="42"/>
        <v>29.594724999999997</v>
      </c>
      <c r="BI20" s="14">
        <f t="shared" si="15"/>
        <v>29.594724999999997</v>
      </c>
      <c r="BJ20" s="14"/>
      <c r="BK20" s="14"/>
      <c r="BL20" s="14">
        <f t="shared" si="43"/>
        <v>13411.065774999999</v>
      </c>
      <c r="BM20" s="14">
        <f t="shared" si="1"/>
        <v>13411.065774999999</v>
      </c>
      <c r="BN20" s="14"/>
      <c r="BO20" s="14"/>
      <c r="BP20" s="14">
        <f t="shared" si="44"/>
        <v>7490.2918875000005</v>
      </c>
      <c r="BQ20" s="14">
        <f t="shared" si="16"/>
        <v>7490.2918875000005</v>
      </c>
      <c r="BR20" s="14"/>
      <c r="BS20" s="14"/>
      <c r="BT20" s="14">
        <f t="shared" si="45"/>
        <v>5009.6553875000009</v>
      </c>
      <c r="BU20" s="14">
        <f t="shared" si="17"/>
        <v>5009.6553875000009</v>
      </c>
      <c r="BV20" s="14"/>
      <c r="BW20" s="14"/>
      <c r="BX20" s="14">
        <f t="shared" si="46"/>
        <v>5533.7147875000001</v>
      </c>
      <c r="BY20" s="14">
        <f t="shared" si="18"/>
        <v>5533.7147875000001</v>
      </c>
      <c r="BZ20" s="14"/>
      <c r="CA20" s="14"/>
      <c r="CB20" s="14">
        <f t="shared" si="30"/>
        <v>67441.556662499992</v>
      </c>
      <c r="CC20" s="14">
        <f t="shared" si="19"/>
        <v>67441.556662499992</v>
      </c>
      <c r="CD20" s="14"/>
      <c r="CE20" s="14"/>
      <c r="CF20" s="14">
        <f t="shared" si="47"/>
        <v>10066.1968</v>
      </c>
      <c r="CG20" s="14">
        <f t="shared" si="20"/>
        <v>10066.1968</v>
      </c>
      <c r="CH20" s="14"/>
      <c r="CI20" s="14"/>
      <c r="CJ20" s="14">
        <f t="shared" si="48"/>
        <v>197406.45897500002</v>
      </c>
      <c r="CK20" s="14">
        <f t="shared" si="21"/>
        <v>197406.45897500002</v>
      </c>
      <c r="CL20" s="14"/>
      <c r="CM20" s="14"/>
      <c r="CN20" s="14">
        <f t="shared" si="49"/>
        <v>10123.557362500002</v>
      </c>
      <c r="CO20" s="14">
        <f t="shared" si="29"/>
        <v>10123.557362500002</v>
      </c>
      <c r="CP20" s="14"/>
      <c r="CQ20" s="14"/>
      <c r="CR20" s="14">
        <f t="shared" si="50"/>
        <v>25382.464562500001</v>
      </c>
      <c r="CS20" s="14">
        <f t="shared" si="22"/>
        <v>25382.464562500001</v>
      </c>
      <c r="CT20" s="14"/>
      <c r="CU20" s="14"/>
      <c r="CV20" s="14">
        <f t="shared" si="51"/>
        <v>256673.054775</v>
      </c>
      <c r="CW20" s="14">
        <f t="shared" si="23"/>
        <v>256673.054775</v>
      </c>
      <c r="CX20" s="14"/>
      <c r="CY20" s="14"/>
      <c r="CZ20" s="14">
        <f t="shared" si="26"/>
        <v>-247.2323375</v>
      </c>
      <c r="DA20" s="14">
        <f t="shared" si="2"/>
        <v>-247.2323375</v>
      </c>
      <c r="DB20" s="14"/>
      <c r="DC20" s="14"/>
      <c r="DD20" s="14"/>
      <c r="DE20" s="14">
        <f t="shared" si="24"/>
        <v>0</v>
      </c>
    </row>
    <row r="21" spans="1:109" x14ac:dyDescent="0.2">
      <c r="A21" s="2">
        <v>41183</v>
      </c>
      <c r="C21" s="15">
        <v>3050000</v>
      </c>
      <c r="D21" s="15">
        <v>1662625</v>
      </c>
      <c r="G21" s="15">
        <f t="shared" si="25"/>
        <v>3050000</v>
      </c>
      <c r="H21" s="15">
        <f t="shared" si="3"/>
        <v>1662625</v>
      </c>
      <c r="I21" s="15">
        <f t="shared" si="4"/>
        <v>4712625</v>
      </c>
      <c r="K21" s="14">
        <v>513794</v>
      </c>
      <c r="L21" s="14">
        <v>280081</v>
      </c>
      <c r="M21" s="14">
        <f t="shared" si="27"/>
        <v>793875</v>
      </c>
      <c r="O21" s="14">
        <f t="shared" si="28"/>
        <v>2536205.6849999996</v>
      </c>
      <c r="P21" s="15">
        <f t="shared" si="5"/>
        <v>1382544.4127125</v>
      </c>
      <c r="Q21" s="14">
        <f t="shared" si="0"/>
        <v>3918750.0977124996</v>
      </c>
      <c r="S21" s="3">
        <f>G21*0.27985/100</f>
        <v>8535.4249999999993</v>
      </c>
      <c r="T21" s="3">
        <f t="shared" si="32"/>
        <v>4652.8560624999991</v>
      </c>
      <c r="U21" s="3">
        <f t="shared" si="6"/>
        <v>13188.281062499998</v>
      </c>
      <c r="W21" s="3">
        <f>G21*1.50621/100</f>
        <v>45939.404999999999</v>
      </c>
      <c r="X21" s="3">
        <f t="shared" si="33"/>
        <v>25042.6240125</v>
      </c>
      <c r="Y21" s="3">
        <f t="shared" si="7"/>
        <v>70982.029012500003</v>
      </c>
      <c r="AA21" s="14">
        <f>G21*2.36104/100</f>
        <v>72011.72</v>
      </c>
      <c r="AB21" s="14">
        <f t="shared" si="34"/>
        <v>39255.241300000002</v>
      </c>
      <c r="AC21" s="14">
        <f t="shared" si="31"/>
        <v>111266.9613</v>
      </c>
      <c r="AE21" s="3">
        <f>G21*0.49018/100</f>
        <v>14950.49</v>
      </c>
      <c r="AF21" s="3">
        <f t="shared" si="35"/>
        <v>8149.8552249999993</v>
      </c>
      <c r="AG21" s="3">
        <f t="shared" si="8"/>
        <v>23100.345224999997</v>
      </c>
      <c r="AI21" s="3">
        <f>G21*29.73469/100</f>
        <v>906908.04500000004</v>
      </c>
      <c r="AJ21" s="3">
        <f t="shared" si="36"/>
        <v>494376.38961249997</v>
      </c>
      <c r="AK21" s="3">
        <f t="shared" si="9"/>
        <v>1401284.4346125</v>
      </c>
      <c r="AL21" s="14"/>
      <c r="AM21" s="3">
        <f>G21*0.16514/100</f>
        <v>5036.7700000000004</v>
      </c>
      <c r="AN21" s="3">
        <f t="shared" si="37"/>
        <v>2745.6589250000002</v>
      </c>
      <c r="AO21" s="3">
        <f t="shared" si="10"/>
        <v>7782.4289250000002</v>
      </c>
      <c r="AP21" s="14"/>
      <c r="AQ21" s="14">
        <f>G21*0.57505/100</f>
        <v>17539.024999999998</v>
      </c>
      <c r="AR21" s="14">
        <f t="shared" si="38"/>
        <v>9560.9250624999986</v>
      </c>
      <c r="AS21" s="14">
        <f t="shared" si="11"/>
        <v>27099.950062499996</v>
      </c>
      <c r="AT21" s="14"/>
      <c r="AU21" s="14">
        <f>G21*4.3991/100</f>
        <v>134172.54999999999</v>
      </c>
      <c r="AV21" s="14">
        <f t="shared" si="39"/>
        <v>73140.536374999996</v>
      </c>
      <c r="AW21" s="14">
        <f t="shared" si="12"/>
        <v>207313.08637499998</v>
      </c>
      <c r="AX21" s="14"/>
      <c r="AY21" s="14">
        <f>G21*1.38588/100</f>
        <v>42269.34</v>
      </c>
      <c r="AZ21" s="14">
        <f t="shared" si="40"/>
        <v>23041.987349999999</v>
      </c>
      <c r="BA21" s="14">
        <f t="shared" si="13"/>
        <v>65311.327349999992</v>
      </c>
      <c r="BB21" s="14"/>
      <c r="BC21" s="14">
        <f>G21*6.27067/100</f>
        <v>191255.435</v>
      </c>
      <c r="BD21" s="14">
        <f t="shared" si="41"/>
        <v>104257.7270875</v>
      </c>
      <c r="BE21" s="14">
        <f t="shared" si="14"/>
        <v>295513.16208749998</v>
      </c>
      <c r="BF21" s="14"/>
      <c r="BG21" s="14">
        <f>G21*0.00178/100</f>
        <v>54.29</v>
      </c>
      <c r="BH21" s="14">
        <f t="shared" si="42"/>
        <v>29.594724999999997</v>
      </c>
      <c r="BI21" s="14">
        <f t="shared" si="15"/>
        <v>83.884725000000003</v>
      </c>
      <c r="BJ21" s="14"/>
      <c r="BK21" s="14">
        <f>G21*0.80662/100</f>
        <v>24601.91</v>
      </c>
      <c r="BL21" s="14">
        <f t="shared" si="43"/>
        <v>13411.065774999999</v>
      </c>
      <c r="BM21" s="14">
        <f t="shared" si="1"/>
        <v>38012.975774999999</v>
      </c>
      <c r="BN21" s="14"/>
      <c r="BO21" s="14">
        <f>G21*0.45051/100</f>
        <v>13740.555</v>
      </c>
      <c r="BP21" s="14">
        <f t="shared" si="44"/>
        <v>7490.2918875000005</v>
      </c>
      <c r="BQ21" s="14">
        <f t="shared" si="16"/>
        <v>21230.8468875</v>
      </c>
      <c r="BR21" s="14"/>
      <c r="BS21" s="14">
        <f>G21*0.30131/100</f>
        <v>9189.9550000000017</v>
      </c>
      <c r="BT21" s="14">
        <f t="shared" si="45"/>
        <v>5009.6553875000009</v>
      </c>
      <c r="BU21" s="14">
        <f t="shared" si="17"/>
        <v>14199.610387500003</v>
      </c>
      <c r="BV21" s="14"/>
      <c r="BW21" s="14">
        <f>G21*0.33283/100</f>
        <v>10151.315000000001</v>
      </c>
      <c r="BX21" s="14">
        <f t="shared" si="46"/>
        <v>5533.7147875000001</v>
      </c>
      <c r="BY21" s="14">
        <f t="shared" si="18"/>
        <v>15685.0297875</v>
      </c>
      <c r="BZ21" s="14"/>
      <c r="CA21" s="14">
        <f>G21*4.05633/100</f>
        <v>123718.065</v>
      </c>
      <c r="CB21" s="14">
        <f t="shared" si="30"/>
        <v>67441.556662499992</v>
      </c>
      <c r="CC21" s="14">
        <f t="shared" si="19"/>
        <v>191159.62166249999</v>
      </c>
      <c r="CD21" s="14"/>
      <c r="CE21" s="14">
        <f>G21*0.60544/100</f>
        <v>18465.919999999998</v>
      </c>
      <c r="CF21" s="14">
        <f t="shared" si="47"/>
        <v>10066.1968</v>
      </c>
      <c r="CG21" s="14">
        <f t="shared" si="20"/>
        <v>28532.116799999996</v>
      </c>
      <c r="CH21" s="14"/>
      <c r="CI21" s="14">
        <f>G21*11.87318/100</f>
        <v>362131.99</v>
      </c>
      <c r="CJ21" s="14">
        <f t="shared" si="48"/>
        <v>197406.45897500002</v>
      </c>
      <c r="CK21" s="14">
        <f t="shared" si="21"/>
        <v>559538.44897500006</v>
      </c>
      <c r="CL21" s="14"/>
      <c r="CM21" s="14">
        <f>G21*0.60889/100</f>
        <v>18571.145000000004</v>
      </c>
      <c r="CN21" s="14">
        <f t="shared" si="49"/>
        <v>10123.557362500002</v>
      </c>
      <c r="CO21" s="14">
        <f t="shared" si="29"/>
        <v>28694.702362500007</v>
      </c>
      <c r="CP21" s="14"/>
      <c r="CQ21" s="14">
        <f>G21*1.52665/100</f>
        <v>46562.824999999997</v>
      </c>
      <c r="CR21" s="14">
        <f t="shared" si="50"/>
        <v>25382.464562500001</v>
      </c>
      <c r="CS21" s="14">
        <f t="shared" si="22"/>
        <v>71945.289562499995</v>
      </c>
      <c r="CT21" s="14"/>
      <c r="CU21" s="14">
        <f>G21*15.43782/100</f>
        <v>470853.51</v>
      </c>
      <c r="CV21" s="14">
        <f t="shared" si="51"/>
        <v>256673.054775</v>
      </c>
      <c r="CW21" s="14">
        <f t="shared" si="23"/>
        <v>727526.56477499998</v>
      </c>
      <c r="CX21" s="14"/>
      <c r="CY21" s="14">
        <f>-454</f>
        <v>-454</v>
      </c>
      <c r="CZ21" s="14">
        <v>-247</v>
      </c>
      <c r="DA21" s="14">
        <f t="shared" si="2"/>
        <v>-701</v>
      </c>
      <c r="DB21" s="14"/>
      <c r="DC21" s="14"/>
      <c r="DD21" s="14"/>
      <c r="DE21" s="14">
        <f t="shared" si="24"/>
        <v>0</v>
      </c>
    </row>
    <row r="22" spans="1:109" x14ac:dyDescent="0.2">
      <c r="A22" s="2">
        <v>41365</v>
      </c>
      <c r="D22" s="15">
        <v>444500</v>
      </c>
      <c r="F22" s="15">
        <v>854691</v>
      </c>
      <c r="H22" s="15">
        <f t="shared" si="3"/>
        <v>1299191</v>
      </c>
      <c r="I22" s="15">
        <f t="shared" si="4"/>
        <v>1299191</v>
      </c>
      <c r="L22" s="14">
        <v>218825</v>
      </c>
      <c r="M22" s="14">
        <f t="shared" si="27"/>
        <v>218825</v>
      </c>
      <c r="O22" s="14">
        <f t="shared" si="28"/>
        <v>0</v>
      </c>
      <c r="P22" s="15">
        <f t="shared" si="5"/>
        <v>1080365.9213262</v>
      </c>
      <c r="Q22" s="14">
        <f t="shared" si="0"/>
        <v>1080365.9213262</v>
      </c>
      <c r="S22" s="3"/>
      <c r="T22" s="3">
        <f>H22*$U$7</f>
        <v>3635.2663370999999</v>
      </c>
      <c r="U22" s="3">
        <f t="shared" si="6"/>
        <v>3635.2663370999999</v>
      </c>
      <c r="W22" s="3"/>
      <c r="X22" s="3">
        <f>H22*$Y$7</f>
        <v>19565.686540899998</v>
      </c>
      <c r="Y22" s="3">
        <f t="shared" si="7"/>
        <v>19565.686540899998</v>
      </c>
      <c r="AB22" s="14">
        <f>H22*$AC$7</f>
        <v>30669.872017900001</v>
      </c>
      <c r="AC22" s="14">
        <f t="shared" si="31"/>
        <v>30669.872017900001</v>
      </c>
      <c r="AE22" s="3"/>
      <c r="AF22" s="3">
        <f>H22*$AG$7</f>
        <v>6367.4650101000007</v>
      </c>
      <c r="AG22" s="3">
        <f t="shared" si="8"/>
        <v>6367.4650101000007</v>
      </c>
      <c r="AI22" s="3"/>
      <c r="AJ22" s="3">
        <f>H22*$AK$7</f>
        <v>386252.99211569998</v>
      </c>
      <c r="AK22" s="3">
        <f t="shared" si="9"/>
        <v>386252.99211569998</v>
      </c>
      <c r="AL22" s="14"/>
      <c r="AM22" s="3"/>
      <c r="AN22" s="3">
        <f>H22*$AO$7</f>
        <v>2145.0942601000002</v>
      </c>
      <c r="AO22" s="3">
        <f t="shared" si="10"/>
        <v>2145.0942601000002</v>
      </c>
      <c r="AP22" s="14"/>
      <c r="AQ22" s="14"/>
      <c r="AR22" s="14">
        <f>H22*$AS$7</f>
        <v>7469.9584926999996</v>
      </c>
      <c r="AS22" s="14">
        <f t="shared" si="11"/>
        <v>7469.9584926999996</v>
      </c>
      <c r="AT22" s="14"/>
      <c r="AU22" s="14"/>
      <c r="AV22" s="14">
        <f>H22*$AW$7</f>
        <v>57144.136620400001</v>
      </c>
      <c r="AW22" s="14">
        <f t="shared" si="12"/>
        <v>57144.136620400001</v>
      </c>
      <c r="AX22" s="14"/>
      <c r="AY22" s="14"/>
      <c r="AZ22" s="14">
        <f>H22*$BA$7</f>
        <v>18002.499929699999</v>
      </c>
      <c r="BA22" s="14">
        <f t="shared" si="13"/>
        <v>18002.499929699999</v>
      </c>
      <c r="BB22" s="14"/>
      <c r="BC22" s="14"/>
      <c r="BD22" s="14">
        <f>H22*$BE$7</f>
        <v>81455.897803400003</v>
      </c>
      <c r="BE22" s="14">
        <f t="shared" si="14"/>
        <v>81455.897803400003</v>
      </c>
      <c r="BF22" s="14"/>
      <c r="BG22" s="14"/>
      <c r="BH22" s="14">
        <f>H22*$BI$7</f>
        <v>23.1255998</v>
      </c>
      <c r="BI22" s="14">
        <f t="shared" si="15"/>
        <v>23.1255998</v>
      </c>
      <c r="BJ22" s="14"/>
      <c r="BK22" s="14"/>
      <c r="BL22" s="14">
        <f>H22*$BM$7</f>
        <v>10477.975414999999</v>
      </c>
      <c r="BM22" s="14">
        <f t="shared" si="1"/>
        <v>10477.975414999999</v>
      </c>
      <c r="BN22" s="14"/>
      <c r="BO22" s="14"/>
      <c r="BP22" s="14">
        <f>H22*$BQ$7</f>
        <v>5852.0759404000009</v>
      </c>
      <c r="BQ22" s="14">
        <f t="shared" si="16"/>
        <v>5852.0759404000009</v>
      </c>
      <c r="BR22" s="14"/>
      <c r="BS22" s="14"/>
      <c r="BT22" s="14">
        <f>H22*$BU$7</f>
        <v>3914.0727257000003</v>
      </c>
      <c r="BU22" s="14">
        <f t="shared" si="17"/>
        <v>3914.0727257000003</v>
      </c>
      <c r="BV22" s="14"/>
      <c r="BW22" s="14"/>
      <c r="BX22" s="14">
        <f>H22*$BY$7</f>
        <v>4323.5777288999998</v>
      </c>
      <c r="BY22" s="14">
        <f t="shared" si="18"/>
        <v>4323.5777288999998</v>
      </c>
      <c r="BZ22" s="14"/>
      <c r="CA22" s="14"/>
      <c r="CB22" s="14">
        <f>H22*$CC$7</f>
        <v>52691.679144299997</v>
      </c>
      <c r="CC22" s="14">
        <f t="shared" si="19"/>
        <v>52691.679144299997</v>
      </c>
      <c r="CD22" s="14"/>
      <c r="CE22" s="14"/>
      <c r="CF22" s="14">
        <f>H22*$CG$7</f>
        <v>7864.6527184999995</v>
      </c>
      <c r="CG22" s="14">
        <f t="shared" si="20"/>
        <v>7864.6527184999995</v>
      </c>
      <c r="CH22" s="14"/>
      <c r="CI22" s="14"/>
      <c r="CJ22" s="14">
        <f>H22*$CK$7</f>
        <v>154232.4202122</v>
      </c>
      <c r="CK22" s="14">
        <f t="shared" si="21"/>
        <v>154232.4202122</v>
      </c>
      <c r="CL22" s="14"/>
      <c r="CM22" s="14"/>
      <c r="CN22" s="14">
        <f>H22*$CO$7</f>
        <v>7909.3448889000001</v>
      </c>
      <c r="CO22" s="14">
        <f t="shared" si="29"/>
        <v>7909.3448889000001</v>
      </c>
      <c r="CP22" s="14"/>
      <c r="CQ22" s="14"/>
      <c r="CR22" s="14">
        <f>H22*$CS$7</f>
        <v>19831.1112622</v>
      </c>
      <c r="CS22" s="14">
        <f t="shared" si="22"/>
        <v>19831.1112622</v>
      </c>
      <c r="CT22" s="14"/>
      <c r="CU22" s="14"/>
      <c r="CV22" s="14">
        <f>H22*$CW$7</f>
        <v>200537.01656230001</v>
      </c>
      <c r="CW22" s="14">
        <f t="shared" si="23"/>
        <v>200537.01656230001</v>
      </c>
      <c r="CX22" s="14"/>
      <c r="CY22" s="14"/>
      <c r="CZ22" s="14">
        <v>0</v>
      </c>
      <c r="DA22" s="14">
        <f t="shared" si="2"/>
        <v>0</v>
      </c>
      <c r="DB22" s="14"/>
      <c r="DC22" s="14"/>
      <c r="DD22" s="14">
        <v>0</v>
      </c>
      <c r="DE22" s="14">
        <f t="shared" si="24"/>
        <v>0</v>
      </c>
    </row>
    <row r="23" spans="1:109" x14ac:dyDescent="0.2">
      <c r="A23" s="2">
        <v>41548</v>
      </c>
      <c r="C23" s="15">
        <v>3210000</v>
      </c>
      <c r="D23" s="15">
        <v>444500</v>
      </c>
      <c r="E23" s="15">
        <v>100000</v>
      </c>
      <c r="F23" s="15">
        <v>979900</v>
      </c>
      <c r="G23" s="15">
        <f t="shared" si="25"/>
        <v>3310000</v>
      </c>
      <c r="H23" s="15">
        <f t="shared" si="3"/>
        <v>1424400</v>
      </c>
      <c r="I23" s="15">
        <f t="shared" si="4"/>
        <v>4734400</v>
      </c>
      <c r="K23" s="14">
        <v>557510</v>
      </c>
      <c r="L23" s="14">
        <v>239914</v>
      </c>
      <c r="M23" s="14">
        <f t="shared" si="27"/>
        <v>797424</v>
      </c>
      <c r="O23" s="14">
        <f t="shared" si="28"/>
        <v>2752490.7419999996</v>
      </c>
      <c r="P23" s="15">
        <f t="shared" si="5"/>
        <v>1184485.7440800001</v>
      </c>
      <c r="Q23" s="14">
        <f t="shared" si="0"/>
        <v>3936976.4860799997</v>
      </c>
      <c r="S23" s="3">
        <f>G23*$U$7</f>
        <v>9261.7109999999993</v>
      </c>
      <c r="T23" s="3">
        <f>H23*$U$7</f>
        <v>3985.61364</v>
      </c>
      <c r="U23" s="3">
        <f t="shared" si="6"/>
        <v>13247.324639999999</v>
      </c>
      <c r="W23" s="3">
        <f>G23*$Y$7</f>
        <v>49848.269</v>
      </c>
      <c r="X23" s="3">
        <f>H23*$Y$7</f>
        <v>21451.32156</v>
      </c>
      <c r="Y23" s="3">
        <f t="shared" si="7"/>
        <v>71299.590559999997</v>
      </c>
      <c r="AA23" s="14">
        <f>G23*$AC$7</f>
        <v>78138.839000000007</v>
      </c>
      <c r="AB23" s="14">
        <f>H23*$AC$7</f>
        <v>33625.668360000003</v>
      </c>
      <c r="AC23" s="14">
        <f t="shared" si="31"/>
        <v>111764.50736000002</v>
      </c>
      <c r="AE23" s="3">
        <f>G23*$AG$7</f>
        <v>16222.641000000001</v>
      </c>
      <c r="AF23" s="3">
        <f>H23*$AG$7</f>
        <v>6981.1268399999999</v>
      </c>
      <c r="AG23" s="3">
        <f t="shared" si="8"/>
        <v>23203.76784</v>
      </c>
      <c r="AI23" s="3">
        <f>G23*$AK$7</f>
        <v>984071.93699999992</v>
      </c>
      <c r="AJ23" s="3">
        <f>H23*$AK$7</f>
        <v>423477.96587999997</v>
      </c>
      <c r="AK23" s="3">
        <f t="shared" si="9"/>
        <v>1407549.90288</v>
      </c>
      <c r="AL23" s="14"/>
      <c r="AM23" s="3">
        <f>G23*$AO$7</f>
        <v>5465.1409999999996</v>
      </c>
      <c r="AN23" s="3">
        <f>H23*$AO$7</f>
        <v>2351.8268400000002</v>
      </c>
      <c r="AO23" s="3">
        <f t="shared" si="10"/>
        <v>7816.9678399999993</v>
      </c>
      <c r="AP23" s="14"/>
      <c r="AQ23" s="14">
        <f>G23*$AS$7</f>
        <v>19031.507000000001</v>
      </c>
      <c r="AR23" s="14">
        <f>H23*$AS$7</f>
        <v>8189.8726799999995</v>
      </c>
      <c r="AS23" s="14">
        <f t="shared" si="11"/>
        <v>27221.379680000002</v>
      </c>
      <c r="AT23" s="14"/>
      <c r="AU23" s="14">
        <f>G23*$AW$7</f>
        <v>145588.364</v>
      </c>
      <c r="AV23" s="14">
        <f>H23*$AW$7</f>
        <v>62651.379359999999</v>
      </c>
      <c r="AW23" s="14">
        <f t="shared" si="12"/>
        <v>208239.74335999999</v>
      </c>
      <c r="AX23" s="14"/>
      <c r="AY23" s="14">
        <f>G23*$BA$7</f>
        <v>45865.676999999996</v>
      </c>
      <c r="AZ23" s="14">
        <f>H23*$BA$7</f>
        <v>19737.483479999999</v>
      </c>
      <c r="BA23" s="14">
        <f t="shared" si="13"/>
        <v>65603.160479999991</v>
      </c>
      <c r="BB23" s="14"/>
      <c r="BC23" s="14">
        <f>G23*$BE$7</f>
        <v>207528.394</v>
      </c>
      <c r="BD23" s="14">
        <f>H23*$BE$7</f>
        <v>89306.176560000007</v>
      </c>
      <c r="BE23" s="14">
        <f t="shared" si="14"/>
        <v>296834.57056000002</v>
      </c>
      <c r="BF23" s="14"/>
      <c r="BG23" s="14">
        <f>G23*$BI$7</f>
        <v>58.917999999999999</v>
      </c>
      <c r="BH23" s="14">
        <f>H23*$BI$7</f>
        <v>25.354319999999998</v>
      </c>
      <c r="BI23" s="14">
        <f t="shared" si="15"/>
        <v>84.272319999999993</v>
      </c>
      <c r="BJ23" s="14"/>
      <c r="BK23" s="14">
        <f>G23*$BM$7</f>
        <v>26695.149999999998</v>
      </c>
      <c r="BL23" s="14">
        <f>H23*$BM$7</f>
        <v>11487.785999999998</v>
      </c>
      <c r="BM23" s="14">
        <f t="shared" si="1"/>
        <v>38182.935999999994</v>
      </c>
      <c r="BN23" s="14"/>
      <c r="BO23" s="14">
        <f>G23*$BQ$7</f>
        <v>14909.564000000002</v>
      </c>
      <c r="BP23" s="14">
        <f>H23*$BQ$7</f>
        <v>6416.0673600000009</v>
      </c>
      <c r="BQ23" s="14">
        <f t="shared" si="16"/>
        <v>21325.631360000003</v>
      </c>
      <c r="BR23" s="14"/>
      <c r="BS23" s="14">
        <f>G23*$BU$7</f>
        <v>9972.0370000000003</v>
      </c>
      <c r="BT23" s="14">
        <f>H23*$BU$7</f>
        <v>4291.2898800000003</v>
      </c>
      <c r="BU23" s="14">
        <f t="shared" si="17"/>
        <v>14263.326880000001</v>
      </c>
      <c r="BV23" s="14"/>
      <c r="BW23" s="14">
        <f>G23*$BY$7</f>
        <v>11015.349</v>
      </c>
      <c r="BX23" s="14">
        <f>H23*$BY$7</f>
        <v>4740.2607600000001</v>
      </c>
      <c r="BY23" s="14">
        <f t="shared" si="18"/>
        <v>15755.609759999999</v>
      </c>
      <c r="BZ23" s="14"/>
      <c r="CA23" s="14">
        <f>G23*$CC$7</f>
        <v>134244.663</v>
      </c>
      <c r="CB23" s="14">
        <f>H23*$CC$7</f>
        <v>57769.818119999996</v>
      </c>
      <c r="CC23" s="14">
        <f t="shared" si="19"/>
        <v>192014.48112000001</v>
      </c>
      <c r="CD23" s="14"/>
      <c r="CE23" s="14">
        <f>G23*$CG$7</f>
        <v>20037.084999999999</v>
      </c>
      <c r="CF23" s="14">
        <f>H23*$CG$7</f>
        <v>8622.6054000000004</v>
      </c>
      <c r="CG23" s="14">
        <f t="shared" si="20"/>
        <v>28659.690399999999</v>
      </c>
      <c r="CH23" s="14"/>
      <c r="CI23" s="14">
        <f>G23*$CK$7</f>
        <v>392944.00200000004</v>
      </c>
      <c r="CJ23" s="14">
        <f>H23*$CK$7</f>
        <v>169096.50648000001</v>
      </c>
      <c r="CK23" s="14">
        <f t="shared" si="21"/>
        <v>562040.50848000008</v>
      </c>
      <c r="CL23" s="14"/>
      <c r="CM23" s="14">
        <f>G23*$CO$7</f>
        <v>20150.949000000001</v>
      </c>
      <c r="CN23" s="14">
        <f>H23*$CO$7</f>
        <v>8671.6047600000002</v>
      </c>
      <c r="CO23" s="14">
        <f t="shared" si="29"/>
        <v>28822.553760000003</v>
      </c>
      <c r="CP23" s="14"/>
      <c r="CQ23" s="14">
        <f>G23*$CS$7</f>
        <v>50524.502</v>
      </c>
      <c r="CR23" s="14">
        <f>H23*$CS$7</f>
        <v>21742.32648</v>
      </c>
      <c r="CS23" s="14">
        <f t="shared" si="22"/>
        <v>72266.828479999996</v>
      </c>
      <c r="CT23" s="14"/>
      <c r="CU23" s="14">
        <f>G23*$CW$7</f>
        <v>510916.04300000001</v>
      </c>
      <c r="CV23" s="14">
        <f>H23*$CW$7</f>
        <v>219863.68932</v>
      </c>
      <c r="CW23" s="14">
        <f t="shared" si="23"/>
        <v>730779.73231999995</v>
      </c>
      <c r="CX23" s="14"/>
      <c r="CY23" s="14"/>
      <c r="CZ23" s="14"/>
      <c r="DA23" s="14"/>
      <c r="DB23" s="14"/>
      <c r="DC23" s="14"/>
      <c r="DD23" s="14"/>
      <c r="DE23" s="14">
        <f t="shared" si="24"/>
        <v>0</v>
      </c>
    </row>
    <row r="24" spans="1:109" x14ac:dyDescent="0.2">
      <c r="A24" s="2">
        <v>41730</v>
      </c>
      <c r="D24" s="15">
        <v>364250</v>
      </c>
      <c r="F24" s="15">
        <v>978900</v>
      </c>
      <c r="H24" s="15">
        <f t="shared" si="3"/>
        <v>1343150</v>
      </c>
      <c r="I24" s="15">
        <f t="shared" si="4"/>
        <v>1343150</v>
      </c>
      <c r="L24" s="14">
        <v>226229</v>
      </c>
      <c r="M24" s="14">
        <f t="shared" si="27"/>
        <v>226229</v>
      </c>
      <c r="O24" s="14"/>
      <c r="P24" s="15">
        <f t="shared" si="5"/>
        <v>1116920.8278299998</v>
      </c>
      <c r="Q24" s="14">
        <f t="shared" si="0"/>
        <v>1116920.8278299998</v>
      </c>
      <c r="S24" s="3"/>
      <c r="T24" s="3">
        <f t="shared" ref="T24:T49" si="52">H24*$U$7</f>
        <v>3758.2680150000001</v>
      </c>
      <c r="U24" s="3">
        <f t="shared" si="6"/>
        <v>3758.2680150000001</v>
      </c>
      <c r="W24" s="3"/>
      <c r="X24" s="3">
        <f t="shared" ref="X24:X49" si="53">H24*$Y$7</f>
        <v>20227.704685000001</v>
      </c>
      <c r="Y24" s="3">
        <f t="shared" si="7"/>
        <v>20227.704685000001</v>
      </c>
      <c r="AB24" s="14">
        <f t="shared" ref="AB24:AB49" si="54">H24*$AC$7</f>
        <v>31707.607735000001</v>
      </c>
      <c r="AC24" s="14">
        <f t="shared" si="31"/>
        <v>31707.607735000001</v>
      </c>
      <c r="AE24" s="3"/>
      <c r="AF24" s="3">
        <f t="shared" ref="AF24:AF49" si="55">H24*$AG$7</f>
        <v>6582.9124650000003</v>
      </c>
      <c r="AG24" s="3">
        <f t="shared" si="8"/>
        <v>6582.9124650000003</v>
      </c>
      <c r="AI24" s="3"/>
      <c r="AJ24" s="3">
        <f t="shared" ref="AJ24:AJ49" si="56">H24*$AK$7</f>
        <v>399322.12150499999</v>
      </c>
      <c r="AK24" s="3">
        <f t="shared" si="9"/>
        <v>399322.12150499999</v>
      </c>
      <c r="AL24" s="14"/>
      <c r="AM24" s="3"/>
      <c r="AN24" s="3">
        <f t="shared" ref="AN24:AN49" si="57">H24*$AO$7</f>
        <v>2217.6749650000002</v>
      </c>
      <c r="AO24" s="3">
        <f t="shared" si="10"/>
        <v>2217.6749650000002</v>
      </c>
      <c r="AP24" s="14"/>
      <c r="AQ24" s="14"/>
      <c r="AR24" s="14">
        <f t="shared" ref="AR24:AR49" si="58">H24*$AS$7</f>
        <v>7722.7095550000004</v>
      </c>
      <c r="AS24" s="14">
        <f t="shared" si="11"/>
        <v>7722.7095550000004</v>
      </c>
      <c r="AT24" s="14"/>
      <c r="AU24" s="14"/>
      <c r="AV24" s="14">
        <f t="shared" ref="AV24:AV49" si="59">H24*$AW$7</f>
        <v>59077.646860000001</v>
      </c>
      <c r="AW24" s="14">
        <f t="shared" si="12"/>
        <v>59077.646860000001</v>
      </c>
      <c r="AX24" s="14"/>
      <c r="AY24" s="14"/>
      <c r="AZ24" s="14">
        <f t="shared" ref="AZ24:AZ49" si="60">H24*$BA$7</f>
        <v>18611.626604999998</v>
      </c>
      <c r="BA24" s="14">
        <f t="shared" si="13"/>
        <v>18611.626604999998</v>
      </c>
      <c r="BB24" s="14"/>
      <c r="BC24" s="14"/>
      <c r="BD24" s="14">
        <f t="shared" ref="BD24:BD49" si="61">H24*$BE$7</f>
        <v>84212.01281</v>
      </c>
      <c r="BE24" s="14">
        <f t="shared" si="14"/>
        <v>84212.01281</v>
      </c>
      <c r="BF24" s="14"/>
      <c r="BG24" s="14"/>
      <c r="BH24" s="14">
        <f t="shared" ref="BH24:BH49" si="62">H24*$BI$7</f>
        <v>23.908069999999999</v>
      </c>
      <c r="BI24" s="14">
        <f t="shared" si="15"/>
        <v>23.908069999999999</v>
      </c>
      <c r="BJ24" s="14"/>
      <c r="BK24" s="14"/>
      <c r="BL24" s="14">
        <f t="shared" ref="BL24:BL49" si="63">H24*$BM$7</f>
        <v>10832.504749999998</v>
      </c>
      <c r="BM24" s="14">
        <f t="shared" si="1"/>
        <v>10832.504749999998</v>
      </c>
      <c r="BN24" s="14"/>
      <c r="BO24" s="14"/>
      <c r="BP24" s="14">
        <f t="shared" ref="BP24:BP49" si="64">H24*$BQ$7</f>
        <v>6050.0848600000008</v>
      </c>
      <c r="BQ24" s="14">
        <f t="shared" si="16"/>
        <v>6050.0848600000008</v>
      </c>
      <c r="BR24" s="14"/>
      <c r="BS24" s="14"/>
      <c r="BT24" s="14">
        <f t="shared" ref="BT24:BT49" si="65">H24*$BU$7</f>
        <v>4046.5080050000001</v>
      </c>
      <c r="BU24" s="14">
        <f t="shared" si="17"/>
        <v>4046.5080050000001</v>
      </c>
      <c r="BV24" s="14"/>
      <c r="BW24" s="14"/>
      <c r="BX24" s="14">
        <f t="shared" ref="BX24:BX49" si="66">H24*$BY$7</f>
        <v>4469.8688849999999</v>
      </c>
      <c r="BY24" s="14">
        <f t="shared" si="18"/>
        <v>4469.8688849999999</v>
      </c>
      <c r="BZ24" s="14"/>
      <c r="CA24" s="14"/>
      <c r="CB24" s="14">
        <f t="shared" ref="CB24:CB49" si="67">H24*$CC$7</f>
        <v>54474.537494999997</v>
      </c>
      <c r="CC24" s="14">
        <f t="shared" si="19"/>
        <v>54474.537494999997</v>
      </c>
      <c r="CD24" s="14"/>
      <c r="CE24" s="14"/>
      <c r="CF24" s="14">
        <f t="shared" ref="CF24:CF49" si="68">H24*$CG$7</f>
        <v>8130.7585250000002</v>
      </c>
      <c r="CG24" s="14">
        <f t="shared" si="20"/>
        <v>8130.7585250000002</v>
      </c>
      <c r="CH24" s="14"/>
      <c r="CI24" s="14"/>
      <c r="CJ24" s="14">
        <f t="shared" ref="CJ24:CJ49" si="69">H24*$CK$7</f>
        <v>159450.97773000001</v>
      </c>
      <c r="CK24" s="14">
        <f t="shared" si="21"/>
        <v>159450.97773000001</v>
      </c>
      <c r="CL24" s="14"/>
      <c r="CM24" s="14"/>
      <c r="CN24" s="14">
        <f t="shared" ref="CN24:CN49" si="70">H24*$CO$7</f>
        <v>8176.9628849999999</v>
      </c>
      <c r="CO24" s="14">
        <f t="shared" si="29"/>
        <v>8176.9628849999999</v>
      </c>
      <c r="CP24" s="14"/>
      <c r="CQ24" s="14"/>
      <c r="CR24" s="14">
        <f t="shared" ref="CR24:CR49" si="71">H24*$CS$7</f>
        <v>20502.110230000002</v>
      </c>
      <c r="CS24" s="14">
        <f t="shared" si="22"/>
        <v>20502.110230000002</v>
      </c>
      <c r="CT24" s="14"/>
      <c r="CU24" s="14"/>
      <c r="CV24" s="14">
        <f t="shared" ref="CV24:CV47" si="72">H24*$CW$7</f>
        <v>207322.321195</v>
      </c>
      <c r="CW24" s="14">
        <f t="shared" si="23"/>
        <v>207322.321195</v>
      </c>
      <c r="CX24" s="14"/>
      <c r="CY24" s="14"/>
      <c r="CZ24" s="14"/>
      <c r="DA24" s="14"/>
      <c r="DB24" s="14"/>
      <c r="DC24" s="14"/>
      <c r="DD24" s="14"/>
      <c r="DE24" s="14">
        <f t="shared" si="24"/>
        <v>0</v>
      </c>
    </row>
    <row r="25" spans="1:109" x14ac:dyDescent="0.2">
      <c r="A25" s="2">
        <v>41913</v>
      </c>
      <c r="C25" s="15">
        <v>3375000</v>
      </c>
      <c r="D25" s="15">
        <v>364250</v>
      </c>
      <c r="E25" s="15">
        <v>100000</v>
      </c>
      <c r="F25" s="15">
        <v>978900</v>
      </c>
      <c r="G25" s="15">
        <f t="shared" si="25"/>
        <v>3475000</v>
      </c>
      <c r="H25" s="15">
        <f t="shared" si="3"/>
        <v>1343150</v>
      </c>
      <c r="I25" s="15">
        <f t="shared" si="4"/>
        <v>4818150</v>
      </c>
      <c r="K25" s="14">
        <v>585301</v>
      </c>
      <c r="L25" s="14">
        <v>226229</v>
      </c>
      <c r="M25" s="14">
        <f t="shared" si="27"/>
        <v>811530</v>
      </c>
      <c r="O25" s="14">
        <f t="shared" si="28"/>
        <v>2889699.4950000006</v>
      </c>
      <c r="P25" s="15">
        <f t="shared" si="5"/>
        <v>1116920.8278299998</v>
      </c>
      <c r="Q25" s="14">
        <f t="shared" si="0"/>
        <v>4006620.3228300004</v>
      </c>
      <c r="S25" s="3">
        <f>G25*$U$7</f>
        <v>9723.3974999999991</v>
      </c>
      <c r="T25" s="3">
        <f t="shared" si="52"/>
        <v>3758.2680150000001</v>
      </c>
      <c r="U25" s="3">
        <f t="shared" si="6"/>
        <v>13481.665514999999</v>
      </c>
      <c r="W25" s="3">
        <f>G25*$Y$7</f>
        <v>52333.152499999997</v>
      </c>
      <c r="X25" s="3">
        <f t="shared" si="53"/>
        <v>20227.704685000001</v>
      </c>
      <c r="Y25" s="3">
        <f t="shared" si="7"/>
        <v>72560.857185000001</v>
      </c>
      <c r="AA25" s="14">
        <f>G25*$AC$7</f>
        <v>82033.977499999994</v>
      </c>
      <c r="AB25" s="14">
        <f t="shared" si="54"/>
        <v>31707.607735000001</v>
      </c>
      <c r="AC25" s="14">
        <f t="shared" si="31"/>
        <v>113741.58523499999</v>
      </c>
      <c r="AE25" s="3">
        <f>G25*$AG$7</f>
        <v>17031.322500000002</v>
      </c>
      <c r="AF25" s="3">
        <f t="shared" si="55"/>
        <v>6582.9124650000003</v>
      </c>
      <c r="AG25" s="3">
        <f t="shared" si="8"/>
        <v>23614.234965000003</v>
      </c>
      <c r="AI25" s="3">
        <f>G25*$AK$7</f>
        <v>1033126.8824999999</v>
      </c>
      <c r="AJ25" s="3">
        <f t="shared" si="56"/>
        <v>399322.12150499999</v>
      </c>
      <c r="AK25" s="3">
        <f t="shared" si="9"/>
        <v>1432449.004005</v>
      </c>
      <c r="AL25" s="14"/>
      <c r="AM25" s="3">
        <f>G25*$AO$7</f>
        <v>5737.5725000000002</v>
      </c>
      <c r="AN25" s="3">
        <f t="shared" si="57"/>
        <v>2217.6749650000002</v>
      </c>
      <c r="AO25" s="3">
        <f t="shared" si="10"/>
        <v>7955.2474650000004</v>
      </c>
      <c r="AP25" s="14"/>
      <c r="AQ25" s="14">
        <f t="shared" ref="AQ25:AQ49" si="73">G25*$AS$7</f>
        <v>19980.2075</v>
      </c>
      <c r="AR25" s="14">
        <f t="shared" si="58"/>
        <v>7722.7095550000004</v>
      </c>
      <c r="AS25" s="14">
        <f t="shared" si="11"/>
        <v>27702.917055000002</v>
      </c>
      <c r="AT25" s="14"/>
      <c r="AU25" s="14">
        <f t="shared" ref="AU25:AU49" si="74">G25*$AW$7</f>
        <v>152845.79</v>
      </c>
      <c r="AV25" s="14">
        <f t="shared" si="59"/>
        <v>59077.646860000001</v>
      </c>
      <c r="AW25" s="14">
        <f t="shared" si="12"/>
        <v>211923.43686000002</v>
      </c>
      <c r="AX25" s="14"/>
      <c r="AY25" s="14">
        <f t="shared" ref="AY25:AY49" si="75">G25*$BA$7</f>
        <v>48152.032500000001</v>
      </c>
      <c r="AZ25" s="14">
        <f t="shared" si="60"/>
        <v>18611.626604999998</v>
      </c>
      <c r="BA25" s="14">
        <f t="shared" si="13"/>
        <v>66763.659104999999</v>
      </c>
      <c r="BB25" s="14"/>
      <c r="BC25" s="14">
        <f t="shared" ref="BC25:BC49" si="76">G25*$BE$7</f>
        <v>217873.465</v>
      </c>
      <c r="BD25" s="14">
        <f t="shared" si="61"/>
        <v>84212.01281</v>
      </c>
      <c r="BE25" s="14">
        <f t="shared" si="14"/>
        <v>302085.47781000001</v>
      </c>
      <c r="BF25" s="14"/>
      <c r="BG25" s="14">
        <f t="shared" ref="BG25:BG49" si="77">G25*$BI$7</f>
        <v>61.854999999999997</v>
      </c>
      <c r="BH25" s="14">
        <f t="shared" si="62"/>
        <v>23.908069999999999</v>
      </c>
      <c r="BI25" s="14">
        <f t="shared" si="15"/>
        <v>85.763069999999999</v>
      </c>
      <c r="BJ25" s="14"/>
      <c r="BK25" s="14">
        <f t="shared" ref="BK25:BK49" si="78">G25*$BM$7</f>
        <v>28025.874999999996</v>
      </c>
      <c r="BL25" s="14">
        <f t="shared" si="63"/>
        <v>10832.504749999998</v>
      </c>
      <c r="BM25" s="14">
        <f t="shared" si="1"/>
        <v>38858.379749999993</v>
      </c>
      <c r="BN25" s="14"/>
      <c r="BO25" s="14">
        <f t="shared" ref="BO25:BO49" si="79">G25*$BQ$7</f>
        <v>15652.79</v>
      </c>
      <c r="BP25" s="14">
        <f t="shared" si="64"/>
        <v>6050.0848600000008</v>
      </c>
      <c r="BQ25" s="14">
        <f t="shared" si="16"/>
        <v>21702.874860000004</v>
      </c>
      <c r="BR25" s="14"/>
      <c r="BS25" s="14">
        <f t="shared" ref="BS25:BS49" si="80">G25*$BU$7</f>
        <v>10469.1325</v>
      </c>
      <c r="BT25" s="14">
        <f t="shared" si="65"/>
        <v>4046.5080050000001</v>
      </c>
      <c r="BU25" s="14">
        <f t="shared" si="17"/>
        <v>14515.640504999999</v>
      </c>
      <c r="BV25" s="14"/>
      <c r="BW25" s="14">
        <f t="shared" ref="BW25:BW49" si="81">G25*$BY$7</f>
        <v>11564.452499999999</v>
      </c>
      <c r="BX25" s="14">
        <f t="shared" si="66"/>
        <v>4469.8688849999999</v>
      </c>
      <c r="BY25" s="14">
        <f t="shared" si="18"/>
        <v>16034.321384999999</v>
      </c>
      <c r="BZ25" s="14"/>
      <c r="CA25" s="14">
        <f t="shared" ref="CA25:CA49" si="82">G25*$CC$7</f>
        <v>140936.61749999999</v>
      </c>
      <c r="CB25" s="14">
        <f t="shared" si="67"/>
        <v>54474.537494999997</v>
      </c>
      <c r="CC25" s="14">
        <f t="shared" si="19"/>
        <v>195411.15499499999</v>
      </c>
      <c r="CD25" s="14"/>
      <c r="CE25" s="14">
        <f t="shared" ref="CE25:CE49" si="83">G25*$CG$7</f>
        <v>21035.912499999999</v>
      </c>
      <c r="CF25" s="14">
        <f t="shared" si="68"/>
        <v>8130.7585250000002</v>
      </c>
      <c r="CG25" s="14">
        <f t="shared" si="20"/>
        <v>29166.671025</v>
      </c>
      <c r="CH25" s="14"/>
      <c r="CI25" s="14">
        <f t="shared" ref="CI25:CI49" si="84">G25*$CK$7</f>
        <v>412531.84500000003</v>
      </c>
      <c r="CJ25" s="14">
        <f t="shared" si="69"/>
        <v>159450.97773000001</v>
      </c>
      <c r="CK25" s="14">
        <f t="shared" si="21"/>
        <v>571982.82273000001</v>
      </c>
      <c r="CL25" s="14"/>
      <c r="CM25" s="14">
        <f t="shared" ref="CM25:CM49" si="85">G25*$CO$7</f>
        <v>21155.452499999999</v>
      </c>
      <c r="CN25" s="14">
        <f t="shared" si="70"/>
        <v>8176.9628849999999</v>
      </c>
      <c r="CO25" s="14">
        <f t="shared" si="29"/>
        <v>29332.415385</v>
      </c>
      <c r="CP25" s="14"/>
      <c r="CQ25" s="14">
        <f t="shared" ref="CQ25:CQ49" si="86">G25*$CS$7</f>
        <v>53043.095000000001</v>
      </c>
      <c r="CR25" s="14">
        <f t="shared" si="71"/>
        <v>20502.110230000002</v>
      </c>
      <c r="CS25" s="14">
        <f t="shared" si="22"/>
        <v>73545.205230000007</v>
      </c>
      <c r="CT25" s="14"/>
      <c r="CU25" s="14">
        <f t="shared" ref="CU25:CU49" si="87">G25*$CW$7</f>
        <v>536384.66749999998</v>
      </c>
      <c r="CV25" s="14">
        <f t="shared" si="72"/>
        <v>207322.321195</v>
      </c>
      <c r="CW25" s="14">
        <f t="shared" si="23"/>
        <v>743706.98869499995</v>
      </c>
      <c r="CX25" s="14"/>
      <c r="CY25" s="14"/>
      <c r="CZ25" s="14"/>
      <c r="DA25" s="14"/>
      <c r="DB25" s="14"/>
      <c r="DC25" s="14"/>
      <c r="DD25" s="14"/>
      <c r="DE25" s="14">
        <f t="shared" si="24"/>
        <v>0</v>
      </c>
    </row>
    <row r="26" spans="1:109" x14ac:dyDescent="0.2">
      <c r="A26" s="2">
        <v>42095</v>
      </c>
      <c r="D26" s="15">
        <v>279875</v>
      </c>
      <c r="F26" s="15">
        <v>976900</v>
      </c>
      <c r="H26" s="15">
        <f t="shared" si="3"/>
        <v>1256775</v>
      </c>
      <c r="I26" s="15">
        <f t="shared" si="4"/>
        <v>1256775</v>
      </c>
      <c r="L26" s="14">
        <v>211681</v>
      </c>
      <c r="M26" s="14">
        <f t="shared" si="27"/>
        <v>211681</v>
      </c>
      <c r="O26" s="14"/>
      <c r="P26" s="15">
        <f t="shared" si="5"/>
        <v>1045094.1245550001</v>
      </c>
      <c r="Q26" s="14">
        <f t="shared" si="0"/>
        <v>1045094.1245550001</v>
      </c>
      <c r="S26" s="3"/>
      <c r="T26" s="3">
        <f t="shared" si="52"/>
        <v>3516.5821274999998</v>
      </c>
      <c r="U26" s="3">
        <f t="shared" si="6"/>
        <v>3516.5821274999998</v>
      </c>
      <c r="W26" s="3"/>
      <c r="X26" s="3">
        <f t="shared" si="53"/>
        <v>18926.905822500001</v>
      </c>
      <c r="Y26" s="3">
        <f t="shared" si="7"/>
        <v>18926.905822500001</v>
      </c>
      <c r="AB26" s="14">
        <f t="shared" si="54"/>
        <v>29668.5617475</v>
      </c>
      <c r="AC26" s="14">
        <f t="shared" si="31"/>
        <v>29668.5617475</v>
      </c>
      <c r="AE26" s="3"/>
      <c r="AF26" s="3">
        <f t="shared" si="55"/>
        <v>6159.5799525000002</v>
      </c>
      <c r="AG26" s="3">
        <f t="shared" si="8"/>
        <v>6159.5799525000002</v>
      </c>
      <c r="AI26" s="3"/>
      <c r="AJ26" s="3">
        <f t="shared" si="56"/>
        <v>373642.60079249996</v>
      </c>
      <c r="AK26" s="3">
        <f t="shared" si="9"/>
        <v>373642.60079249996</v>
      </c>
      <c r="AL26" s="14"/>
      <c r="AM26" s="3"/>
      <c r="AN26" s="3">
        <f t="shared" si="57"/>
        <v>2075.0612025</v>
      </c>
      <c r="AO26" s="3">
        <f t="shared" si="10"/>
        <v>2075.0612025</v>
      </c>
      <c r="AP26" s="14"/>
      <c r="AQ26" s="14"/>
      <c r="AR26" s="14">
        <f t="shared" si="58"/>
        <v>7226.0792174999997</v>
      </c>
      <c r="AS26" s="14">
        <f t="shared" si="11"/>
        <v>7226.0792174999997</v>
      </c>
      <c r="AT26" s="14"/>
      <c r="AU26" s="14"/>
      <c r="AV26" s="14">
        <f t="shared" si="59"/>
        <v>55278.494310000002</v>
      </c>
      <c r="AW26" s="14">
        <f t="shared" si="12"/>
        <v>55278.494310000002</v>
      </c>
      <c r="AX26" s="14"/>
      <c r="AY26" s="14"/>
      <c r="AZ26" s="14">
        <f t="shared" si="60"/>
        <v>17414.754142499998</v>
      </c>
      <c r="BA26" s="14">
        <f t="shared" si="13"/>
        <v>17414.754142499998</v>
      </c>
      <c r="BB26" s="14"/>
      <c r="BC26" s="14"/>
      <c r="BD26" s="14">
        <f t="shared" si="61"/>
        <v>78796.524885000006</v>
      </c>
      <c r="BE26" s="14">
        <f t="shared" si="14"/>
        <v>78796.524885000006</v>
      </c>
      <c r="BF26" s="14"/>
      <c r="BG26" s="14"/>
      <c r="BH26" s="14">
        <f t="shared" si="62"/>
        <v>22.370594999999998</v>
      </c>
      <c r="BI26" s="14">
        <f t="shared" si="15"/>
        <v>22.370594999999998</v>
      </c>
      <c r="BJ26" s="14"/>
      <c r="BK26" s="14"/>
      <c r="BL26" s="14">
        <f t="shared" si="63"/>
        <v>10135.890374999999</v>
      </c>
      <c r="BM26" s="14">
        <f t="shared" si="1"/>
        <v>10135.890374999999</v>
      </c>
      <c r="BN26" s="14"/>
      <c r="BO26" s="14"/>
      <c r="BP26" s="14">
        <f t="shared" si="64"/>
        <v>5661.0173100000002</v>
      </c>
      <c r="BQ26" s="14">
        <f t="shared" si="16"/>
        <v>5661.0173100000002</v>
      </c>
      <c r="BR26" s="14"/>
      <c r="BS26" s="14"/>
      <c r="BT26" s="14">
        <f t="shared" si="65"/>
        <v>3786.2860425000003</v>
      </c>
      <c r="BU26" s="14">
        <f t="shared" si="17"/>
        <v>3786.2860425000003</v>
      </c>
      <c r="BV26" s="14"/>
      <c r="BW26" s="14"/>
      <c r="BX26" s="14">
        <f t="shared" si="66"/>
        <v>4182.4215224999998</v>
      </c>
      <c r="BY26" s="14">
        <f t="shared" si="18"/>
        <v>4182.4215224999998</v>
      </c>
      <c r="BZ26" s="14"/>
      <c r="CA26" s="14"/>
      <c r="CB26" s="14">
        <f t="shared" si="67"/>
        <v>50971.400707499997</v>
      </c>
      <c r="CC26" s="14">
        <f t="shared" si="19"/>
        <v>50971.400707499997</v>
      </c>
      <c r="CD26" s="14"/>
      <c r="CE26" s="14"/>
      <c r="CF26" s="14">
        <f t="shared" si="68"/>
        <v>7607.8874624999999</v>
      </c>
      <c r="CG26" s="14">
        <f t="shared" si="20"/>
        <v>7607.8874624999999</v>
      </c>
      <c r="CH26" s="14"/>
      <c r="CI26" s="14"/>
      <c r="CJ26" s="14">
        <f t="shared" si="69"/>
        <v>149197.03870500001</v>
      </c>
      <c r="CK26" s="14">
        <f t="shared" si="21"/>
        <v>149197.03870500001</v>
      </c>
      <c r="CL26" s="14"/>
      <c r="CM26" s="14"/>
      <c r="CN26" s="14">
        <f t="shared" si="70"/>
        <v>7651.1205225000003</v>
      </c>
      <c r="CO26" s="14">
        <f t="shared" si="29"/>
        <v>7651.1205225000003</v>
      </c>
      <c r="CP26" s="14"/>
      <c r="CQ26" s="14"/>
      <c r="CR26" s="14">
        <f t="shared" si="71"/>
        <v>19183.664955</v>
      </c>
      <c r="CS26" s="14">
        <f t="shared" si="22"/>
        <v>19183.664955</v>
      </c>
      <c r="CT26" s="14"/>
      <c r="CU26" s="14"/>
      <c r="CV26" s="14">
        <f t="shared" si="72"/>
        <v>193989.88215749999</v>
      </c>
      <c r="CW26" s="14">
        <f t="shared" si="23"/>
        <v>193989.88215749999</v>
      </c>
      <c r="CX26" s="14"/>
      <c r="CY26" s="14"/>
      <c r="CZ26" s="14"/>
      <c r="DA26" s="14"/>
      <c r="DB26" s="14"/>
      <c r="DC26" s="14"/>
      <c r="DD26" s="14"/>
      <c r="DE26" s="14">
        <f t="shared" si="24"/>
        <v>0</v>
      </c>
    </row>
    <row r="27" spans="1:109" x14ac:dyDescent="0.2">
      <c r="A27" s="2">
        <v>42278</v>
      </c>
      <c r="B27" s="10"/>
      <c r="C27" s="15">
        <v>3545000</v>
      </c>
      <c r="D27" s="15">
        <v>279875</v>
      </c>
      <c r="E27" s="15">
        <v>100000</v>
      </c>
      <c r="F27" s="15">
        <v>976900</v>
      </c>
      <c r="G27" s="15">
        <f t="shared" si="25"/>
        <v>3645000</v>
      </c>
      <c r="H27" s="15">
        <f t="shared" si="3"/>
        <v>1256775</v>
      </c>
      <c r="I27" s="15">
        <f t="shared" si="4"/>
        <v>4901775</v>
      </c>
      <c r="K27" s="14">
        <v>613934</v>
      </c>
      <c r="L27" s="14">
        <v>211681</v>
      </c>
      <c r="M27" s="14">
        <f t="shared" si="27"/>
        <v>825615</v>
      </c>
      <c r="O27" s="14">
        <f t="shared" si="28"/>
        <v>3031066.0890000002</v>
      </c>
      <c r="P27" s="15">
        <f t="shared" si="5"/>
        <v>1045094.1245550001</v>
      </c>
      <c r="Q27" s="14">
        <f t="shared" si="0"/>
        <v>4076160.2135550003</v>
      </c>
      <c r="S27" s="3">
        <f>G27*$U$7</f>
        <v>10199.074500000001</v>
      </c>
      <c r="T27" s="3">
        <f t="shared" si="52"/>
        <v>3516.5821274999998</v>
      </c>
      <c r="U27" s="3">
        <f t="shared" si="6"/>
        <v>13715.6566275</v>
      </c>
      <c r="W27" s="3">
        <f>G27*$Y$7</f>
        <v>54893.335500000001</v>
      </c>
      <c r="X27" s="3">
        <f t="shared" si="53"/>
        <v>18926.905822500001</v>
      </c>
      <c r="Y27" s="3">
        <f t="shared" si="7"/>
        <v>73820.241322500005</v>
      </c>
      <c r="AA27" s="14">
        <f>G27*$AC$7</f>
        <v>86047.150500000003</v>
      </c>
      <c r="AB27" s="14">
        <f t="shared" si="54"/>
        <v>29668.5617475</v>
      </c>
      <c r="AC27" s="14">
        <f t="shared" si="31"/>
        <v>115715.71224750001</v>
      </c>
      <c r="AE27" s="3">
        <f>G27*$AG$7</f>
        <v>17864.5095</v>
      </c>
      <c r="AF27" s="3">
        <f t="shared" si="55"/>
        <v>6159.5799525000002</v>
      </c>
      <c r="AG27" s="3">
        <f t="shared" si="8"/>
        <v>24024.0894525</v>
      </c>
      <c r="AI27" s="3">
        <f>G27*$AK$7</f>
        <v>1083668.3414999999</v>
      </c>
      <c r="AJ27" s="3">
        <f t="shared" si="56"/>
        <v>373642.60079249996</v>
      </c>
      <c r="AK27" s="3">
        <f t="shared" si="9"/>
        <v>1457310.9422924998</v>
      </c>
      <c r="AL27" s="14"/>
      <c r="AM27" s="3">
        <f>G27*$AO$7</f>
        <v>6018.2595000000001</v>
      </c>
      <c r="AN27" s="3">
        <f t="shared" si="57"/>
        <v>2075.0612025</v>
      </c>
      <c r="AO27" s="3">
        <f t="shared" si="10"/>
        <v>8093.3207025000002</v>
      </c>
      <c r="AP27" s="14"/>
      <c r="AQ27" s="14">
        <f t="shared" si="73"/>
        <v>20957.656500000001</v>
      </c>
      <c r="AR27" s="14">
        <f t="shared" si="58"/>
        <v>7226.0792174999997</v>
      </c>
      <c r="AS27" s="14">
        <f t="shared" si="11"/>
        <v>28183.7357175</v>
      </c>
      <c r="AT27" s="14"/>
      <c r="AU27" s="14">
        <f t="shared" si="74"/>
        <v>160323.13800000001</v>
      </c>
      <c r="AV27" s="14">
        <f t="shared" si="59"/>
        <v>55278.494310000002</v>
      </c>
      <c r="AW27" s="14">
        <f t="shared" si="12"/>
        <v>215601.63231000002</v>
      </c>
      <c r="AX27" s="14"/>
      <c r="AY27" s="14">
        <f t="shared" si="75"/>
        <v>50507.671499999997</v>
      </c>
      <c r="AZ27" s="14">
        <f t="shared" si="60"/>
        <v>17414.754142499998</v>
      </c>
      <c r="BA27" s="14">
        <f t="shared" si="13"/>
        <v>67922.425642499991</v>
      </c>
      <c r="BB27" s="14"/>
      <c r="BC27" s="14">
        <f t="shared" si="76"/>
        <v>228532.02300000002</v>
      </c>
      <c r="BD27" s="14">
        <f t="shared" si="61"/>
        <v>78796.524885000006</v>
      </c>
      <c r="BE27" s="14">
        <f t="shared" si="14"/>
        <v>307328.54788500001</v>
      </c>
      <c r="BF27" s="14"/>
      <c r="BG27" s="14">
        <f t="shared" si="77"/>
        <v>64.881</v>
      </c>
      <c r="BH27" s="14">
        <f t="shared" si="62"/>
        <v>22.370594999999998</v>
      </c>
      <c r="BI27" s="14">
        <f t="shared" si="15"/>
        <v>87.251594999999995</v>
      </c>
      <c r="BJ27" s="14"/>
      <c r="BK27" s="14">
        <f t="shared" si="78"/>
        <v>29396.924999999996</v>
      </c>
      <c r="BL27" s="14">
        <f t="shared" si="63"/>
        <v>10135.890374999999</v>
      </c>
      <c r="BM27" s="14">
        <f t="shared" si="1"/>
        <v>39532.815374999991</v>
      </c>
      <c r="BN27" s="14"/>
      <c r="BO27" s="14">
        <f t="shared" si="79"/>
        <v>16418.538</v>
      </c>
      <c r="BP27" s="14">
        <f t="shared" si="64"/>
        <v>5661.0173100000002</v>
      </c>
      <c r="BQ27" s="14">
        <f t="shared" si="16"/>
        <v>22079.55531</v>
      </c>
      <c r="BR27" s="14"/>
      <c r="BS27" s="14">
        <f t="shared" si="80"/>
        <v>10981.291500000001</v>
      </c>
      <c r="BT27" s="14">
        <f t="shared" si="65"/>
        <v>3786.2860425000003</v>
      </c>
      <c r="BU27" s="14">
        <f t="shared" si="17"/>
        <v>14767.577542500001</v>
      </c>
      <c r="BV27" s="14"/>
      <c r="BW27" s="14">
        <f t="shared" si="81"/>
        <v>12130.1955</v>
      </c>
      <c r="BX27" s="14">
        <f t="shared" si="66"/>
        <v>4182.4215224999998</v>
      </c>
      <c r="BY27" s="14">
        <f t="shared" si="18"/>
        <v>16312.617022499999</v>
      </c>
      <c r="BZ27" s="14"/>
      <c r="CA27" s="14">
        <f t="shared" si="82"/>
        <v>147831.3585</v>
      </c>
      <c r="CB27" s="14">
        <f t="shared" si="67"/>
        <v>50971.400707499997</v>
      </c>
      <c r="CC27" s="14">
        <f t="shared" si="19"/>
        <v>198802.7592075</v>
      </c>
      <c r="CD27" s="14"/>
      <c r="CE27" s="14">
        <f t="shared" si="83"/>
        <v>22065.0075</v>
      </c>
      <c r="CF27" s="14">
        <f t="shared" si="68"/>
        <v>7607.8874624999999</v>
      </c>
      <c r="CG27" s="14">
        <f t="shared" si="20"/>
        <v>29672.894962499999</v>
      </c>
      <c r="CH27" s="14"/>
      <c r="CI27" s="14">
        <f t="shared" si="84"/>
        <v>432713.25900000002</v>
      </c>
      <c r="CJ27" s="14">
        <f t="shared" si="69"/>
        <v>149197.03870500001</v>
      </c>
      <c r="CK27" s="14">
        <f t="shared" si="21"/>
        <v>581910.29770500003</v>
      </c>
      <c r="CL27" s="14"/>
      <c r="CM27" s="14">
        <f t="shared" si="85"/>
        <v>22190.395500000002</v>
      </c>
      <c r="CN27" s="14">
        <f t="shared" si="70"/>
        <v>7651.1205225000003</v>
      </c>
      <c r="CO27" s="14">
        <f t="shared" si="29"/>
        <v>29841.516022500004</v>
      </c>
      <c r="CP27" s="14"/>
      <c r="CQ27" s="14">
        <f t="shared" si="86"/>
        <v>55638.008999999998</v>
      </c>
      <c r="CR27" s="14">
        <f t="shared" si="71"/>
        <v>19183.664955</v>
      </c>
      <c r="CS27" s="14">
        <f t="shared" si="22"/>
        <v>74821.673955000006</v>
      </c>
      <c r="CT27" s="14"/>
      <c r="CU27" s="14">
        <f t="shared" si="87"/>
        <v>562625.06850000005</v>
      </c>
      <c r="CV27" s="14">
        <f t="shared" si="72"/>
        <v>193989.88215749999</v>
      </c>
      <c r="CW27" s="14">
        <f t="shared" si="23"/>
        <v>756614.95065750007</v>
      </c>
      <c r="CX27" s="14"/>
      <c r="CY27" s="14"/>
      <c r="CZ27" s="14"/>
      <c r="DA27" s="14"/>
      <c r="DB27" s="14"/>
      <c r="DC27" s="14"/>
      <c r="DD27" s="14"/>
      <c r="DE27" s="14">
        <f t="shared" si="24"/>
        <v>0</v>
      </c>
    </row>
    <row r="28" spans="1:109" x14ac:dyDescent="0.2">
      <c r="A28" s="2">
        <v>42461</v>
      </c>
      <c r="D28" s="15">
        <v>191250</v>
      </c>
      <c r="F28" s="15">
        <v>974900</v>
      </c>
      <c r="H28" s="15">
        <f t="shared" si="3"/>
        <v>1166150</v>
      </c>
      <c r="I28" s="15">
        <f t="shared" si="4"/>
        <v>1166150</v>
      </c>
      <c r="L28" s="14">
        <v>196417</v>
      </c>
      <c r="M28" s="14">
        <f t="shared" si="27"/>
        <v>196417</v>
      </c>
      <c r="O28" s="14"/>
      <c r="P28" s="15">
        <f t="shared" si="5"/>
        <v>969733.25642999983</v>
      </c>
      <c r="Q28" s="14">
        <f t="shared" si="0"/>
        <v>969733.25642999983</v>
      </c>
      <c r="S28" s="3"/>
      <c r="T28" s="3">
        <f t="shared" si="52"/>
        <v>3263.0043150000001</v>
      </c>
      <c r="U28" s="3">
        <f t="shared" si="6"/>
        <v>3263.0043150000001</v>
      </c>
      <c r="W28" s="3"/>
      <c r="X28" s="3">
        <f t="shared" si="53"/>
        <v>17562.102384999998</v>
      </c>
      <c r="Y28" s="3">
        <f t="shared" si="7"/>
        <v>17562.102384999998</v>
      </c>
      <c r="AB28" s="14">
        <f t="shared" si="54"/>
        <v>27529.186435</v>
      </c>
      <c r="AC28" s="14">
        <f t="shared" si="31"/>
        <v>27529.186435</v>
      </c>
      <c r="AE28" s="3"/>
      <c r="AF28" s="3">
        <f t="shared" si="55"/>
        <v>5715.4177650000001</v>
      </c>
      <c r="AG28" s="3">
        <f t="shared" si="8"/>
        <v>5715.4177650000001</v>
      </c>
      <c r="AI28" s="3"/>
      <c r="AJ28" s="3">
        <f t="shared" si="56"/>
        <v>346699.54360499996</v>
      </c>
      <c r="AK28" s="3">
        <f t="shared" si="9"/>
        <v>346699.54360499996</v>
      </c>
      <c r="AL28" s="14"/>
      <c r="AM28" s="3"/>
      <c r="AN28" s="3">
        <f t="shared" si="57"/>
        <v>1925.430265</v>
      </c>
      <c r="AO28" s="3">
        <f t="shared" si="10"/>
        <v>1925.430265</v>
      </c>
      <c r="AP28" s="14"/>
      <c r="AQ28" s="14"/>
      <c r="AR28" s="14">
        <f t="shared" si="58"/>
        <v>6705.0126549999995</v>
      </c>
      <c r="AS28" s="14">
        <f t="shared" si="11"/>
        <v>6705.0126549999995</v>
      </c>
      <c r="AT28" s="14"/>
      <c r="AU28" s="14"/>
      <c r="AV28" s="14">
        <f t="shared" si="59"/>
        <v>51292.408060000002</v>
      </c>
      <c r="AW28" s="14">
        <f t="shared" si="12"/>
        <v>51292.408060000002</v>
      </c>
      <c r="AX28" s="14"/>
      <c r="AY28" s="14"/>
      <c r="AZ28" s="14">
        <f t="shared" si="60"/>
        <v>16158.990705</v>
      </c>
      <c r="BA28" s="14">
        <f t="shared" si="13"/>
        <v>16158.990705</v>
      </c>
      <c r="BB28" s="14"/>
      <c r="BC28" s="14"/>
      <c r="BD28" s="14">
        <f t="shared" si="61"/>
        <v>73114.573010000007</v>
      </c>
      <c r="BE28" s="14">
        <f t="shared" si="14"/>
        <v>73114.573010000007</v>
      </c>
      <c r="BF28" s="14"/>
      <c r="BG28" s="14"/>
      <c r="BH28" s="14">
        <f t="shared" si="62"/>
        <v>20.757469999999998</v>
      </c>
      <c r="BI28" s="14">
        <f t="shared" si="15"/>
        <v>20.757469999999998</v>
      </c>
      <c r="BJ28" s="14"/>
      <c r="BK28" s="14"/>
      <c r="BL28" s="14">
        <f t="shared" si="63"/>
        <v>9404.999749999999</v>
      </c>
      <c r="BM28" s="14">
        <f t="shared" si="1"/>
        <v>9404.999749999999</v>
      </c>
      <c r="BN28" s="14"/>
      <c r="BO28" s="14"/>
      <c r="BP28" s="14">
        <f t="shared" si="64"/>
        <v>5252.8060600000008</v>
      </c>
      <c r="BQ28" s="14">
        <f t="shared" si="16"/>
        <v>5252.8060600000008</v>
      </c>
      <c r="BR28" s="14"/>
      <c r="BS28" s="14"/>
      <c r="BT28" s="14">
        <f t="shared" si="65"/>
        <v>3513.2601050000003</v>
      </c>
      <c r="BU28" s="14">
        <f t="shared" si="17"/>
        <v>3513.2601050000003</v>
      </c>
      <c r="BV28" s="14"/>
      <c r="BW28" s="14"/>
      <c r="BX28" s="14">
        <f t="shared" si="66"/>
        <v>3880.8305850000002</v>
      </c>
      <c r="BY28" s="14">
        <f t="shared" si="18"/>
        <v>3880.8305850000002</v>
      </c>
      <c r="BZ28" s="14"/>
      <c r="CA28" s="14"/>
      <c r="CB28" s="14">
        <f t="shared" si="67"/>
        <v>47295.895395</v>
      </c>
      <c r="CC28" s="14">
        <f t="shared" si="19"/>
        <v>47295.895395</v>
      </c>
      <c r="CD28" s="14"/>
      <c r="CE28" s="14"/>
      <c r="CF28" s="14">
        <f t="shared" si="68"/>
        <v>7059.289025</v>
      </c>
      <c r="CG28" s="14">
        <f t="shared" si="20"/>
        <v>7059.289025</v>
      </c>
      <c r="CH28" s="14"/>
      <c r="CI28" s="14"/>
      <c r="CJ28" s="14">
        <f t="shared" si="69"/>
        <v>138438.56432999999</v>
      </c>
      <c r="CK28" s="14">
        <f t="shared" si="21"/>
        <v>138438.56432999999</v>
      </c>
      <c r="CL28" s="14"/>
      <c r="CM28" s="14"/>
      <c r="CN28" s="14">
        <f t="shared" si="70"/>
        <v>7099.4045850000002</v>
      </c>
      <c r="CO28" s="14">
        <f t="shared" si="29"/>
        <v>7099.4045850000002</v>
      </c>
      <c r="CP28" s="14"/>
      <c r="CQ28" s="14"/>
      <c r="CR28" s="14">
        <f t="shared" si="71"/>
        <v>17800.346829999999</v>
      </c>
      <c r="CS28" s="14">
        <f t="shared" si="22"/>
        <v>17800.346829999999</v>
      </c>
      <c r="CT28" s="14"/>
      <c r="CU28" s="14"/>
      <c r="CV28" s="14">
        <f t="shared" si="72"/>
        <v>180001.43309500001</v>
      </c>
      <c r="CW28" s="14">
        <f t="shared" si="23"/>
        <v>180001.43309500001</v>
      </c>
      <c r="CX28" s="14"/>
      <c r="CY28" s="14"/>
      <c r="CZ28" s="14"/>
      <c r="DA28" s="14"/>
      <c r="DB28" s="14"/>
      <c r="DC28" s="14"/>
      <c r="DD28" s="14"/>
      <c r="DE28" s="14">
        <f t="shared" si="24"/>
        <v>0</v>
      </c>
    </row>
    <row r="29" spans="1:109" x14ac:dyDescent="0.2">
      <c r="A29" s="2">
        <v>42644</v>
      </c>
      <c r="C29" s="15">
        <v>3730000</v>
      </c>
      <c r="D29" s="15">
        <v>191250</v>
      </c>
      <c r="F29" s="15">
        <v>974900</v>
      </c>
      <c r="G29" s="15">
        <f t="shared" si="25"/>
        <v>3730000</v>
      </c>
      <c r="H29" s="15">
        <f t="shared" si="3"/>
        <v>1166150</v>
      </c>
      <c r="I29" s="15">
        <f t="shared" si="4"/>
        <v>4896150</v>
      </c>
      <c r="K29" s="14">
        <v>628251</v>
      </c>
      <c r="L29" s="14">
        <v>196417</v>
      </c>
      <c r="M29" s="14">
        <f t="shared" si="27"/>
        <v>824668</v>
      </c>
      <c r="O29" s="14">
        <f t="shared" si="28"/>
        <v>3101749.3859999999</v>
      </c>
      <c r="P29" s="15">
        <f t="shared" si="5"/>
        <v>969733.25642999983</v>
      </c>
      <c r="Q29" s="14">
        <f t="shared" si="0"/>
        <v>4071482.64243</v>
      </c>
      <c r="S29" s="3">
        <f>G29*$U$7</f>
        <v>10436.913</v>
      </c>
      <c r="T29" s="3">
        <f t="shared" si="52"/>
        <v>3263.0043150000001</v>
      </c>
      <c r="U29" s="3">
        <f t="shared" si="6"/>
        <v>13699.917315000001</v>
      </c>
      <c r="W29" s="3">
        <f>G29*$Y$7</f>
        <v>56173.426999999996</v>
      </c>
      <c r="X29" s="3">
        <f t="shared" si="53"/>
        <v>17562.102384999998</v>
      </c>
      <c r="Y29" s="3">
        <f t="shared" si="7"/>
        <v>73735.529385000002</v>
      </c>
      <c r="AA29" s="14">
        <f>G29*$AC$7</f>
        <v>88053.736999999994</v>
      </c>
      <c r="AB29" s="14">
        <f t="shared" si="54"/>
        <v>27529.186435</v>
      </c>
      <c r="AC29" s="14">
        <f t="shared" si="31"/>
        <v>115582.92343499999</v>
      </c>
      <c r="AE29" s="3">
        <f>G29*$AG$7</f>
        <v>18281.102999999999</v>
      </c>
      <c r="AF29" s="3">
        <f t="shared" si="55"/>
        <v>5715.4177650000001</v>
      </c>
      <c r="AG29" s="3">
        <f t="shared" si="8"/>
        <v>23996.520765000001</v>
      </c>
      <c r="AI29" s="3">
        <f>G29*$AK$7</f>
        <v>1108939.071</v>
      </c>
      <c r="AJ29" s="3">
        <f t="shared" si="56"/>
        <v>346699.54360499996</v>
      </c>
      <c r="AK29" s="3">
        <f t="shared" si="9"/>
        <v>1455638.614605</v>
      </c>
      <c r="AL29" s="14"/>
      <c r="AM29" s="3">
        <f>G29*$AO$7</f>
        <v>6158.6030000000001</v>
      </c>
      <c r="AN29" s="3">
        <f t="shared" si="57"/>
        <v>1925.430265</v>
      </c>
      <c r="AO29" s="3">
        <f t="shared" si="10"/>
        <v>8084.033265</v>
      </c>
      <c r="AP29" s="14"/>
      <c r="AQ29" s="14">
        <f t="shared" si="73"/>
        <v>21446.381000000001</v>
      </c>
      <c r="AR29" s="14">
        <f t="shared" si="58"/>
        <v>6705.0126549999995</v>
      </c>
      <c r="AS29" s="14">
        <f t="shared" si="11"/>
        <v>28151.393655</v>
      </c>
      <c r="AT29" s="14"/>
      <c r="AU29" s="14">
        <f t="shared" si="74"/>
        <v>164061.81200000001</v>
      </c>
      <c r="AV29" s="14">
        <f t="shared" si="59"/>
        <v>51292.408060000002</v>
      </c>
      <c r="AW29" s="14">
        <f t="shared" si="12"/>
        <v>215354.22006000002</v>
      </c>
      <c r="AX29" s="14"/>
      <c r="AY29" s="14">
        <f t="shared" si="75"/>
        <v>51685.491000000002</v>
      </c>
      <c r="AZ29" s="14">
        <f t="shared" si="60"/>
        <v>16158.990705</v>
      </c>
      <c r="BA29" s="14">
        <f t="shared" si="13"/>
        <v>67844.481704999998</v>
      </c>
      <c r="BB29" s="14"/>
      <c r="BC29" s="14">
        <f t="shared" si="76"/>
        <v>233861.302</v>
      </c>
      <c r="BD29" s="14">
        <f t="shared" si="61"/>
        <v>73114.573010000007</v>
      </c>
      <c r="BE29" s="14">
        <f t="shared" si="14"/>
        <v>306975.87501000002</v>
      </c>
      <c r="BF29" s="14"/>
      <c r="BG29" s="14">
        <f t="shared" si="77"/>
        <v>66.393999999999991</v>
      </c>
      <c r="BH29" s="14">
        <f t="shared" si="62"/>
        <v>20.757469999999998</v>
      </c>
      <c r="BI29" s="14">
        <f t="shared" si="15"/>
        <v>87.151469999999989</v>
      </c>
      <c r="BJ29" s="14"/>
      <c r="BK29" s="14">
        <f t="shared" si="78"/>
        <v>30082.449999999997</v>
      </c>
      <c r="BL29" s="14">
        <f t="shared" si="63"/>
        <v>9404.999749999999</v>
      </c>
      <c r="BM29" s="14">
        <f t="shared" si="1"/>
        <v>39487.44975</v>
      </c>
      <c r="BN29" s="14"/>
      <c r="BO29" s="14">
        <f t="shared" si="79"/>
        <v>16801.412</v>
      </c>
      <c r="BP29" s="14">
        <f t="shared" si="64"/>
        <v>5252.8060600000008</v>
      </c>
      <c r="BQ29" s="14">
        <f t="shared" si="16"/>
        <v>22054.218059999999</v>
      </c>
      <c r="BR29" s="14"/>
      <c r="BS29" s="14">
        <f t="shared" si="80"/>
        <v>11237.371000000001</v>
      </c>
      <c r="BT29" s="14">
        <f t="shared" si="65"/>
        <v>3513.2601050000003</v>
      </c>
      <c r="BU29" s="14">
        <f t="shared" si="17"/>
        <v>14750.631105</v>
      </c>
      <c r="BV29" s="14"/>
      <c r="BW29" s="14">
        <f t="shared" si="81"/>
        <v>12413.066999999999</v>
      </c>
      <c r="BX29" s="14">
        <f t="shared" si="66"/>
        <v>3880.8305850000002</v>
      </c>
      <c r="BY29" s="14">
        <f t="shared" si="18"/>
        <v>16293.897584999999</v>
      </c>
      <c r="BZ29" s="14"/>
      <c r="CA29" s="14">
        <f t="shared" si="82"/>
        <v>151278.72899999999</v>
      </c>
      <c r="CB29" s="14">
        <f t="shared" si="67"/>
        <v>47295.895395</v>
      </c>
      <c r="CC29" s="14">
        <f t="shared" si="19"/>
        <v>198574.62439499999</v>
      </c>
      <c r="CD29" s="14"/>
      <c r="CE29" s="14">
        <f t="shared" si="83"/>
        <v>22579.555</v>
      </c>
      <c r="CF29" s="14">
        <f t="shared" si="68"/>
        <v>7059.289025</v>
      </c>
      <c r="CG29" s="14">
        <f t="shared" si="20"/>
        <v>29638.844024999999</v>
      </c>
      <c r="CH29" s="14"/>
      <c r="CI29" s="14">
        <f t="shared" si="84"/>
        <v>442803.96600000001</v>
      </c>
      <c r="CJ29" s="14">
        <f t="shared" si="69"/>
        <v>138438.56432999999</v>
      </c>
      <c r="CK29" s="14">
        <f t="shared" si="21"/>
        <v>581242.53032999998</v>
      </c>
      <c r="CL29" s="14"/>
      <c r="CM29" s="14">
        <f t="shared" si="85"/>
        <v>22707.867000000002</v>
      </c>
      <c r="CN29" s="14">
        <f t="shared" si="70"/>
        <v>7099.4045850000002</v>
      </c>
      <c r="CO29" s="14">
        <f t="shared" si="29"/>
        <v>29807.271585000002</v>
      </c>
      <c r="CP29" s="14"/>
      <c r="CQ29" s="14">
        <f t="shared" si="86"/>
        <v>56935.466</v>
      </c>
      <c r="CR29" s="14">
        <f t="shared" si="71"/>
        <v>17800.346829999999</v>
      </c>
      <c r="CS29" s="14">
        <f t="shared" si="22"/>
        <v>74735.812829999995</v>
      </c>
      <c r="CT29" s="14"/>
      <c r="CU29" s="14">
        <f t="shared" si="87"/>
        <v>575745.26899999997</v>
      </c>
      <c r="CV29" s="14">
        <f t="shared" si="72"/>
        <v>180001.43309500001</v>
      </c>
      <c r="CW29" s="14">
        <f t="shared" si="23"/>
        <v>755746.70209499996</v>
      </c>
      <c r="CX29" s="14"/>
      <c r="CY29" s="14"/>
      <c r="CZ29" s="14"/>
      <c r="DA29" s="14"/>
      <c r="DB29" s="14"/>
      <c r="DC29" s="14"/>
      <c r="DD29" s="14"/>
      <c r="DE29" s="14">
        <f t="shared" si="24"/>
        <v>0</v>
      </c>
    </row>
    <row r="30" spans="1:109" x14ac:dyDescent="0.2">
      <c r="A30" s="2">
        <v>42826</v>
      </c>
      <c r="D30" s="15">
        <v>98000</v>
      </c>
      <c r="F30" s="15">
        <v>974900</v>
      </c>
      <c r="H30" s="15">
        <f t="shared" si="3"/>
        <v>1072900</v>
      </c>
      <c r="I30" s="15">
        <f t="shared" si="4"/>
        <v>1072900</v>
      </c>
      <c r="L30" s="14">
        <v>180711</v>
      </c>
      <c r="M30" s="14">
        <f t="shared" si="27"/>
        <v>180711</v>
      </c>
      <c r="O30" s="14"/>
      <c r="P30" s="15">
        <f t="shared" si="5"/>
        <v>892189.52178000007</v>
      </c>
      <c r="Q30" s="14">
        <f t="shared" si="0"/>
        <v>892189.52178000007</v>
      </c>
      <c r="S30" s="3"/>
      <c r="T30" s="3">
        <f t="shared" si="52"/>
        <v>3002.08149</v>
      </c>
      <c r="U30" s="3">
        <f t="shared" si="6"/>
        <v>3002.08149</v>
      </c>
      <c r="W30" s="3"/>
      <c r="X30" s="3">
        <f t="shared" si="53"/>
        <v>16157.76671</v>
      </c>
      <c r="Y30" s="3">
        <f t="shared" si="7"/>
        <v>16157.76671</v>
      </c>
      <c r="AB30" s="14">
        <f t="shared" si="54"/>
        <v>25327.843010000001</v>
      </c>
      <c r="AC30" s="14">
        <f t="shared" si="31"/>
        <v>25327.843010000001</v>
      </c>
      <c r="AE30" s="3"/>
      <c r="AF30" s="3">
        <f t="shared" si="55"/>
        <v>5258.3901900000001</v>
      </c>
      <c r="AG30" s="3">
        <f t="shared" si="8"/>
        <v>5258.3901900000001</v>
      </c>
      <c r="AI30" s="3"/>
      <c r="AJ30" s="3">
        <f t="shared" si="56"/>
        <v>318976.06682999997</v>
      </c>
      <c r="AK30" s="3">
        <f t="shared" si="9"/>
        <v>318976.06682999997</v>
      </c>
      <c r="AL30" s="14"/>
      <c r="AM30" s="3"/>
      <c r="AN30" s="3">
        <f t="shared" si="57"/>
        <v>1771.4651899999999</v>
      </c>
      <c r="AO30" s="3">
        <f t="shared" si="10"/>
        <v>1771.4651899999999</v>
      </c>
      <c r="AP30" s="14"/>
      <c r="AQ30" s="14"/>
      <c r="AR30" s="14">
        <f t="shared" si="58"/>
        <v>6168.8531299999995</v>
      </c>
      <c r="AS30" s="14">
        <f t="shared" si="11"/>
        <v>6168.8531299999995</v>
      </c>
      <c r="AT30" s="14"/>
      <c r="AU30" s="14"/>
      <c r="AV30" s="14">
        <f t="shared" si="59"/>
        <v>47190.862759999996</v>
      </c>
      <c r="AW30" s="14">
        <f t="shared" si="12"/>
        <v>47190.862759999996</v>
      </c>
      <c r="AX30" s="14"/>
      <c r="AY30" s="14"/>
      <c r="AZ30" s="14">
        <f t="shared" si="60"/>
        <v>14866.853429999999</v>
      </c>
      <c r="BA30" s="14">
        <f t="shared" si="13"/>
        <v>14866.853429999999</v>
      </c>
      <c r="BB30" s="14"/>
      <c r="BC30" s="14"/>
      <c r="BD30" s="14">
        <f t="shared" si="61"/>
        <v>67268.040460000004</v>
      </c>
      <c r="BE30" s="14">
        <f t="shared" si="14"/>
        <v>67268.040460000004</v>
      </c>
      <c r="BF30" s="14"/>
      <c r="BG30" s="14"/>
      <c r="BH30" s="14">
        <f t="shared" si="62"/>
        <v>19.097619999999999</v>
      </c>
      <c r="BI30" s="14">
        <f t="shared" si="15"/>
        <v>19.097619999999999</v>
      </c>
      <c r="BJ30" s="14"/>
      <c r="BK30" s="14"/>
      <c r="BL30" s="14">
        <f t="shared" si="63"/>
        <v>8652.9384999999984</v>
      </c>
      <c r="BM30" s="14">
        <f t="shared" si="1"/>
        <v>8652.9384999999984</v>
      </c>
      <c r="BN30" s="14"/>
      <c r="BO30" s="14"/>
      <c r="BP30" s="14">
        <f t="shared" si="64"/>
        <v>4832.7707600000003</v>
      </c>
      <c r="BQ30" s="14">
        <f t="shared" si="16"/>
        <v>4832.7707600000003</v>
      </c>
      <c r="BR30" s="14"/>
      <c r="BS30" s="14"/>
      <c r="BT30" s="14">
        <f t="shared" si="65"/>
        <v>3232.3258300000002</v>
      </c>
      <c r="BU30" s="14">
        <f t="shared" si="17"/>
        <v>3232.3258300000002</v>
      </c>
      <c r="BV30" s="14"/>
      <c r="BW30" s="14"/>
      <c r="BX30" s="14">
        <f t="shared" si="66"/>
        <v>3570.5039099999999</v>
      </c>
      <c r="BY30" s="14">
        <f t="shared" si="18"/>
        <v>3570.5039099999999</v>
      </c>
      <c r="BZ30" s="14"/>
      <c r="CA30" s="14"/>
      <c r="CB30" s="14">
        <f t="shared" si="67"/>
        <v>43513.927169999995</v>
      </c>
      <c r="CC30" s="14">
        <f t="shared" si="19"/>
        <v>43513.927169999995</v>
      </c>
      <c r="CD30" s="14"/>
      <c r="CE30" s="14"/>
      <c r="CF30" s="14">
        <f t="shared" si="68"/>
        <v>6494.80015</v>
      </c>
      <c r="CG30" s="14">
        <f t="shared" si="20"/>
        <v>6494.80015</v>
      </c>
      <c r="CH30" s="14"/>
      <c r="CI30" s="14"/>
      <c r="CJ30" s="14">
        <f t="shared" si="69"/>
        <v>127368.46518</v>
      </c>
      <c r="CK30" s="14">
        <f t="shared" si="21"/>
        <v>127368.46518</v>
      </c>
      <c r="CL30" s="14"/>
      <c r="CM30" s="14"/>
      <c r="CN30" s="14">
        <f t="shared" si="70"/>
        <v>6531.7079100000001</v>
      </c>
      <c r="CO30" s="14">
        <f t="shared" si="29"/>
        <v>6531.7079100000001</v>
      </c>
      <c r="CP30" s="14"/>
      <c r="CQ30" s="14"/>
      <c r="CR30" s="14">
        <f t="shared" si="71"/>
        <v>16376.96018</v>
      </c>
      <c r="CS30" s="14">
        <f t="shared" si="22"/>
        <v>16376.96018</v>
      </c>
      <c r="CT30" s="14"/>
      <c r="CU30" s="14"/>
      <c r="CV30" s="14">
        <f t="shared" si="72"/>
        <v>165607.80137</v>
      </c>
      <c r="CW30" s="14">
        <f t="shared" si="23"/>
        <v>165607.80137</v>
      </c>
      <c r="CX30" s="14"/>
      <c r="CY30" s="14"/>
      <c r="CZ30" s="14"/>
      <c r="DA30" s="14"/>
      <c r="DB30" s="14"/>
      <c r="DC30" s="14"/>
      <c r="DD30" s="14"/>
      <c r="DE30" s="14">
        <f t="shared" si="24"/>
        <v>0</v>
      </c>
    </row>
    <row r="31" spans="1:109" x14ac:dyDescent="0.2">
      <c r="A31" s="2">
        <v>43009</v>
      </c>
      <c r="C31" s="15">
        <v>3920000</v>
      </c>
      <c r="D31" s="15">
        <v>98000</v>
      </c>
      <c r="E31" s="15">
        <v>100000</v>
      </c>
      <c r="F31" s="15">
        <v>974900</v>
      </c>
      <c r="G31" s="15">
        <f t="shared" si="25"/>
        <v>4020000</v>
      </c>
      <c r="H31" s="15">
        <f t="shared" si="3"/>
        <v>1072900</v>
      </c>
      <c r="I31" s="15">
        <f t="shared" si="4"/>
        <v>5092900</v>
      </c>
      <c r="K31" s="14">
        <v>677096</v>
      </c>
      <c r="L31" s="14">
        <v>180711</v>
      </c>
      <c r="M31" s="14">
        <f t="shared" si="27"/>
        <v>857807</v>
      </c>
      <c r="O31" s="14">
        <f t="shared" si="28"/>
        <v>3342904.1639999999</v>
      </c>
      <c r="P31" s="15">
        <f t="shared" si="5"/>
        <v>892189.52178000007</v>
      </c>
      <c r="Q31" s="14">
        <f t="shared" si="0"/>
        <v>4235093.6857799999</v>
      </c>
      <c r="S31" s="3">
        <f>G31*$U$7</f>
        <v>11248.361999999999</v>
      </c>
      <c r="T31" s="3">
        <f t="shared" si="52"/>
        <v>3002.08149</v>
      </c>
      <c r="U31" s="3">
        <f t="shared" si="6"/>
        <v>14250.44349</v>
      </c>
      <c r="W31" s="3">
        <f>G31*$Y$7</f>
        <v>60540.797999999995</v>
      </c>
      <c r="X31" s="3">
        <f t="shared" si="53"/>
        <v>16157.76671</v>
      </c>
      <c r="Y31" s="3">
        <f t="shared" si="7"/>
        <v>76698.564709999991</v>
      </c>
      <c r="AA31" s="14">
        <f>G31*$AC$7</f>
        <v>94899.737999999998</v>
      </c>
      <c r="AB31" s="14">
        <f t="shared" si="54"/>
        <v>25327.843010000001</v>
      </c>
      <c r="AC31" s="14">
        <f t="shared" si="31"/>
        <v>120227.58100999999</v>
      </c>
      <c r="AE31" s="3">
        <f>G31*$AG$7</f>
        <v>19702.422000000002</v>
      </c>
      <c r="AF31" s="3">
        <f t="shared" si="55"/>
        <v>5258.3901900000001</v>
      </c>
      <c r="AG31" s="3">
        <f t="shared" si="8"/>
        <v>24960.812190000004</v>
      </c>
      <c r="AI31" s="3">
        <f>G31*$AK$7</f>
        <v>1195156.8539999998</v>
      </c>
      <c r="AJ31" s="3">
        <f t="shared" si="56"/>
        <v>318976.06682999997</v>
      </c>
      <c r="AK31" s="3">
        <f t="shared" si="9"/>
        <v>1514132.9208299997</v>
      </c>
      <c r="AL31" s="14"/>
      <c r="AM31" s="3">
        <f>G31*$AO$7</f>
        <v>6637.4219999999996</v>
      </c>
      <c r="AN31" s="3">
        <f t="shared" si="57"/>
        <v>1771.4651899999999</v>
      </c>
      <c r="AO31" s="3">
        <f t="shared" si="10"/>
        <v>8408.8871899999995</v>
      </c>
      <c r="AP31" s="14"/>
      <c r="AQ31" s="14">
        <f t="shared" si="73"/>
        <v>23113.793999999998</v>
      </c>
      <c r="AR31" s="14">
        <f t="shared" si="58"/>
        <v>6168.8531299999995</v>
      </c>
      <c r="AS31" s="14">
        <f t="shared" si="11"/>
        <v>29282.647129999998</v>
      </c>
      <c r="AT31" s="14"/>
      <c r="AU31" s="14">
        <f t="shared" si="74"/>
        <v>176817.288</v>
      </c>
      <c r="AV31" s="14">
        <f t="shared" si="59"/>
        <v>47190.862759999996</v>
      </c>
      <c r="AW31" s="14">
        <f t="shared" si="12"/>
        <v>224008.15075999999</v>
      </c>
      <c r="AX31" s="14"/>
      <c r="AY31" s="14">
        <f t="shared" si="75"/>
        <v>55703.934000000001</v>
      </c>
      <c r="AZ31" s="14">
        <f t="shared" si="60"/>
        <v>14866.853429999999</v>
      </c>
      <c r="BA31" s="14">
        <f t="shared" si="13"/>
        <v>70570.787429999997</v>
      </c>
      <c r="BB31" s="14"/>
      <c r="BC31" s="14">
        <f t="shared" si="76"/>
        <v>252043.54800000001</v>
      </c>
      <c r="BD31" s="14">
        <f t="shared" si="61"/>
        <v>67268.040460000004</v>
      </c>
      <c r="BE31" s="14">
        <f t="shared" si="14"/>
        <v>319311.58846</v>
      </c>
      <c r="BF31" s="14"/>
      <c r="BG31" s="14">
        <f t="shared" si="77"/>
        <v>71.555999999999997</v>
      </c>
      <c r="BH31" s="14">
        <f t="shared" si="62"/>
        <v>19.097619999999999</v>
      </c>
      <c r="BI31" s="14">
        <f t="shared" si="15"/>
        <v>90.653619999999989</v>
      </c>
      <c r="BJ31" s="14"/>
      <c r="BK31" s="14">
        <f t="shared" si="78"/>
        <v>32421.299999999996</v>
      </c>
      <c r="BL31" s="14">
        <f t="shared" si="63"/>
        <v>8652.9384999999984</v>
      </c>
      <c r="BM31" s="14">
        <f t="shared" si="1"/>
        <v>41074.238499999992</v>
      </c>
      <c r="BN31" s="14"/>
      <c r="BO31" s="14">
        <f t="shared" si="79"/>
        <v>18107.688000000002</v>
      </c>
      <c r="BP31" s="14">
        <f t="shared" si="64"/>
        <v>4832.7707600000003</v>
      </c>
      <c r="BQ31" s="14">
        <f t="shared" si="16"/>
        <v>22940.458760000001</v>
      </c>
      <c r="BR31" s="14"/>
      <c r="BS31" s="14">
        <f t="shared" si="80"/>
        <v>12111.054</v>
      </c>
      <c r="BT31" s="14">
        <f t="shared" si="65"/>
        <v>3232.3258300000002</v>
      </c>
      <c r="BU31" s="14">
        <f t="shared" si="17"/>
        <v>15343.37983</v>
      </c>
      <c r="BV31" s="14"/>
      <c r="BW31" s="14">
        <f t="shared" si="81"/>
        <v>13378.157999999999</v>
      </c>
      <c r="BX31" s="14">
        <f t="shared" si="66"/>
        <v>3570.5039099999999</v>
      </c>
      <c r="BY31" s="14">
        <f t="shared" si="18"/>
        <v>16948.661909999999</v>
      </c>
      <c r="BZ31" s="14"/>
      <c r="CA31" s="14">
        <f t="shared" si="82"/>
        <v>163040.34599999999</v>
      </c>
      <c r="CB31" s="14">
        <f t="shared" si="67"/>
        <v>43513.927169999995</v>
      </c>
      <c r="CC31" s="14">
        <f t="shared" si="19"/>
        <v>206554.27317</v>
      </c>
      <c r="CD31" s="14"/>
      <c r="CE31" s="14">
        <f t="shared" si="83"/>
        <v>24335.07</v>
      </c>
      <c r="CF31" s="14">
        <f t="shared" si="68"/>
        <v>6494.80015</v>
      </c>
      <c r="CG31" s="14">
        <f t="shared" si="20"/>
        <v>30829.870149999999</v>
      </c>
      <c r="CH31" s="14"/>
      <c r="CI31" s="14">
        <f t="shared" si="84"/>
        <v>477231.08400000003</v>
      </c>
      <c r="CJ31" s="14">
        <f t="shared" si="69"/>
        <v>127368.46518</v>
      </c>
      <c r="CK31" s="14">
        <f t="shared" si="21"/>
        <v>604599.54918000009</v>
      </c>
      <c r="CL31" s="14"/>
      <c r="CM31" s="14">
        <f t="shared" si="85"/>
        <v>24473.358</v>
      </c>
      <c r="CN31" s="14">
        <f t="shared" si="70"/>
        <v>6531.7079100000001</v>
      </c>
      <c r="CO31" s="14">
        <f t="shared" si="29"/>
        <v>31005.065910000001</v>
      </c>
      <c r="CP31" s="14"/>
      <c r="CQ31" s="14">
        <f t="shared" si="86"/>
        <v>61362.084000000003</v>
      </c>
      <c r="CR31" s="14">
        <f t="shared" si="71"/>
        <v>16376.96018</v>
      </c>
      <c r="CS31" s="14">
        <f t="shared" si="22"/>
        <v>77739.044179999997</v>
      </c>
      <c r="CT31" s="14"/>
      <c r="CU31" s="14">
        <f t="shared" si="87"/>
        <v>620508.30599999998</v>
      </c>
      <c r="CV31" s="14">
        <f t="shared" si="72"/>
        <v>165607.80137</v>
      </c>
      <c r="CW31" s="14">
        <f t="shared" si="23"/>
        <v>786116.10736999998</v>
      </c>
      <c r="CX31" s="14"/>
      <c r="CY31" s="14"/>
      <c r="CZ31" s="14"/>
      <c r="DA31" s="14"/>
      <c r="DB31" s="14"/>
      <c r="DC31" s="14"/>
      <c r="DD31" s="14"/>
      <c r="DE31" s="14">
        <f t="shared" si="24"/>
        <v>0</v>
      </c>
    </row>
    <row r="32" spans="1:109" x14ac:dyDescent="0.2">
      <c r="A32" s="2">
        <v>43191</v>
      </c>
      <c r="F32" s="15">
        <v>972900</v>
      </c>
      <c r="H32" s="15">
        <f t="shared" si="3"/>
        <v>972900</v>
      </c>
      <c r="I32" s="15">
        <f t="shared" si="4"/>
        <v>972900</v>
      </c>
      <c r="L32" s="14">
        <v>163867</v>
      </c>
      <c r="M32" s="14">
        <f t="shared" si="27"/>
        <v>163867</v>
      </c>
      <c r="O32" s="14"/>
      <c r="P32" s="15">
        <f t="shared" si="5"/>
        <v>809032.70177999977</v>
      </c>
      <c r="Q32" s="14">
        <f t="shared" si="0"/>
        <v>809032.70177999977</v>
      </c>
      <c r="S32" s="3"/>
      <c r="T32" s="3">
        <f t="shared" si="52"/>
        <v>2722.2714900000001</v>
      </c>
      <c r="U32" s="3">
        <f t="shared" si="6"/>
        <v>2722.2714900000001</v>
      </c>
      <c r="W32" s="3"/>
      <c r="X32" s="3">
        <f t="shared" si="53"/>
        <v>14651.77671</v>
      </c>
      <c r="Y32" s="3">
        <f t="shared" si="7"/>
        <v>14651.77671</v>
      </c>
      <c r="AB32" s="14">
        <f t="shared" si="54"/>
        <v>22967.153010000002</v>
      </c>
      <c r="AC32" s="14">
        <f t="shared" si="31"/>
        <v>22967.153010000002</v>
      </c>
      <c r="AE32" s="3"/>
      <c r="AF32" s="3">
        <f t="shared" si="55"/>
        <v>4768.2801900000004</v>
      </c>
      <c r="AG32" s="3">
        <f t="shared" si="8"/>
        <v>4768.2801900000004</v>
      </c>
      <c r="AI32" s="3"/>
      <c r="AJ32" s="3">
        <f t="shared" si="56"/>
        <v>289245.79682999995</v>
      </c>
      <c r="AK32" s="3">
        <f t="shared" si="9"/>
        <v>289245.79682999995</v>
      </c>
      <c r="AL32" s="14"/>
      <c r="AM32" s="3"/>
      <c r="AN32" s="3">
        <f t="shared" si="57"/>
        <v>1606.35519</v>
      </c>
      <c r="AO32" s="3">
        <f t="shared" si="10"/>
        <v>1606.35519</v>
      </c>
      <c r="AP32" s="14"/>
      <c r="AQ32" s="14"/>
      <c r="AR32" s="14">
        <f t="shared" si="58"/>
        <v>5593.8831300000002</v>
      </c>
      <c r="AS32" s="14">
        <f t="shared" si="11"/>
        <v>5593.8831300000002</v>
      </c>
      <c r="AT32" s="14"/>
      <c r="AU32" s="14"/>
      <c r="AV32" s="14">
        <f t="shared" si="59"/>
        <v>42792.422760000001</v>
      </c>
      <c r="AW32" s="14">
        <f t="shared" si="12"/>
        <v>42792.422760000001</v>
      </c>
      <c r="AX32" s="14"/>
      <c r="AY32" s="14"/>
      <c r="AZ32" s="14">
        <f t="shared" si="60"/>
        <v>13481.183429999999</v>
      </c>
      <c r="BA32" s="14">
        <f t="shared" si="13"/>
        <v>13481.183429999999</v>
      </c>
      <c r="BB32" s="14"/>
      <c r="BC32" s="14"/>
      <c r="BD32" s="14">
        <f t="shared" si="61"/>
        <v>60998.300459999999</v>
      </c>
      <c r="BE32" s="14">
        <f t="shared" si="14"/>
        <v>60998.300459999999</v>
      </c>
      <c r="BF32" s="14"/>
      <c r="BG32" s="14"/>
      <c r="BH32" s="14">
        <f t="shared" si="62"/>
        <v>17.317619999999998</v>
      </c>
      <c r="BI32" s="14">
        <f t="shared" si="15"/>
        <v>17.317619999999998</v>
      </c>
      <c r="BJ32" s="14"/>
      <c r="BK32" s="14"/>
      <c r="BL32" s="14">
        <f t="shared" si="63"/>
        <v>7846.4384999999993</v>
      </c>
      <c r="BM32" s="14">
        <f t="shared" si="1"/>
        <v>7846.4384999999993</v>
      </c>
      <c r="BN32" s="14"/>
      <c r="BO32" s="14"/>
      <c r="BP32" s="14">
        <f t="shared" si="64"/>
        <v>4382.3307600000007</v>
      </c>
      <c r="BQ32" s="14">
        <f t="shared" si="16"/>
        <v>4382.3307600000007</v>
      </c>
      <c r="BR32" s="14"/>
      <c r="BS32" s="14"/>
      <c r="BT32" s="14">
        <f t="shared" si="65"/>
        <v>2931.0558300000002</v>
      </c>
      <c r="BU32" s="14">
        <f t="shared" si="17"/>
        <v>2931.0558300000002</v>
      </c>
      <c r="BV32" s="14"/>
      <c r="BW32" s="14"/>
      <c r="BX32" s="14">
        <f t="shared" si="66"/>
        <v>3237.7139099999999</v>
      </c>
      <c r="BY32" s="14">
        <f t="shared" si="18"/>
        <v>3237.7139099999999</v>
      </c>
      <c r="BZ32" s="14"/>
      <c r="CA32" s="14"/>
      <c r="CB32" s="14">
        <f t="shared" si="67"/>
        <v>39458.197169999999</v>
      </c>
      <c r="CC32" s="14">
        <f t="shared" si="19"/>
        <v>39458.197169999999</v>
      </c>
      <c r="CD32" s="14"/>
      <c r="CE32" s="14"/>
      <c r="CF32" s="14">
        <f t="shared" si="68"/>
        <v>5889.4501499999997</v>
      </c>
      <c r="CG32" s="14">
        <f t="shared" si="20"/>
        <v>5889.4501499999997</v>
      </c>
      <c r="CH32" s="14"/>
      <c r="CI32" s="14"/>
      <c r="CJ32" s="14">
        <f t="shared" si="69"/>
        <v>115497.04518</v>
      </c>
      <c r="CK32" s="14">
        <f t="shared" si="21"/>
        <v>115497.04518</v>
      </c>
      <c r="CL32" s="14"/>
      <c r="CM32" s="14"/>
      <c r="CN32" s="14">
        <f t="shared" si="70"/>
        <v>5922.9179100000001</v>
      </c>
      <c r="CO32" s="14">
        <f t="shared" si="29"/>
        <v>5922.9179100000001</v>
      </c>
      <c r="CP32" s="14"/>
      <c r="CQ32" s="14"/>
      <c r="CR32" s="14">
        <f t="shared" si="71"/>
        <v>14850.54018</v>
      </c>
      <c r="CS32" s="14">
        <f t="shared" si="22"/>
        <v>14850.54018</v>
      </c>
      <c r="CT32" s="14"/>
      <c r="CU32" s="14"/>
      <c r="CV32" s="14">
        <f t="shared" si="72"/>
        <v>150172.27137</v>
      </c>
      <c r="CW32" s="14">
        <f t="shared" si="23"/>
        <v>150172.27137</v>
      </c>
      <c r="CX32" s="14"/>
      <c r="CY32" s="14"/>
      <c r="CZ32" s="14"/>
      <c r="DA32" s="14"/>
      <c r="DB32" s="14"/>
      <c r="DC32" s="14"/>
      <c r="DD32" s="14"/>
      <c r="DE32" s="14">
        <f t="shared" si="24"/>
        <v>0</v>
      </c>
    </row>
    <row r="33" spans="1:109" x14ac:dyDescent="0.2">
      <c r="A33" s="2">
        <v>43374</v>
      </c>
      <c r="E33" s="15">
        <v>4055000</v>
      </c>
      <c r="F33" s="15">
        <v>972900</v>
      </c>
      <c r="G33" s="15">
        <f t="shared" si="25"/>
        <v>4055000</v>
      </c>
      <c r="H33" s="15">
        <f t="shared" si="3"/>
        <v>972900</v>
      </c>
      <c r="I33" s="15">
        <f t="shared" si="4"/>
        <v>5027900</v>
      </c>
      <c r="K33" s="14">
        <v>682991</v>
      </c>
      <c r="L33" s="14">
        <v>163867</v>
      </c>
      <c r="M33" s="14">
        <f t="shared" si="27"/>
        <v>846858</v>
      </c>
      <c r="O33" s="14">
        <f t="shared" si="28"/>
        <v>3372009.0509999995</v>
      </c>
      <c r="P33" s="15">
        <f t="shared" si="5"/>
        <v>809032.70177999977</v>
      </c>
      <c r="Q33" s="14">
        <f t="shared" si="0"/>
        <v>4181041.7527799993</v>
      </c>
      <c r="S33" s="3">
        <f>G33*$U$7</f>
        <v>11346.2955</v>
      </c>
      <c r="T33" s="3">
        <f t="shared" si="52"/>
        <v>2722.2714900000001</v>
      </c>
      <c r="U33" s="3">
        <f t="shared" si="6"/>
        <v>14068.566989999999</v>
      </c>
      <c r="W33" s="3">
        <f>G33*$Y$7</f>
        <v>61067.894499999995</v>
      </c>
      <c r="X33" s="3">
        <f t="shared" si="53"/>
        <v>14651.77671</v>
      </c>
      <c r="Y33" s="3">
        <f t="shared" si="7"/>
        <v>75719.67121</v>
      </c>
      <c r="AA33" s="14">
        <f>G33*$AC$7</f>
        <v>95725.979500000001</v>
      </c>
      <c r="AB33" s="14">
        <f t="shared" si="54"/>
        <v>22967.153010000002</v>
      </c>
      <c r="AC33" s="14">
        <f t="shared" si="31"/>
        <v>118693.13251</v>
      </c>
      <c r="AE33" s="3">
        <f>G33*$AG$7</f>
        <v>19873.960500000001</v>
      </c>
      <c r="AF33" s="3">
        <f t="shared" si="55"/>
        <v>4768.2801900000004</v>
      </c>
      <c r="AG33" s="3">
        <f t="shared" si="8"/>
        <v>24642.240690000002</v>
      </c>
      <c r="AI33" s="3">
        <f>G33*$AK$7</f>
        <v>1205562.4484999999</v>
      </c>
      <c r="AJ33" s="3">
        <f t="shared" si="56"/>
        <v>289245.79682999995</v>
      </c>
      <c r="AK33" s="3">
        <f t="shared" si="9"/>
        <v>1494808.2453299998</v>
      </c>
      <c r="AL33" s="14"/>
      <c r="AM33" s="3">
        <f>G33*$AO$7</f>
        <v>6695.2105000000001</v>
      </c>
      <c r="AN33" s="3">
        <f t="shared" si="57"/>
        <v>1606.35519</v>
      </c>
      <c r="AO33" s="3">
        <f t="shared" si="10"/>
        <v>8301.5656899999994</v>
      </c>
      <c r="AP33" s="14"/>
      <c r="AQ33" s="14">
        <f t="shared" si="73"/>
        <v>23315.033500000001</v>
      </c>
      <c r="AR33" s="14">
        <f t="shared" si="58"/>
        <v>5593.8831300000002</v>
      </c>
      <c r="AS33" s="14">
        <f t="shared" si="11"/>
        <v>28908.91663</v>
      </c>
      <c r="AT33" s="14"/>
      <c r="AU33" s="14">
        <f t="shared" si="74"/>
        <v>178356.742</v>
      </c>
      <c r="AV33" s="14">
        <f t="shared" si="59"/>
        <v>42792.422760000001</v>
      </c>
      <c r="AW33" s="14">
        <f t="shared" si="12"/>
        <v>221149.16476000001</v>
      </c>
      <c r="AX33" s="14"/>
      <c r="AY33" s="14">
        <f t="shared" si="75"/>
        <v>56188.9185</v>
      </c>
      <c r="AZ33" s="14">
        <f t="shared" si="60"/>
        <v>13481.183429999999</v>
      </c>
      <c r="BA33" s="14">
        <f t="shared" si="13"/>
        <v>69670.101930000004</v>
      </c>
      <c r="BB33" s="14"/>
      <c r="BC33" s="14">
        <f t="shared" si="76"/>
        <v>254237.95699999999</v>
      </c>
      <c r="BD33" s="14">
        <f t="shared" si="61"/>
        <v>60998.300459999999</v>
      </c>
      <c r="BE33" s="14">
        <f t="shared" si="14"/>
        <v>315236.25745999999</v>
      </c>
      <c r="BF33" s="14"/>
      <c r="BG33" s="14">
        <f t="shared" si="77"/>
        <v>72.179000000000002</v>
      </c>
      <c r="BH33" s="14">
        <f t="shared" si="62"/>
        <v>17.317619999999998</v>
      </c>
      <c r="BI33" s="14">
        <f t="shared" si="15"/>
        <v>89.496620000000007</v>
      </c>
      <c r="BJ33" s="14"/>
      <c r="BK33" s="14">
        <f t="shared" si="78"/>
        <v>32703.574999999997</v>
      </c>
      <c r="BL33" s="14">
        <f t="shared" si="63"/>
        <v>7846.4384999999993</v>
      </c>
      <c r="BM33" s="14">
        <f t="shared" si="1"/>
        <v>40550.013499999994</v>
      </c>
      <c r="BN33" s="14"/>
      <c r="BO33" s="14">
        <f t="shared" si="79"/>
        <v>18265.342000000001</v>
      </c>
      <c r="BP33" s="14">
        <f t="shared" si="64"/>
        <v>4382.3307600000007</v>
      </c>
      <c r="BQ33" s="14">
        <f t="shared" si="16"/>
        <v>22647.672760000001</v>
      </c>
      <c r="BR33" s="14"/>
      <c r="BS33" s="14">
        <f t="shared" si="80"/>
        <v>12216.4985</v>
      </c>
      <c r="BT33" s="14">
        <f t="shared" si="65"/>
        <v>2931.0558300000002</v>
      </c>
      <c r="BU33" s="14">
        <f t="shared" si="17"/>
        <v>15147.554329999999</v>
      </c>
      <c r="BV33" s="14"/>
      <c r="BW33" s="14">
        <f t="shared" si="81"/>
        <v>13494.6345</v>
      </c>
      <c r="BX33" s="14">
        <f t="shared" si="66"/>
        <v>3237.7139099999999</v>
      </c>
      <c r="BY33" s="14">
        <f t="shared" si="18"/>
        <v>16732.348409999999</v>
      </c>
      <c r="BZ33" s="14"/>
      <c r="CA33" s="14">
        <f t="shared" si="82"/>
        <v>164459.85149999999</v>
      </c>
      <c r="CB33" s="14">
        <f t="shared" si="67"/>
        <v>39458.197169999999</v>
      </c>
      <c r="CC33" s="14">
        <f t="shared" si="19"/>
        <v>203918.04866999999</v>
      </c>
      <c r="CD33" s="14"/>
      <c r="CE33" s="14">
        <f t="shared" si="83"/>
        <v>24546.942500000001</v>
      </c>
      <c r="CF33" s="14">
        <f t="shared" si="68"/>
        <v>5889.4501499999997</v>
      </c>
      <c r="CG33" s="14">
        <f t="shared" si="20"/>
        <v>30436.392650000002</v>
      </c>
      <c r="CH33" s="14"/>
      <c r="CI33" s="14">
        <f t="shared" si="84"/>
        <v>481386.08100000001</v>
      </c>
      <c r="CJ33" s="14">
        <f t="shared" si="69"/>
        <v>115497.04518</v>
      </c>
      <c r="CK33" s="14">
        <f t="shared" si="21"/>
        <v>596883.12618000002</v>
      </c>
      <c r="CL33" s="14"/>
      <c r="CM33" s="14">
        <f t="shared" si="85"/>
        <v>24686.434499999999</v>
      </c>
      <c r="CN33" s="14">
        <f t="shared" si="70"/>
        <v>5922.9179100000001</v>
      </c>
      <c r="CO33" s="14">
        <f t="shared" si="29"/>
        <v>30609.35241</v>
      </c>
      <c r="CP33" s="14"/>
      <c r="CQ33" s="14">
        <f t="shared" si="86"/>
        <v>61896.330999999998</v>
      </c>
      <c r="CR33" s="14">
        <f t="shared" si="71"/>
        <v>14850.54018</v>
      </c>
      <c r="CS33" s="14">
        <f t="shared" si="22"/>
        <v>76746.871180000002</v>
      </c>
      <c r="CT33" s="14"/>
      <c r="CU33" s="14">
        <f t="shared" si="87"/>
        <v>625910.7415</v>
      </c>
      <c r="CV33" s="14">
        <f t="shared" si="72"/>
        <v>150172.27137</v>
      </c>
      <c r="CW33" s="14">
        <f t="shared" si="23"/>
        <v>776083.01286999998</v>
      </c>
      <c r="CX33" s="14"/>
      <c r="CY33" s="14"/>
      <c r="CZ33" s="14"/>
      <c r="DA33" s="14"/>
      <c r="DB33" s="14"/>
      <c r="DC33" s="14"/>
      <c r="DD33" s="14"/>
      <c r="DE33" s="14">
        <f t="shared" si="24"/>
        <v>0</v>
      </c>
    </row>
    <row r="34" spans="1:109" x14ac:dyDescent="0.2">
      <c r="A34" s="2">
        <v>43556</v>
      </c>
      <c r="F34" s="15">
        <v>871525</v>
      </c>
      <c r="H34" s="15">
        <f t="shared" si="3"/>
        <v>871525</v>
      </c>
      <c r="I34" s="15">
        <f t="shared" si="4"/>
        <v>871525</v>
      </c>
      <c r="L34" s="14">
        <v>146793</v>
      </c>
      <c r="M34" s="14">
        <f t="shared" si="27"/>
        <v>146793</v>
      </c>
      <c r="O34" s="14"/>
      <c r="P34" s="15">
        <f t="shared" si="5"/>
        <v>724732.47550499998</v>
      </c>
      <c r="Q34" s="14">
        <f t="shared" si="0"/>
        <v>724732.47550499998</v>
      </c>
      <c r="S34" s="3"/>
      <c r="T34" s="3">
        <f t="shared" si="52"/>
        <v>2438.6141025000002</v>
      </c>
      <c r="U34" s="3">
        <f t="shared" si="6"/>
        <v>2438.6141025000002</v>
      </c>
      <c r="W34" s="3"/>
      <c r="X34" s="3">
        <f t="shared" si="53"/>
        <v>13125.079347499999</v>
      </c>
      <c r="Y34" s="3">
        <f t="shared" si="7"/>
        <v>13125.079347499999</v>
      </c>
      <c r="AB34" s="14">
        <f t="shared" si="54"/>
        <v>20574.003522499999</v>
      </c>
      <c r="AC34" s="14">
        <f t="shared" si="31"/>
        <v>20574.003522499999</v>
      </c>
      <c r="AE34" s="3"/>
      <c r="AF34" s="3">
        <f t="shared" si="55"/>
        <v>4271.4311775000006</v>
      </c>
      <c r="AG34" s="3">
        <f t="shared" si="8"/>
        <v>4271.4311775000006</v>
      </c>
      <c r="AI34" s="3"/>
      <c r="AJ34" s="3">
        <f t="shared" si="56"/>
        <v>259106.73561749997</v>
      </c>
      <c r="AK34" s="3">
        <f t="shared" si="9"/>
        <v>259106.73561749997</v>
      </c>
      <c r="AL34" s="14"/>
      <c r="AM34" s="3"/>
      <c r="AN34" s="3">
        <f t="shared" si="57"/>
        <v>1438.9749274999999</v>
      </c>
      <c r="AO34" s="3">
        <f t="shared" si="10"/>
        <v>1438.9749274999999</v>
      </c>
      <c r="AP34" s="14"/>
      <c r="AQ34" s="14"/>
      <c r="AR34" s="14">
        <f t="shared" si="58"/>
        <v>5011.0072925000004</v>
      </c>
      <c r="AS34" s="14">
        <f t="shared" si="11"/>
        <v>5011.0072925000004</v>
      </c>
      <c r="AT34" s="14"/>
      <c r="AU34" s="14"/>
      <c r="AV34" s="14">
        <f t="shared" si="59"/>
        <v>38333.504209999999</v>
      </c>
      <c r="AW34" s="14">
        <f t="shared" si="12"/>
        <v>38333.504209999999</v>
      </c>
      <c r="AX34" s="14"/>
      <c r="AY34" s="14"/>
      <c r="AZ34" s="14">
        <f t="shared" si="60"/>
        <v>12076.460467499999</v>
      </c>
      <c r="BA34" s="14">
        <f t="shared" si="13"/>
        <v>12076.460467499999</v>
      </c>
      <c r="BB34" s="14"/>
      <c r="BC34" s="14"/>
      <c r="BD34" s="14">
        <f t="shared" si="61"/>
        <v>54642.351535000002</v>
      </c>
      <c r="BE34" s="14">
        <f t="shared" si="14"/>
        <v>54642.351535000002</v>
      </c>
      <c r="BF34" s="14"/>
      <c r="BG34" s="14"/>
      <c r="BH34" s="14">
        <f t="shared" si="62"/>
        <v>15.513145</v>
      </c>
      <c r="BI34" s="14">
        <f t="shared" si="15"/>
        <v>15.513145</v>
      </c>
      <c r="BJ34" s="14"/>
      <c r="BK34" s="14"/>
      <c r="BL34" s="14">
        <f t="shared" si="63"/>
        <v>7028.8491249999997</v>
      </c>
      <c r="BM34" s="14">
        <f t="shared" si="1"/>
        <v>7028.8491249999997</v>
      </c>
      <c r="BN34" s="14"/>
      <c r="BO34" s="14"/>
      <c r="BP34" s="14">
        <f t="shared" si="64"/>
        <v>3925.6972100000003</v>
      </c>
      <c r="BQ34" s="14">
        <f t="shared" si="16"/>
        <v>3925.6972100000003</v>
      </c>
      <c r="BR34" s="14"/>
      <c r="BS34" s="14"/>
      <c r="BT34" s="14">
        <f t="shared" si="65"/>
        <v>2625.6433675000003</v>
      </c>
      <c r="BU34" s="14">
        <f t="shared" si="17"/>
        <v>2625.6433675000003</v>
      </c>
      <c r="BV34" s="14"/>
      <c r="BW34" s="14"/>
      <c r="BX34" s="14">
        <f t="shared" si="66"/>
        <v>2900.3480475000001</v>
      </c>
      <c r="BY34" s="14">
        <f t="shared" si="18"/>
        <v>2900.3480475000001</v>
      </c>
      <c r="BZ34" s="14"/>
      <c r="CA34" s="14"/>
      <c r="CB34" s="14">
        <f t="shared" si="67"/>
        <v>35346.700882500001</v>
      </c>
      <c r="CC34" s="14">
        <f t="shared" si="19"/>
        <v>35346.700882500001</v>
      </c>
      <c r="CD34" s="14"/>
      <c r="CE34" s="14"/>
      <c r="CF34" s="14">
        <f t="shared" si="68"/>
        <v>5275.7765874999996</v>
      </c>
      <c r="CG34" s="14">
        <f t="shared" si="20"/>
        <v>5275.7765874999996</v>
      </c>
      <c r="CH34" s="14"/>
      <c r="CI34" s="14"/>
      <c r="CJ34" s="14">
        <f t="shared" si="69"/>
        <v>103462.393155</v>
      </c>
      <c r="CK34" s="14">
        <f t="shared" si="21"/>
        <v>103462.393155</v>
      </c>
      <c r="CL34" s="14"/>
      <c r="CM34" s="14"/>
      <c r="CN34" s="14">
        <f t="shared" si="70"/>
        <v>5305.7570475000002</v>
      </c>
      <c r="CO34" s="14">
        <f t="shared" si="29"/>
        <v>5305.7570475000002</v>
      </c>
      <c r="CP34" s="14"/>
      <c r="CQ34" s="14"/>
      <c r="CR34" s="14">
        <f t="shared" si="71"/>
        <v>13303.131905</v>
      </c>
      <c r="CS34" s="14">
        <f t="shared" si="22"/>
        <v>13303.131905</v>
      </c>
      <c r="CT34" s="14"/>
      <c r="CU34" s="14"/>
      <c r="CV34" s="14">
        <f t="shared" si="72"/>
        <v>134524.5028325</v>
      </c>
      <c r="CW34" s="14">
        <f t="shared" si="23"/>
        <v>134524.5028325</v>
      </c>
      <c r="CX34" s="14"/>
      <c r="CY34" s="14"/>
      <c r="CZ34" s="14"/>
      <c r="DA34" s="14"/>
      <c r="DB34" s="14"/>
      <c r="DC34" s="14"/>
      <c r="DD34" s="14"/>
      <c r="DE34" s="14">
        <f t="shared" si="24"/>
        <v>0</v>
      </c>
    </row>
    <row r="35" spans="1:109" x14ac:dyDescent="0.2">
      <c r="A35" s="2">
        <v>43739</v>
      </c>
      <c r="E35" s="15">
        <v>4265000</v>
      </c>
      <c r="F35" s="15">
        <v>871525</v>
      </c>
      <c r="G35" s="15">
        <f t="shared" si="25"/>
        <v>4265000</v>
      </c>
      <c r="H35" s="15">
        <f t="shared" si="3"/>
        <v>871525</v>
      </c>
      <c r="I35" s="15">
        <f t="shared" si="4"/>
        <v>5136525</v>
      </c>
      <c r="K35" s="14">
        <v>718362</v>
      </c>
      <c r="L35" s="14">
        <v>146793</v>
      </c>
      <c r="M35" s="14">
        <f t="shared" si="27"/>
        <v>865155</v>
      </c>
      <c r="O35" s="14">
        <f t="shared" si="28"/>
        <v>3546638.3730000001</v>
      </c>
      <c r="P35" s="15">
        <f t="shared" si="5"/>
        <v>724732.47550499998</v>
      </c>
      <c r="Q35" s="14">
        <f t="shared" si="0"/>
        <v>4271370.8485049997</v>
      </c>
      <c r="S35" s="3">
        <f>G35*$U$7</f>
        <v>11933.896500000001</v>
      </c>
      <c r="T35" s="3">
        <f t="shared" si="52"/>
        <v>2438.6141025000002</v>
      </c>
      <c r="U35" s="3">
        <f t="shared" si="6"/>
        <v>14372.5106025</v>
      </c>
      <c r="W35" s="3">
        <f>G35*$Y$7</f>
        <v>64230.4735</v>
      </c>
      <c r="X35" s="3">
        <f t="shared" si="53"/>
        <v>13125.079347499999</v>
      </c>
      <c r="Y35" s="3">
        <f t="shared" si="7"/>
        <v>77355.552847500003</v>
      </c>
      <c r="AA35" s="14">
        <f>G35*$AC$7</f>
        <v>100683.42849999999</v>
      </c>
      <c r="AB35" s="14">
        <f t="shared" si="54"/>
        <v>20574.003522499999</v>
      </c>
      <c r="AC35" s="14">
        <f t="shared" si="31"/>
        <v>121257.4320225</v>
      </c>
      <c r="AE35" s="3">
        <f>G35*$AG$7</f>
        <v>20903.191500000001</v>
      </c>
      <c r="AF35" s="3">
        <f t="shared" si="55"/>
        <v>4271.4311775000006</v>
      </c>
      <c r="AG35" s="3">
        <f t="shared" si="8"/>
        <v>25174.622677500003</v>
      </c>
      <c r="AI35" s="3">
        <f>G35*$AK$7</f>
        <v>1267996.0155</v>
      </c>
      <c r="AJ35" s="3">
        <f t="shared" si="56"/>
        <v>259106.73561749997</v>
      </c>
      <c r="AK35" s="3">
        <f t="shared" si="9"/>
        <v>1527102.7511175</v>
      </c>
      <c r="AL35" s="14"/>
      <c r="AM35" s="3">
        <f>G35*$AO$7</f>
        <v>7041.9414999999999</v>
      </c>
      <c r="AN35" s="3">
        <f t="shared" si="57"/>
        <v>1438.9749274999999</v>
      </c>
      <c r="AO35" s="3">
        <f t="shared" si="10"/>
        <v>8480.9164275000003</v>
      </c>
      <c r="AP35" s="14"/>
      <c r="AQ35" s="14">
        <f t="shared" si="73"/>
        <v>24522.470499999999</v>
      </c>
      <c r="AR35" s="14">
        <f t="shared" si="58"/>
        <v>5011.0072925000004</v>
      </c>
      <c r="AS35" s="14">
        <f t="shared" si="11"/>
        <v>29533.477792500002</v>
      </c>
      <c r="AT35" s="14"/>
      <c r="AU35" s="14">
        <f t="shared" si="74"/>
        <v>187593.46599999999</v>
      </c>
      <c r="AV35" s="14">
        <f t="shared" si="59"/>
        <v>38333.504209999999</v>
      </c>
      <c r="AW35" s="14">
        <f t="shared" si="12"/>
        <v>225926.97021</v>
      </c>
      <c r="AX35" s="14"/>
      <c r="AY35" s="14">
        <f t="shared" si="75"/>
        <v>59098.825499999999</v>
      </c>
      <c r="AZ35" s="14">
        <f t="shared" si="60"/>
        <v>12076.460467499999</v>
      </c>
      <c r="BA35" s="14">
        <f t="shared" si="13"/>
        <v>71175.285967499993</v>
      </c>
      <c r="BB35" s="14"/>
      <c r="BC35" s="14">
        <f t="shared" si="76"/>
        <v>267404.41100000002</v>
      </c>
      <c r="BD35" s="14">
        <f t="shared" si="61"/>
        <v>54642.351535000002</v>
      </c>
      <c r="BE35" s="14">
        <f t="shared" si="14"/>
        <v>322046.76253500005</v>
      </c>
      <c r="BF35" s="14"/>
      <c r="BG35" s="14">
        <f t="shared" si="77"/>
        <v>75.917000000000002</v>
      </c>
      <c r="BH35" s="14">
        <f t="shared" si="62"/>
        <v>15.513145</v>
      </c>
      <c r="BI35" s="14">
        <f t="shared" si="15"/>
        <v>91.430144999999996</v>
      </c>
      <c r="BJ35" s="14"/>
      <c r="BK35" s="14">
        <f t="shared" si="78"/>
        <v>34397.224999999999</v>
      </c>
      <c r="BL35" s="14">
        <f t="shared" si="63"/>
        <v>7028.8491249999997</v>
      </c>
      <c r="BM35" s="14">
        <f t="shared" si="1"/>
        <v>41426.074124999999</v>
      </c>
      <c r="BN35" s="14"/>
      <c r="BO35" s="14">
        <f t="shared" si="79"/>
        <v>19211.266000000003</v>
      </c>
      <c r="BP35" s="14">
        <f t="shared" si="64"/>
        <v>3925.6972100000003</v>
      </c>
      <c r="BQ35" s="14">
        <f t="shared" si="16"/>
        <v>23136.963210000002</v>
      </c>
      <c r="BR35" s="14"/>
      <c r="BS35" s="14">
        <f t="shared" si="80"/>
        <v>12849.165500000001</v>
      </c>
      <c r="BT35" s="14">
        <f t="shared" si="65"/>
        <v>2625.6433675000003</v>
      </c>
      <c r="BU35" s="14">
        <f t="shared" si="17"/>
        <v>15474.808867500002</v>
      </c>
      <c r="BV35" s="14"/>
      <c r="BW35" s="14">
        <f t="shared" si="81"/>
        <v>14193.4935</v>
      </c>
      <c r="BX35" s="14">
        <f t="shared" si="66"/>
        <v>2900.3480475000001</v>
      </c>
      <c r="BY35" s="14">
        <f t="shared" si="18"/>
        <v>17093.8415475</v>
      </c>
      <c r="BZ35" s="14"/>
      <c r="CA35" s="14">
        <f t="shared" si="82"/>
        <v>172976.88449999999</v>
      </c>
      <c r="CB35" s="14">
        <f t="shared" si="67"/>
        <v>35346.700882500001</v>
      </c>
      <c r="CC35" s="14">
        <f t="shared" si="19"/>
        <v>208323.58538249999</v>
      </c>
      <c r="CD35" s="14"/>
      <c r="CE35" s="14">
        <f t="shared" si="83"/>
        <v>25818.177499999998</v>
      </c>
      <c r="CF35" s="14">
        <f t="shared" si="68"/>
        <v>5275.7765874999996</v>
      </c>
      <c r="CG35" s="14">
        <f t="shared" si="20"/>
        <v>31093.954087499998</v>
      </c>
      <c r="CH35" s="14"/>
      <c r="CI35" s="14">
        <f t="shared" si="84"/>
        <v>506316.06300000002</v>
      </c>
      <c r="CJ35" s="14">
        <f t="shared" si="69"/>
        <v>103462.393155</v>
      </c>
      <c r="CK35" s="14">
        <f t="shared" si="21"/>
        <v>609778.45615500002</v>
      </c>
      <c r="CL35" s="14"/>
      <c r="CM35" s="14">
        <f t="shared" si="85"/>
        <v>25964.893500000002</v>
      </c>
      <c r="CN35" s="14">
        <f t="shared" si="70"/>
        <v>5305.7570475000002</v>
      </c>
      <c r="CO35" s="14">
        <f t="shared" si="29"/>
        <v>31270.650547500001</v>
      </c>
      <c r="CP35" s="14"/>
      <c r="CQ35" s="14">
        <f t="shared" si="86"/>
        <v>65101.813000000002</v>
      </c>
      <c r="CR35" s="14">
        <f t="shared" si="71"/>
        <v>13303.131905</v>
      </c>
      <c r="CS35" s="14">
        <f t="shared" si="22"/>
        <v>78404.944904999997</v>
      </c>
      <c r="CT35" s="14"/>
      <c r="CU35" s="14">
        <f t="shared" si="87"/>
        <v>658325.35450000002</v>
      </c>
      <c r="CV35" s="14">
        <f t="shared" si="72"/>
        <v>134524.5028325</v>
      </c>
      <c r="CW35" s="14">
        <f t="shared" si="23"/>
        <v>792849.85733250005</v>
      </c>
      <c r="CX35" s="14"/>
      <c r="CY35" s="14"/>
      <c r="CZ35" s="14"/>
      <c r="DA35" s="14"/>
      <c r="DB35" s="14"/>
      <c r="DC35" s="14"/>
      <c r="DD35" s="14"/>
      <c r="DE35" s="14">
        <f t="shared" si="24"/>
        <v>0</v>
      </c>
    </row>
    <row r="36" spans="1:109" x14ac:dyDescent="0.2">
      <c r="A36" s="2">
        <v>43922</v>
      </c>
      <c r="F36" s="15">
        <v>764900</v>
      </c>
      <c r="H36" s="15">
        <f t="shared" si="3"/>
        <v>764900</v>
      </c>
      <c r="I36" s="15">
        <f t="shared" si="4"/>
        <v>764900</v>
      </c>
      <c r="L36" s="14">
        <v>128834</v>
      </c>
      <c r="M36" s="14">
        <f t="shared" si="27"/>
        <v>128834</v>
      </c>
      <c r="O36" s="14"/>
      <c r="P36" s="15">
        <f t="shared" si="5"/>
        <v>636066.51617999992</v>
      </c>
      <c r="Q36" s="14">
        <f t="shared" si="0"/>
        <v>636066.51617999992</v>
      </c>
      <c r="S36" s="3"/>
      <c r="T36" s="3">
        <f t="shared" si="52"/>
        <v>2140.2666899999999</v>
      </c>
      <c r="U36" s="3">
        <f t="shared" si="6"/>
        <v>2140.2666899999999</v>
      </c>
      <c r="W36" s="3"/>
      <c r="X36" s="3">
        <f t="shared" si="53"/>
        <v>11519.317509999999</v>
      </c>
      <c r="Y36" s="3">
        <f t="shared" si="7"/>
        <v>11519.317509999999</v>
      </c>
      <c r="AB36" s="14">
        <f t="shared" si="54"/>
        <v>18056.917809999999</v>
      </c>
      <c r="AC36" s="14">
        <f t="shared" si="31"/>
        <v>18056.917809999999</v>
      </c>
      <c r="AE36" s="3"/>
      <c r="AF36" s="3">
        <f t="shared" si="55"/>
        <v>3748.8513900000003</v>
      </c>
      <c r="AG36" s="3">
        <f t="shared" si="8"/>
        <v>3748.8513900000003</v>
      </c>
      <c r="AI36" s="3"/>
      <c r="AJ36" s="3">
        <f t="shared" si="56"/>
        <v>227406.83522999997</v>
      </c>
      <c r="AK36" s="3">
        <f t="shared" si="9"/>
        <v>227406.83522999997</v>
      </c>
      <c r="AL36" s="14"/>
      <c r="AM36" s="3"/>
      <c r="AN36" s="3">
        <f t="shared" si="57"/>
        <v>1262.9263900000001</v>
      </c>
      <c r="AO36" s="3">
        <f t="shared" si="10"/>
        <v>1262.9263900000001</v>
      </c>
      <c r="AP36" s="14"/>
      <c r="AQ36" s="14"/>
      <c r="AR36" s="14">
        <f t="shared" si="58"/>
        <v>4397.94553</v>
      </c>
      <c r="AS36" s="14">
        <f t="shared" si="11"/>
        <v>4397.94553</v>
      </c>
      <c r="AT36" s="14"/>
      <c r="AU36" s="14"/>
      <c r="AV36" s="14">
        <f t="shared" si="59"/>
        <v>33643.667560000002</v>
      </c>
      <c r="AW36" s="14">
        <f t="shared" si="12"/>
        <v>33643.667560000002</v>
      </c>
      <c r="AX36" s="14"/>
      <c r="AY36" s="14"/>
      <c r="AZ36" s="14">
        <f t="shared" si="60"/>
        <v>10598.98983</v>
      </c>
      <c r="BA36" s="14">
        <f t="shared" si="13"/>
        <v>10598.98983</v>
      </c>
      <c r="BB36" s="14"/>
      <c r="BC36" s="14"/>
      <c r="BD36" s="14">
        <f t="shared" si="61"/>
        <v>47957.241260000003</v>
      </c>
      <c r="BE36" s="14">
        <f t="shared" si="14"/>
        <v>47957.241260000003</v>
      </c>
      <c r="BF36" s="14"/>
      <c r="BG36" s="14"/>
      <c r="BH36" s="14">
        <f t="shared" si="62"/>
        <v>13.615219999999999</v>
      </c>
      <c r="BI36" s="14">
        <f t="shared" si="15"/>
        <v>13.615219999999999</v>
      </c>
      <c r="BJ36" s="14"/>
      <c r="BK36" s="14"/>
      <c r="BL36" s="14">
        <f t="shared" si="63"/>
        <v>6168.9184999999998</v>
      </c>
      <c r="BM36" s="14">
        <f t="shared" si="1"/>
        <v>6168.9184999999998</v>
      </c>
      <c r="BN36" s="14"/>
      <c r="BO36" s="14"/>
      <c r="BP36" s="14">
        <f t="shared" si="64"/>
        <v>3445.4155600000004</v>
      </c>
      <c r="BQ36" s="14">
        <f t="shared" si="16"/>
        <v>3445.4155600000004</v>
      </c>
      <c r="BR36" s="14"/>
      <c r="BS36" s="14"/>
      <c r="BT36" s="14">
        <f t="shared" si="65"/>
        <v>2304.4142299999999</v>
      </c>
      <c r="BU36" s="14">
        <f t="shared" si="17"/>
        <v>2304.4142299999999</v>
      </c>
      <c r="BV36" s="14"/>
      <c r="BW36" s="14"/>
      <c r="BX36" s="14">
        <f t="shared" si="66"/>
        <v>2545.51071</v>
      </c>
      <c r="BY36" s="14">
        <f t="shared" si="18"/>
        <v>2545.51071</v>
      </c>
      <c r="BZ36" s="14"/>
      <c r="CA36" s="14"/>
      <c r="CB36" s="14">
        <f t="shared" si="67"/>
        <v>31022.278769999997</v>
      </c>
      <c r="CC36" s="14">
        <f t="shared" si="19"/>
        <v>31022.278769999997</v>
      </c>
      <c r="CD36" s="14"/>
      <c r="CE36" s="14"/>
      <c r="CF36" s="14">
        <f t="shared" si="68"/>
        <v>4630.32215</v>
      </c>
      <c r="CG36" s="14">
        <f t="shared" si="20"/>
        <v>4630.32215</v>
      </c>
      <c r="CH36" s="14"/>
      <c r="CI36" s="14"/>
      <c r="CJ36" s="14">
        <f t="shared" si="69"/>
        <v>90804.491580000002</v>
      </c>
      <c r="CK36" s="14">
        <f t="shared" si="21"/>
        <v>90804.491580000002</v>
      </c>
      <c r="CL36" s="14"/>
      <c r="CM36" s="14"/>
      <c r="CN36" s="14">
        <f t="shared" si="70"/>
        <v>4656.6347100000003</v>
      </c>
      <c r="CO36" s="14">
        <f t="shared" si="29"/>
        <v>4656.6347100000003</v>
      </c>
      <c r="CP36" s="14"/>
      <c r="CQ36" s="14"/>
      <c r="CR36" s="14">
        <f t="shared" si="71"/>
        <v>11675.586580000001</v>
      </c>
      <c r="CS36" s="14">
        <f t="shared" si="22"/>
        <v>11675.586580000001</v>
      </c>
      <c r="CT36" s="14"/>
      <c r="CU36" s="14"/>
      <c r="CV36" s="14">
        <f t="shared" si="72"/>
        <v>118066.36897</v>
      </c>
      <c r="CW36" s="14">
        <f t="shared" si="23"/>
        <v>118066.36897</v>
      </c>
      <c r="CX36" s="14"/>
      <c r="CY36" s="14"/>
      <c r="CZ36" s="14"/>
      <c r="DA36" s="14"/>
      <c r="DB36" s="14"/>
      <c r="DC36" s="14"/>
      <c r="DD36" s="14"/>
      <c r="DE36" s="14">
        <f t="shared" si="24"/>
        <v>0</v>
      </c>
    </row>
    <row r="37" spans="1:109" x14ac:dyDescent="0.2">
      <c r="A37" s="2">
        <v>44105</v>
      </c>
      <c r="E37" s="15">
        <v>4485000</v>
      </c>
      <c r="F37" s="15">
        <v>764900</v>
      </c>
      <c r="G37" s="15">
        <f t="shared" si="25"/>
        <v>4485000</v>
      </c>
      <c r="H37" s="15">
        <f t="shared" si="3"/>
        <v>764900</v>
      </c>
      <c r="I37" s="15">
        <f t="shared" si="4"/>
        <v>5249900</v>
      </c>
      <c r="K37" s="14">
        <v>755417</v>
      </c>
      <c r="L37" s="14">
        <v>128834</v>
      </c>
      <c r="M37" s="14">
        <f t="shared" si="27"/>
        <v>884251</v>
      </c>
      <c r="O37" s="14">
        <f t="shared" si="28"/>
        <v>3729583.3769999999</v>
      </c>
      <c r="P37" s="15">
        <f t="shared" si="5"/>
        <v>636066.51617999992</v>
      </c>
      <c r="Q37" s="14">
        <f t="shared" si="0"/>
        <v>4365649.8931799997</v>
      </c>
      <c r="S37" s="3">
        <f>G37*$U$7</f>
        <v>12549.478499999999</v>
      </c>
      <c r="T37" s="3">
        <f t="shared" si="52"/>
        <v>2140.2666899999999</v>
      </c>
      <c r="U37" s="3">
        <f t="shared" si="6"/>
        <v>14689.74519</v>
      </c>
      <c r="W37" s="3">
        <f>G37*$Y$7</f>
        <v>67543.651499999993</v>
      </c>
      <c r="X37" s="3">
        <f t="shared" si="53"/>
        <v>11519.317509999999</v>
      </c>
      <c r="Y37" s="3">
        <f t="shared" si="7"/>
        <v>79062.969009999986</v>
      </c>
      <c r="AA37" s="14">
        <f t="shared" ref="AA37:AA49" si="88">G37*$AC$7</f>
        <v>105876.94650000001</v>
      </c>
      <c r="AB37" s="14">
        <f t="shared" si="54"/>
        <v>18056.917809999999</v>
      </c>
      <c r="AC37" s="14">
        <f t="shared" si="31"/>
        <v>123933.86431</v>
      </c>
      <c r="AE37" s="3">
        <f>G37*$AG$7</f>
        <v>21981.433500000003</v>
      </c>
      <c r="AF37" s="3">
        <f t="shared" si="55"/>
        <v>3748.8513900000003</v>
      </c>
      <c r="AG37" s="3">
        <f t="shared" si="8"/>
        <v>25730.284890000003</v>
      </c>
      <c r="AI37" s="3">
        <f>G37*$AK$7</f>
        <v>1333402.6094999998</v>
      </c>
      <c r="AJ37" s="3">
        <f t="shared" si="56"/>
        <v>227406.83522999997</v>
      </c>
      <c r="AK37" s="3">
        <f t="shared" si="9"/>
        <v>1560809.4447299996</v>
      </c>
      <c r="AL37" s="14"/>
      <c r="AM37" s="3">
        <f>G37*$AO$7</f>
        <v>7405.1835000000001</v>
      </c>
      <c r="AN37" s="3">
        <f t="shared" si="57"/>
        <v>1262.9263900000001</v>
      </c>
      <c r="AO37" s="3">
        <f t="shared" si="10"/>
        <v>8668.1098899999997</v>
      </c>
      <c r="AP37" s="14"/>
      <c r="AQ37" s="14">
        <f t="shared" si="73"/>
        <v>25787.404500000001</v>
      </c>
      <c r="AR37" s="14">
        <f t="shared" si="58"/>
        <v>4397.94553</v>
      </c>
      <c r="AS37" s="14">
        <f t="shared" si="11"/>
        <v>30185.350030000001</v>
      </c>
      <c r="AT37" s="14"/>
      <c r="AU37" s="14">
        <f t="shared" si="74"/>
        <v>197270.03399999999</v>
      </c>
      <c r="AV37" s="14">
        <f t="shared" si="59"/>
        <v>33643.667560000002</v>
      </c>
      <c r="AW37" s="14">
        <f t="shared" si="12"/>
        <v>230913.70155999999</v>
      </c>
      <c r="AX37" s="14"/>
      <c r="AY37" s="14">
        <f t="shared" si="75"/>
        <v>62147.299500000001</v>
      </c>
      <c r="AZ37" s="14">
        <f t="shared" si="60"/>
        <v>10598.98983</v>
      </c>
      <c r="BA37" s="14">
        <f t="shared" si="13"/>
        <v>72746.28933</v>
      </c>
      <c r="BB37" s="14"/>
      <c r="BC37" s="14">
        <f t="shared" si="76"/>
        <v>281197.83899999998</v>
      </c>
      <c r="BD37" s="14">
        <f t="shared" si="61"/>
        <v>47957.241260000003</v>
      </c>
      <c r="BE37" s="14">
        <f t="shared" si="14"/>
        <v>329155.08025999996</v>
      </c>
      <c r="BF37" s="14"/>
      <c r="BG37" s="14">
        <f t="shared" si="77"/>
        <v>79.832999999999998</v>
      </c>
      <c r="BH37" s="14">
        <f t="shared" si="62"/>
        <v>13.615219999999999</v>
      </c>
      <c r="BI37" s="14">
        <f t="shared" si="15"/>
        <v>93.448219999999992</v>
      </c>
      <c r="BJ37" s="14"/>
      <c r="BK37" s="14">
        <f t="shared" si="78"/>
        <v>36171.524999999994</v>
      </c>
      <c r="BL37" s="14">
        <f t="shared" si="63"/>
        <v>6168.9184999999998</v>
      </c>
      <c r="BM37" s="14">
        <f t="shared" si="1"/>
        <v>42340.443499999994</v>
      </c>
      <c r="BN37" s="14"/>
      <c r="BO37" s="14">
        <f t="shared" si="79"/>
        <v>20202.234</v>
      </c>
      <c r="BP37" s="14">
        <f t="shared" si="64"/>
        <v>3445.4155600000004</v>
      </c>
      <c r="BQ37" s="14">
        <f t="shared" si="16"/>
        <v>23647.649560000002</v>
      </c>
      <c r="BR37" s="14"/>
      <c r="BS37" s="14">
        <f t="shared" si="80"/>
        <v>13511.959500000001</v>
      </c>
      <c r="BT37" s="14">
        <f t="shared" si="65"/>
        <v>2304.4142299999999</v>
      </c>
      <c r="BU37" s="14">
        <f t="shared" si="17"/>
        <v>15816.373730000001</v>
      </c>
      <c r="BV37" s="14"/>
      <c r="BW37" s="14">
        <f t="shared" si="81"/>
        <v>14925.6315</v>
      </c>
      <c r="BX37" s="14">
        <f t="shared" si="66"/>
        <v>2545.51071</v>
      </c>
      <c r="BY37" s="14">
        <f t="shared" si="18"/>
        <v>17471.142209999998</v>
      </c>
      <c r="BZ37" s="14"/>
      <c r="CA37" s="14">
        <f t="shared" si="82"/>
        <v>181899.49049999999</v>
      </c>
      <c r="CB37" s="14">
        <f t="shared" si="67"/>
        <v>31022.278769999997</v>
      </c>
      <c r="CC37" s="14">
        <f t="shared" si="19"/>
        <v>212921.76926999999</v>
      </c>
      <c r="CD37" s="14"/>
      <c r="CE37" s="14">
        <f t="shared" si="83"/>
        <v>27149.947499999998</v>
      </c>
      <c r="CF37" s="14">
        <f t="shared" si="68"/>
        <v>4630.32215</v>
      </c>
      <c r="CG37" s="14">
        <f t="shared" si="20"/>
        <v>31780.269649999998</v>
      </c>
      <c r="CH37" s="14"/>
      <c r="CI37" s="14">
        <f t="shared" si="84"/>
        <v>532433.18700000003</v>
      </c>
      <c r="CJ37" s="14">
        <f t="shared" si="69"/>
        <v>90804.491580000002</v>
      </c>
      <c r="CK37" s="14">
        <f t="shared" si="21"/>
        <v>623237.67858000007</v>
      </c>
      <c r="CL37" s="14"/>
      <c r="CM37" s="14">
        <f t="shared" si="85"/>
        <v>27304.231500000002</v>
      </c>
      <c r="CN37" s="14">
        <f t="shared" si="70"/>
        <v>4656.6347100000003</v>
      </c>
      <c r="CO37" s="14">
        <f t="shared" si="29"/>
        <v>31960.86621</v>
      </c>
      <c r="CP37" s="14"/>
      <c r="CQ37" s="14">
        <f t="shared" si="86"/>
        <v>68459.937000000005</v>
      </c>
      <c r="CR37" s="14">
        <f t="shared" si="71"/>
        <v>11675.586580000001</v>
      </c>
      <c r="CS37" s="14">
        <f t="shared" si="22"/>
        <v>80135.523580000008</v>
      </c>
      <c r="CT37" s="14"/>
      <c r="CU37" s="14">
        <f t="shared" si="87"/>
        <v>692283.52049999998</v>
      </c>
      <c r="CV37" s="14">
        <f t="shared" si="72"/>
        <v>118066.36897</v>
      </c>
      <c r="CW37" s="14">
        <f t="shared" si="23"/>
        <v>810349.88946999994</v>
      </c>
      <c r="CX37" s="14"/>
      <c r="CY37" s="14"/>
      <c r="CZ37" s="14"/>
      <c r="DA37" s="14"/>
      <c r="DB37" s="14"/>
      <c r="DC37" s="14"/>
      <c r="DD37" s="14"/>
      <c r="DE37" s="14">
        <f t="shared" si="24"/>
        <v>0</v>
      </c>
    </row>
    <row r="38" spans="1:109" x14ac:dyDescent="0.2">
      <c r="A38" s="2">
        <v>44287</v>
      </c>
      <c r="F38" s="15">
        <v>652775</v>
      </c>
      <c r="H38" s="15">
        <f t="shared" si="3"/>
        <v>652775</v>
      </c>
      <c r="I38" s="15">
        <f t="shared" si="4"/>
        <v>652775</v>
      </c>
      <c r="L38" s="14">
        <v>109948</v>
      </c>
      <c r="M38" s="14">
        <f t="shared" si="27"/>
        <v>109948</v>
      </c>
      <c r="O38" s="14"/>
      <c r="P38" s="15">
        <f t="shared" si="5"/>
        <v>542826.93175499991</v>
      </c>
      <c r="Q38" s="14">
        <f t="shared" si="0"/>
        <v>542826.93175499991</v>
      </c>
      <c r="S38" s="3"/>
      <c r="T38" s="3">
        <f t="shared" si="52"/>
        <v>1826.5297275</v>
      </c>
      <c r="U38" s="3">
        <f t="shared" si="6"/>
        <v>1826.5297275</v>
      </c>
      <c r="W38" s="3"/>
      <c r="X38" s="3">
        <f t="shared" si="53"/>
        <v>9830.7262224999995</v>
      </c>
      <c r="Y38" s="3">
        <f t="shared" si="7"/>
        <v>9830.7262224999995</v>
      </c>
      <c r="AB38" s="14">
        <f t="shared" si="54"/>
        <v>15409.9941475</v>
      </c>
      <c r="AC38" s="14">
        <f t="shared" si="31"/>
        <v>15409.9941475</v>
      </c>
      <c r="AE38" s="3"/>
      <c r="AF38" s="3">
        <f t="shared" si="55"/>
        <v>3199.3155525000002</v>
      </c>
      <c r="AG38" s="3">
        <f t="shared" si="8"/>
        <v>3199.3155525000002</v>
      </c>
      <c r="AI38" s="3"/>
      <c r="AJ38" s="3">
        <f t="shared" si="56"/>
        <v>194071.76999249999</v>
      </c>
      <c r="AK38" s="3">
        <f t="shared" si="9"/>
        <v>194071.76999249999</v>
      </c>
      <c r="AL38" s="14"/>
      <c r="AM38" s="3"/>
      <c r="AN38" s="3">
        <f t="shared" si="57"/>
        <v>1077.7968025</v>
      </c>
      <c r="AO38" s="3">
        <f t="shared" si="10"/>
        <v>1077.7968025</v>
      </c>
      <c r="AP38" s="14"/>
      <c r="AQ38" s="14"/>
      <c r="AR38" s="14">
        <f t="shared" si="58"/>
        <v>3753.2604175000001</v>
      </c>
      <c r="AS38" s="14">
        <f t="shared" si="11"/>
        <v>3753.2604175000001</v>
      </c>
      <c r="AT38" s="14"/>
      <c r="AU38" s="14"/>
      <c r="AV38" s="14">
        <f t="shared" si="59"/>
        <v>28711.916710000001</v>
      </c>
      <c r="AW38" s="14">
        <f t="shared" si="12"/>
        <v>28711.916710000001</v>
      </c>
      <c r="AX38" s="14"/>
      <c r="AY38" s="14"/>
      <c r="AZ38" s="14">
        <f t="shared" si="60"/>
        <v>9045.3073425000002</v>
      </c>
      <c r="BA38" s="14">
        <f t="shared" si="13"/>
        <v>9045.3073425000002</v>
      </c>
      <c r="BB38" s="14"/>
      <c r="BC38" s="14"/>
      <c r="BD38" s="14">
        <f t="shared" si="61"/>
        <v>40927.295285</v>
      </c>
      <c r="BE38" s="14">
        <f t="shared" si="14"/>
        <v>40927.295285</v>
      </c>
      <c r="BF38" s="14"/>
      <c r="BG38" s="14"/>
      <c r="BH38" s="14">
        <f t="shared" si="62"/>
        <v>11.619394999999999</v>
      </c>
      <c r="BI38" s="14">
        <f t="shared" si="15"/>
        <v>11.619394999999999</v>
      </c>
      <c r="BJ38" s="14"/>
      <c r="BK38" s="14"/>
      <c r="BL38" s="14">
        <f t="shared" si="63"/>
        <v>5264.6303749999997</v>
      </c>
      <c r="BM38" s="14">
        <f t="shared" si="1"/>
        <v>5264.6303749999997</v>
      </c>
      <c r="BN38" s="14"/>
      <c r="BO38" s="14"/>
      <c r="BP38" s="14">
        <f t="shared" si="64"/>
        <v>2940.3597100000002</v>
      </c>
      <c r="BQ38" s="14">
        <f t="shared" si="16"/>
        <v>2940.3597100000002</v>
      </c>
      <c r="BR38" s="14"/>
      <c r="BS38" s="14"/>
      <c r="BT38" s="14">
        <f t="shared" si="65"/>
        <v>1966.6152425</v>
      </c>
      <c r="BU38" s="14">
        <f t="shared" si="17"/>
        <v>1966.6152425</v>
      </c>
      <c r="BV38" s="14"/>
      <c r="BW38" s="14"/>
      <c r="BX38" s="14">
        <f t="shared" si="66"/>
        <v>2172.3699225</v>
      </c>
      <c r="BY38" s="14">
        <f t="shared" si="18"/>
        <v>2172.3699225</v>
      </c>
      <c r="BZ38" s="14"/>
      <c r="CA38" s="14"/>
      <c r="CB38" s="14">
        <f t="shared" si="67"/>
        <v>26474.791507499998</v>
      </c>
      <c r="CC38" s="14">
        <f t="shared" si="19"/>
        <v>26474.791507499998</v>
      </c>
      <c r="CD38" s="14"/>
      <c r="CE38" s="14"/>
      <c r="CF38" s="14">
        <f t="shared" si="68"/>
        <v>3951.5734625</v>
      </c>
      <c r="CG38" s="14">
        <f t="shared" si="20"/>
        <v>3951.5734625</v>
      </c>
      <c r="CH38" s="14"/>
      <c r="CI38" s="14"/>
      <c r="CJ38" s="14">
        <f t="shared" si="69"/>
        <v>77493.661905000001</v>
      </c>
      <c r="CK38" s="14">
        <f t="shared" si="21"/>
        <v>77493.661905000001</v>
      </c>
      <c r="CL38" s="14"/>
      <c r="CM38" s="14"/>
      <c r="CN38" s="14">
        <f t="shared" si="70"/>
        <v>3974.0289225000001</v>
      </c>
      <c r="CO38" s="14">
        <f t="shared" si="29"/>
        <v>3974.0289225000001</v>
      </c>
      <c r="CP38" s="14"/>
      <c r="CQ38" s="14"/>
      <c r="CR38" s="14">
        <f t="shared" si="71"/>
        <v>9964.0881549999995</v>
      </c>
      <c r="CS38" s="14">
        <f t="shared" si="22"/>
        <v>9964.0881549999995</v>
      </c>
      <c r="CT38" s="14"/>
      <c r="CU38" s="14"/>
      <c r="CV38" s="14">
        <f t="shared" si="72"/>
        <v>100759.2809575</v>
      </c>
      <c r="CW38" s="14">
        <f t="shared" si="23"/>
        <v>100759.2809575</v>
      </c>
      <c r="CX38" s="14"/>
      <c r="CY38" s="14"/>
      <c r="CZ38" s="14"/>
      <c r="DA38" s="14"/>
      <c r="DB38" s="14"/>
      <c r="DC38" s="14"/>
      <c r="DD38" s="14"/>
      <c r="DE38" s="14">
        <f t="shared" si="24"/>
        <v>0</v>
      </c>
    </row>
    <row r="39" spans="1:109" x14ac:dyDescent="0.2">
      <c r="A39" s="2">
        <v>44470</v>
      </c>
      <c r="E39" s="15">
        <v>4710000</v>
      </c>
      <c r="F39" s="15">
        <v>652775</v>
      </c>
      <c r="G39" s="15">
        <f t="shared" si="25"/>
        <v>4710000</v>
      </c>
      <c r="H39" s="15">
        <f t="shared" si="3"/>
        <v>652775</v>
      </c>
      <c r="I39" s="15">
        <f t="shared" si="4"/>
        <v>5362775</v>
      </c>
      <c r="K39" s="14">
        <v>793314</v>
      </c>
      <c r="L39" s="14">
        <v>109948</v>
      </c>
      <c r="M39" s="14">
        <f t="shared" si="27"/>
        <v>903262</v>
      </c>
      <c r="O39" s="14">
        <f t="shared" si="28"/>
        <v>3916686.2220000001</v>
      </c>
      <c r="P39" s="15">
        <f t="shared" si="5"/>
        <v>542826.93175499991</v>
      </c>
      <c r="Q39" s="14">
        <f t="shared" si="0"/>
        <v>4459513.1537549999</v>
      </c>
      <c r="S39" s="3">
        <f>G39*$U$7</f>
        <v>13179.050999999999</v>
      </c>
      <c r="T39" s="3">
        <f t="shared" si="52"/>
        <v>1826.5297275</v>
      </c>
      <c r="U39" s="3">
        <f t="shared" si="6"/>
        <v>15005.580727499999</v>
      </c>
      <c r="W39" s="3">
        <f>G39*$Y$7</f>
        <v>70932.129000000001</v>
      </c>
      <c r="X39" s="3">
        <f t="shared" si="53"/>
        <v>9830.7262224999995</v>
      </c>
      <c r="Y39" s="3">
        <f t="shared" si="7"/>
        <v>80762.855222500002</v>
      </c>
      <c r="AA39" s="14">
        <f t="shared" si="88"/>
        <v>111188.499</v>
      </c>
      <c r="AB39" s="14">
        <f t="shared" si="54"/>
        <v>15409.9941475</v>
      </c>
      <c r="AC39" s="14">
        <f t="shared" si="31"/>
        <v>126598.49314749999</v>
      </c>
      <c r="AE39" s="3">
        <f t="shared" ref="AE39:AE49" si="89">G39*$AG$7</f>
        <v>23084.181</v>
      </c>
      <c r="AF39" s="3">
        <f t="shared" si="55"/>
        <v>3199.3155525000002</v>
      </c>
      <c r="AG39" s="3">
        <f t="shared" si="8"/>
        <v>26283.496552500001</v>
      </c>
      <c r="AI39" s="3">
        <f>G39*$AK$7</f>
        <v>1400295.7169999999</v>
      </c>
      <c r="AJ39" s="3">
        <f t="shared" si="56"/>
        <v>194071.76999249999</v>
      </c>
      <c r="AK39" s="3">
        <f t="shared" si="9"/>
        <v>1594367.4869925</v>
      </c>
      <c r="AL39" s="14"/>
      <c r="AM39" s="3">
        <f>G39*$AO$7</f>
        <v>7776.6809999999996</v>
      </c>
      <c r="AN39" s="3">
        <f t="shared" si="57"/>
        <v>1077.7968025</v>
      </c>
      <c r="AO39" s="3">
        <f t="shared" si="10"/>
        <v>8854.4778024999996</v>
      </c>
      <c r="AP39" s="14"/>
      <c r="AQ39" s="14">
        <f t="shared" si="73"/>
        <v>27081.087</v>
      </c>
      <c r="AR39" s="14">
        <f t="shared" si="58"/>
        <v>3753.2604175000001</v>
      </c>
      <c r="AS39" s="14">
        <f t="shared" si="11"/>
        <v>30834.347417500001</v>
      </c>
      <c r="AT39" s="14"/>
      <c r="AU39" s="14">
        <f t="shared" si="74"/>
        <v>207166.524</v>
      </c>
      <c r="AV39" s="14">
        <f t="shared" si="59"/>
        <v>28711.916710000001</v>
      </c>
      <c r="AW39" s="14">
        <f t="shared" si="12"/>
        <v>235878.44071</v>
      </c>
      <c r="AX39" s="14"/>
      <c r="AY39" s="14">
        <f t="shared" si="75"/>
        <v>65265.057000000001</v>
      </c>
      <c r="AZ39" s="14">
        <f t="shared" si="60"/>
        <v>9045.3073425000002</v>
      </c>
      <c r="BA39" s="14">
        <f t="shared" si="13"/>
        <v>74310.364342500005</v>
      </c>
      <c r="BB39" s="14"/>
      <c r="BC39" s="14">
        <f t="shared" si="76"/>
        <v>295304.75400000002</v>
      </c>
      <c r="BD39" s="14">
        <f t="shared" si="61"/>
        <v>40927.295285</v>
      </c>
      <c r="BE39" s="14">
        <f t="shared" si="14"/>
        <v>336232.04928500002</v>
      </c>
      <c r="BF39" s="14"/>
      <c r="BG39" s="14">
        <f t="shared" si="77"/>
        <v>83.837999999999994</v>
      </c>
      <c r="BH39" s="14">
        <f t="shared" si="62"/>
        <v>11.619394999999999</v>
      </c>
      <c r="BI39" s="14">
        <f t="shared" si="15"/>
        <v>95.457394999999991</v>
      </c>
      <c r="BJ39" s="14"/>
      <c r="BK39" s="14">
        <f t="shared" si="78"/>
        <v>37986.149999999994</v>
      </c>
      <c r="BL39" s="14">
        <f t="shared" si="63"/>
        <v>5264.6303749999997</v>
      </c>
      <c r="BM39" s="14">
        <f t="shared" si="1"/>
        <v>43250.780374999995</v>
      </c>
      <c r="BN39" s="14"/>
      <c r="BO39" s="14">
        <f t="shared" si="79"/>
        <v>21215.724000000002</v>
      </c>
      <c r="BP39" s="14">
        <f t="shared" si="64"/>
        <v>2940.3597100000002</v>
      </c>
      <c r="BQ39" s="14">
        <f t="shared" si="16"/>
        <v>24156.083710000003</v>
      </c>
      <c r="BR39" s="14"/>
      <c r="BS39" s="14">
        <f t="shared" si="80"/>
        <v>14189.817000000001</v>
      </c>
      <c r="BT39" s="14">
        <f t="shared" si="65"/>
        <v>1966.6152425</v>
      </c>
      <c r="BU39" s="14">
        <f t="shared" si="17"/>
        <v>16156.432242500001</v>
      </c>
      <c r="BV39" s="14"/>
      <c r="BW39" s="14">
        <f t="shared" si="81"/>
        <v>15674.409</v>
      </c>
      <c r="BX39" s="14">
        <f t="shared" si="66"/>
        <v>2172.3699225</v>
      </c>
      <c r="BY39" s="14">
        <f t="shared" si="18"/>
        <v>17846.778922500001</v>
      </c>
      <c r="BZ39" s="14"/>
      <c r="CA39" s="14">
        <f t="shared" si="82"/>
        <v>191024.883</v>
      </c>
      <c r="CB39" s="14">
        <f t="shared" si="67"/>
        <v>26474.791507499998</v>
      </c>
      <c r="CC39" s="14">
        <f t="shared" si="19"/>
        <v>217499.67450749999</v>
      </c>
      <c r="CD39" s="14"/>
      <c r="CE39" s="14">
        <f t="shared" si="83"/>
        <v>28511.985000000001</v>
      </c>
      <c r="CF39" s="14">
        <f t="shared" si="68"/>
        <v>3951.5734625</v>
      </c>
      <c r="CG39" s="14">
        <f t="shared" si="20"/>
        <v>32463.558462500001</v>
      </c>
      <c r="CH39" s="14"/>
      <c r="CI39" s="14">
        <f t="shared" si="84"/>
        <v>559143.88199999998</v>
      </c>
      <c r="CJ39" s="14">
        <f t="shared" si="69"/>
        <v>77493.661905000001</v>
      </c>
      <c r="CK39" s="14">
        <f t="shared" si="21"/>
        <v>636637.54390499997</v>
      </c>
      <c r="CL39" s="14"/>
      <c r="CM39" s="14">
        <f t="shared" si="85"/>
        <v>28674.009000000002</v>
      </c>
      <c r="CN39" s="14">
        <f t="shared" si="70"/>
        <v>3974.0289225000001</v>
      </c>
      <c r="CO39" s="14">
        <f t="shared" si="29"/>
        <v>32648.037922500003</v>
      </c>
      <c r="CP39" s="14"/>
      <c r="CQ39" s="14">
        <f t="shared" si="86"/>
        <v>71894.381999999998</v>
      </c>
      <c r="CR39" s="14">
        <f t="shared" si="71"/>
        <v>9964.0881549999995</v>
      </c>
      <c r="CS39" s="14">
        <f t="shared" si="22"/>
        <v>81858.470155000003</v>
      </c>
      <c r="CT39" s="14"/>
      <c r="CU39" s="14">
        <f t="shared" si="87"/>
        <v>727013.46299999999</v>
      </c>
      <c r="CV39" s="14">
        <f t="shared" si="72"/>
        <v>100759.2809575</v>
      </c>
      <c r="CW39" s="14">
        <f t="shared" si="23"/>
        <v>827772.74395749997</v>
      </c>
      <c r="CX39" s="14"/>
      <c r="CY39" s="14"/>
      <c r="CZ39" s="14"/>
      <c r="DA39" s="14"/>
      <c r="DB39" s="14"/>
      <c r="DC39" s="14"/>
      <c r="DD39" s="14"/>
      <c r="DE39" s="14">
        <f t="shared" si="24"/>
        <v>0</v>
      </c>
    </row>
    <row r="40" spans="1:109" x14ac:dyDescent="0.2">
      <c r="A40" s="2">
        <v>44652</v>
      </c>
      <c r="F40" s="15">
        <v>535025</v>
      </c>
      <c r="H40" s="15">
        <f t="shared" si="3"/>
        <v>535025</v>
      </c>
      <c r="I40" s="15">
        <f t="shared" si="4"/>
        <v>535025</v>
      </c>
      <c r="L40" s="14">
        <v>90115</v>
      </c>
      <c r="M40" s="14">
        <f t="shared" si="27"/>
        <v>90115</v>
      </c>
      <c r="O40" s="14"/>
      <c r="P40" s="15">
        <f t="shared" si="5"/>
        <v>444909.77620500006</v>
      </c>
      <c r="Q40" s="14">
        <f t="shared" si="0"/>
        <v>444909.77620500006</v>
      </c>
      <c r="S40" s="3"/>
      <c r="T40" s="3">
        <f t="shared" si="52"/>
        <v>1497.0534525</v>
      </c>
      <c r="U40" s="3">
        <f t="shared" si="6"/>
        <v>1497.0534525</v>
      </c>
      <c r="W40" s="3"/>
      <c r="X40" s="3">
        <f t="shared" si="53"/>
        <v>8057.4229974999998</v>
      </c>
      <c r="Y40" s="3">
        <f t="shared" si="7"/>
        <v>8057.4229974999998</v>
      </c>
      <c r="AB40" s="14">
        <f t="shared" si="54"/>
        <v>12630.281672499999</v>
      </c>
      <c r="AC40" s="14">
        <f t="shared" si="31"/>
        <v>12630.281672499999</v>
      </c>
      <c r="AE40" s="3"/>
      <c r="AF40" s="3">
        <f t="shared" si="55"/>
        <v>2622.2110275</v>
      </c>
      <c r="AG40" s="3">
        <f t="shared" si="8"/>
        <v>2622.2110275</v>
      </c>
      <c r="AI40" s="3"/>
      <c r="AJ40" s="3">
        <f t="shared" si="56"/>
        <v>159064.3770675</v>
      </c>
      <c r="AK40" s="3">
        <f t="shared" si="9"/>
        <v>159064.3770675</v>
      </c>
      <c r="AL40" s="14"/>
      <c r="AM40" s="3"/>
      <c r="AN40" s="3">
        <f t="shared" si="57"/>
        <v>883.37977749999993</v>
      </c>
      <c r="AO40" s="3">
        <f t="shared" si="10"/>
        <v>883.37977749999993</v>
      </c>
      <c r="AP40" s="14"/>
      <c r="AQ40" s="14"/>
      <c r="AR40" s="14">
        <f t="shared" si="58"/>
        <v>3076.2332425</v>
      </c>
      <c r="AS40" s="14">
        <f t="shared" si="11"/>
        <v>3076.2332425</v>
      </c>
      <c r="AT40" s="14"/>
      <c r="AU40" s="14"/>
      <c r="AV40" s="14">
        <f t="shared" si="59"/>
        <v>23532.75361</v>
      </c>
      <c r="AW40" s="14">
        <f t="shared" si="12"/>
        <v>23532.75361</v>
      </c>
      <c r="AX40" s="14"/>
      <c r="AY40" s="14"/>
      <c r="AZ40" s="14">
        <f t="shared" si="60"/>
        <v>7413.6809174999999</v>
      </c>
      <c r="BA40" s="14">
        <f t="shared" si="13"/>
        <v>7413.6809174999999</v>
      </c>
      <c r="BB40" s="14"/>
      <c r="BC40" s="14"/>
      <c r="BD40" s="14">
        <f t="shared" si="61"/>
        <v>33544.676435000001</v>
      </c>
      <c r="BE40" s="14">
        <f t="shared" si="14"/>
        <v>33544.676435000001</v>
      </c>
      <c r="BF40" s="14"/>
      <c r="BG40" s="14"/>
      <c r="BH40" s="14">
        <f t="shared" si="62"/>
        <v>9.5234449999999988</v>
      </c>
      <c r="BI40" s="14">
        <f t="shared" si="15"/>
        <v>9.5234449999999988</v>
      </c>
      <c r="BJ40" s="14"/>
      <c r="BK40" s="14"/>
      <c r="BL40" s="14">
        <f t="shared" si="63"/>
        <v>4314.9766249999993</v>
      </c>
      <c r="BM40" s="14">
        <f t="shared" si="1"/>
        <v>4314.9766249999993</v>
      </c>
      <c r="BN40" s="14"/>
      <c r="BO40" s="14"/>
      <c r="BP40" s="14">
        <f t="shared" si="64"/>
        <v>2409.9666100000004</v>
      </c>
      <c r="BQ40" s="14">
        <f t="shared" si="16"/>
        <v>2409.9666100000004</v>
      </c>
      <c r="BR40" s="14"/>
      <c r="BS40" s="14"/>
      <c r="BT40" s="14">
        <f t="shared" si="65"/>
        <v>1611.8698175</v>
      </c>
      <c r="BU40" s="14">
        <f t="shared" si="17"/>
        <v>1611.8698175</v>
      </c>
      <c r="BV40" s="14"/>
      <c r="BW40" s="14"/>
      <c r="BX40" s="14">
        <f t="shared" si="66"/>
        <v>1780.5096974999999</v>
      </c>
      <c r="BY40" s="14">
        <f t="shared" si="18"/>
        <v>1780.5096974999999</v>
      </c>
      <c r="BZ40" s="14"/>
      <c r="CA40" s="14"/>
      <c r="CB40" s="14">
        <f t="shared" si="67"/>
        <v>21699.169432499999</v>
      </c>
      <c r="CC40" s="14">
        <f t="shared" si="19"/>
        <v>21699.169432499999</v>
      </c>
      <c r="CD40" s="14"/>
      <c r="CE40" s="14"/>
      <c r="CF40" s="14">
        <f t="shared" si="68"/>
        <v>3238.7738374999999</v>
      </c>
      <c r="CG40" s="14">
        <f t="shared" si="20"/>
        <v>3238.7738374999999</v>
      </c>
      <c r="CH40" s="14"/>
      <c r="CI40" s="14"/>
      <c r="CJ40" s="14">
        <f t="shared" si="69"/>
        <v>63515.064855000004</v>
      </c>
      <c r="CK40" s="14">
        <f t="shared" si="21"/>
        <v>63515.064855000004</v>
      </c>
      <c r="CL40" s="14"/>
      <c r="CM40" s="14"/>
      <c r="CN40" s="14">
        <f t="shared" si="70"/>
        <v>3257.1786975</v>
      </c>
      <c r="CO40" s="14">
        <f t="shared" si="29"/>
        <v>3257.1786975</v>
      </c>
      <c r="CP40" s="14"/>
      <c r="CQ40" s="14"/>
      <c r="CR40" s="14">
        <f t="shared" si="71"/>
        <v>8166.7286050000002</v>
      </c>
      <c r="CS40" s="14">
        <f t="shared" si="22"/>
        <v>8166.7286050000002</v>
      </c>
      <c r="CT40" s="14"/>
      <c r="CU40" s="14"/>
      <c r="CV40" s="14">
        <f t="shared" si="72"/>
        <v>82583.944382500005</v>
      </c>
      <c r="CW40" s="14">
        <f t="shared" si="23"/>
        <v>82583.944382500005</v>
      </c>
      <c r="CX40" s="14"/>
      <c r="CY40" s="14"/>
      <c r="CZ40" s="14"/>
      <c r="DA40" s="14"/>
      <c r="DB40" s="14"/>
      <c r="DC40" s="14"/>
      <c r="DD40" s="14"/>
      <c r="DE40" s="14">
        <f t="shared" si="24"/>
        <v>0</v>
      </c>
    </row>
    <row r="41" spans="1:109" x14ac:dyDescent="0.2">
      <c r="A41" s="2">
        <v>44835</v>
      </c>
      <c r="E41" s="15">
        <v>4960000</v>
      </c>
      <c r="F41" s="15">
        <v>535025</v>
      </c>
      <c r="G41" s="15">
        <f t="shared" si="25"/>
        <v>4960000</v>
      </c>
      <c r="H41" s="15">
        <f t="shared" si="3"/>
        <v>535025</v>
      </c>
      <c r="I41" s="15">
        <f t="shared" si="4"/>
        <v>5495025</v>
      </c>
      <c r="K41" s="14">
        <v>835422</v>
      </c>
      <c r="L41" s="14">
        <v>90115</v>
      </c>
      <c r="M41" s="14">
        <f t="shared" si="27"/>
        <v>925537</v>
      </c>
      <c r="O41" s="14">
        <f t="shared" si="28"/>
        <v>4124578.2720000008</v>
      </c>
      <c r="P41" s="15">
        <f t="shared" si="5"/>
        <v>444909.77620500006</v>
      </c>
      <c r="Q41" s="14">
        <f t="shared" si="0"/>
        <v>4569488.0482050013</v>
      </c>
      <c r="S41" s="3">
        <f>G41*$U$7</f>
        <v>13878.575999999999</v>
      </c>
      <c r="T41" s="3">
        <f t="shared" si="52"/>
        <v>1497.0534525</v>
      </c>
      <c r="U41" s="3">
        <f t="shared" si="6"/>
        <v>15375.629452499999</v>
      </c>
      <c r="W41" s="3">
        <f>G41*$Y$7</f>
        <v>74697.103999999992</v>
      </c>
      <c r="X41" s="3">
        <f t="shared" si="53"/>
        <v>8057.4229974999998</v>
      </c>
      <c r="Y41" s="3">
        <f t="shared" si="7"/>
        <v>82754.526997499997</v>
      </c>
      <c r="AA41" s="14">
        <f t="shared" si="88"/>
        <v>117090.224</v>
      </c>
      <c r="AB41" s="14">
        <f t="shared" si="54"/>
        <v>12630.281672499999</v>
      </c>
      <c r="AC41" s="14">
        <f t="shared" si="31"/>
        <v>129720.5056725</v>
      </c>
      <c r="AE41" s="3">
        <f t="shared" si="89"/>
        <v>24309.456000000002</v>
      </c>
      <c r="AF41" s="3">
        <f t="shared" si="55"/>
        <v>2622.2110275</v>
      </c>
      <c r="AG41" s="3">
        <f t="shared" si="8"/>
        <v>26931.667027500003</v>
      </c>
      <c r="AI41" s="3">
        <f>G41*$AK$7</f>
        <v>1474621.392</v>
      </c>
      <c r="AJ41" s="3">
        <f t="shared" si="56"/>
        <v>159064.3770675</v>
      </c>
      <c r="AK41" s="3">
        <f t="shared" si="9"/>
        <v>1633685.7690675</v>
      </c>
      <c r="AL41" s="14"/>
      <c r="AM41" s="3">
        <f>G41*$AO$7</f>
        <v>8189.4560000000001</v>
      </c>
      <c r="AN41" s="3">
        <f t="shared" si="57"/>
        <v>883.37977749999993</v>
      </c>
      <c r="AO41" s="3">
        <f t="shared" si="10"/>
        <v>9072.8357775000004</v>
      </c>
      <c r="AP41" s="14"/>
      <c r="AQ41" s="14">
        <f t="shared" si="73"/>
        <v>28518.511999999999</v>
      </c>
      <c r="AR41" s="14">
        <f t="shared" si="58"/>
        <v>3076.2332425</v>
      </c>
      <c r="AS41" s="14">
        <f t="shared" si="11"/>
        <v>31594.745242499997</v>
      </c>
      <c r="AT41" s="14"/>
      <c r="AU41" s="14">
        <f t="shared" si="74"/>
        <v>218162.62400000001</v>
      </c>
      <c r="AV41" s="14">
        <f t="shared" si="59"/>
        <v>23532.75361</v>
      </c>
      <c r="AW41" s="14">
        <f t="shared" si="12"/>
        <v>241695.37761000003</v>
      </c>
      <c r="AX41" s="14"/>
      <c r="AY41" s="14">
        <f t="shared" si="75"/>
        <v>68729.232000000004</v>
      </c>
      <c r="AZ41" s="14">
        <f t="shared" si="60"/>
        <v>7413.6809174999999</v>
      </c>
      <c r="BA41" s="14">
        <f t="shared" si="13"/>
        <v>76142.912917499998</v>
      </c>
      <c r="BB41" s="14"/>
      <c r="BC41" s="14">
        <f t="shared" si="76"/>
        <v>310979.10399999999</v>
      </c>
      <c r="BD41" s="14">
        <f t="shared" si="61"/>
        <v>33544.676435000001</v>
      </c>
      <c r="BE41" s="14">
        <f t="shared" si="14"/>
        <v>344523.78043499996</v>
      </c>
      <c r="BF41" s="14"/>
      <c r="BG41" s="14">
        <f t="shared" si="77"/>
        <v>88.287999999999997</v>
      </c>
      <c r="BH41" s="14">
        <f t="shared" si="62"/>
        <v>9.5234449999999988</v>
      </c>
      <c r="BI41" s="14">
        <f t="shared" si="15"/>
        <v>97.811444999999992</v>
      </c>
      <c r="BJ41" s="14"/>
      <c r="BK41" s="14">
        <f t="shared" si="78"/>
        <v>40002.399999999994</v>
      </c>
      <c r="BL41" s="14">
        <f t="shared" si="63"/>
        <v>4314.9766249999993</v>
      </c>
      <c r="BM41" s="14">
        <f t="shared" si="1"/>
        <v>44317.37662499999</v>
      </c>
      <c r="BN41" s="14"/>
      <c r="BO41" s="14">
        <f t="shared" si="79"/>
        <v>22341.824000000001</v>
      </c>
      <c r="BP41" s="14">
        <f t="shared" si="64"/>
        <v>2409.9666100000004</v>
      </c>
      <c r="BQ41" s="14">
        <f t="shared" si="16"/>
        <v>24751.79061</v>
      </c>
      <c r="BR41" s="14"/>
      <c r="BS41" s="14">
        <f t="shared" si="80"/>
        <v>14942.992</v>
      </c>
      <c r="BT41" s="14">
        <f t="shared" si="65"/>
        <v>1611.8698175</v>
      </c>
      <c r="BU41" s="14">
        <f t="shared" si="17"/>
        <v>16554.861817500001</v>
      </c>
      <c r="BV41" s="14"/>
      <c r="BW41" s="14">
        <f t="shared" si="81"/>
        <v>16506.383999999998</v>
      </c>
      <c r="BX41" s="14">
        <f t="shared" si="66"/>
        <v>1780.5096974999999</v>
      </c>
      <c r="BY41" s="14">
        <f t="shared" si="18"/>
        <v>18286.8936975</v>
      </c>
      <c r="BZ41" s="14"/>
      <c r="CA41" s="14">
        <f t="shared" si="82"/>
        <v>201164.20799999998</v>
      </c>
      <c r="CB41" s="14">
        <f t="shared" si="67"/>
        <v>21699.169432499999</v>
      </c>
      <c r="CC41" s="14">
        <f t="shared" si="19"/>
        <v>222863.37743249998</v>
      </c>
      <c r="CD41" s="14"/>
      <c r="CE41" s="14">
        <f t="shared" si="83"/>
        <v>30025.360000000001</v>
      </c>
      <c r="CF41" s="14">
        <f t="shared" si="68"/>
        <v>3238.7738374999999</v>
      </c>
      <c r="CG41" s="14">
        <f t="shared" si="20"/>
        <v>33264.133837499998</v>
      </c>
      <c r="CH41" s="14"/>
      <c r="CI41" s="14">
        <f t="shared" si="84"/>
        <v>588822.43200000003</v>
      </c>
      <c r="CJ41" s="14">
        <f t="shared" si="69"/>
        <v>63515.064855000004</v>
      </c>
      <c r="CK41" s="14">
        <f t="shared" si="21"/>
        <v>652337.49685500003</v>
      </c>
      <c r="CL41" s="14"/>
      <c r="CM41" s="14">
        <f t="shared" si="85"/>
        <v>30195.984</v>
      </c>
      <c r="CN41" s="14">
        <f t="shared" si="70"/>
        <v>3257.1786975</v>
      </c>
      <c r="CO41" s="14">
        <f t="shared" si="29"/>
        <v>33453.162697500004</v>
      </c>
      <c r="CP41" s="14"/>
      <c r="CQ41" s="14">
        <f t="shared" si="86"/>
        <v>75710.432000000001</v>
      </c>
      <c r="CR41" s="14">
        <f t="shared" si="71"/>
        <v>8166.7286050000002</v>
      </c>
      <c r="CS41" s="14">
        <f t="shared" si="22"/>
        <v>83877.160604999997</v>
      </c>
      <c r="CT41" s="14"/>
      <c r="CU41" s="14">
        <f t="shared" si="87"/>
        <v>765602.28800000006</v>
      </c>
      <c r="CV41" s="14">
        <f t="shared" si="72"/>
        <v>82583.944382500005</v>
      </c>
      <c r="CW41" s="14">
        <f t="shared" si="23"/>
        <v>848186.23238250008</v>
      </c>
      <c r="CX41" s="14"/>
      <c r="CY41" s="14"/>
      <c r="CZ41" s="14"/>
      <c r="DA41" s="14"/>
      <c r="DB41" s="14"/>
      <c r="DC41" s="14"/>
      <c r="DD41" s="14"/>
      <c r="DE41" s="14">
        <f t="shared" si="24"/>
        <v>0</v>
      </c>
    </row>
    <row r="42" spans="1:109" x14ac:dyDescent="0.2">
      <c r="A42" s="2">
        <v>45017</v>
      </c>
      <c r="F42" s="15">
        <v>411025</v>
      </c>
      <c r="H42" s="15">
        <f t="shared" si="3"/>
        <v>411025</v>
      </c>
      <c r="I42" s="15">
        <f t="shared" si="4"/>
        <v>411025</v>
      </c>
      <c r="L42" s="14">
        <v>69230</v>
      </c>
      <c r="M42" s="14">
        <f t="shared" si="27"/>
        <v>69230</v>
      </c>
      <c r="O42" s="14"/>
      <c r="P42" s="15">
        <f t="shared" si="5"/>
        <v>341795.31940500007</v>
      </c>
      <c r="Q42" s="14">
        <f t="shared" si="0"/>
        <v>341795.31940500007</v>
      </c>
      <c r="S42" s="3"/>
      <c r="T42" s="3">
        <f t="shared" si="52"/>
        <v>1150.0890525</v>
      </c>
      <c r="U42" s="3">
        <f t="shared" si="6"/>
        <v>1150.0890525</v>
      </c>
      <c r="W42" s="3"/>
      <c r="X42" s="3">
        <f t="shared" si="53"/>
        <v>6189.9953974999999</v>
      </c>
      <c r="Y42" s="3">
        <f t="shared" si="7"/>
        <v>6189.9953974999999</v>
      </c>
      <c r="AB42" s="14">
        <f t="shared" si="54"/>
        <v>9703.0260725000007</v>
      </c>
      <c r="AC42" s="14">
        <f t="shared" si="31"/>
        <v>9703.0260725000007</v>
      </c>
      <c r="AE42" s="3"/>
      <c r="AF42" s="3">
        <f t="shared" si="55"/>
        <v>2014.4746275</v>
      </c>
      <c r="AG42" s="3">
        <f t="shared" si="8"/>
        <v>2014.4746275</v>
      </c>
      <c r="AI42" s="3"/>
      <c r="AJ42" s="3">
        <f t="shared" si="56"/>
        <v>122198.84226749999</v>
      </c>
      <c r="AK42" s="3">
        <f t="shared" si="9"/>
        <v>122198.84226749999</v>
      </c>
      <c r="AL42" s="14"/>
      <c r="AM42" s="3"/>
      <c r="AN42" s="3">
        <f t="shared" si="57"/>
        <v>678.64337749999993</v>
      </c>
      <c r="AO42" s="3">
        <f t="shared" si="10"/>
        <v>678.64337749999993</v>
      </c>
      <c r="AP42" s="14"/>
      <c r="AQ42" s="14"/>
      <c r="AR42" s="14">
        <f t="shared" si="58"/>
        <v>2363.2704425000002</v>
      </c>
      <c r="AS42" s="14">
        <f t="shared" si="11"/>
        <v>2363.2704425000002</v>
      </c>
      <c r="AT42" s="14"/>
      <c r="AU42" s="14"/>
      <c r="AV42" s="14">
        <f t="shared" si="59"/>
        <v>18078.688010000002</v>
      </c>
      <c r="AW42" s="14">
        <f t="shared" si="12"/>
        <v>18078.688010000002</v>
      </c>
      <c r="AX42" s="14"/>
      <c r="AY42" s="14"/>
      <c r="AZ42" s="14">
        <f t="shared" si="60"/>
        <v>5695.4501174999996</v>
      </c>
      <c r="BA42" s="14">
        <f t="shared" si="13"/>
        <v>5695.4501174999996</v>
      </c>
      <c r="BB42" s="14"/>
      <c r="BC42" s="14"/>
      <c r="BD42" s="14">
        <f t="shared" si="61"/>
        <v>25770.198834999999</v>
      </c>
      <c r="BE42" s="14">
        <f t="shared" si="14"/>
        <v>25770.198834999999</v>
      </c>
      <c r="BF42" s="14"/>
      <c r="BG42" s="14"/>
      <c r="BH42" s="14">
        <f t="shared" si="62"/>
        <v>7.3162449999999994</v>
      </c>
      <c r="BI42" s="14">
        <f t="shared" si="15"/>
        <v>7.3162449999999994</v>
      </c>
      <c r="BJ42" s="14"/>
      <c r="BK42" s="14"/>
      <c r="BL42" s="14">
        <f t="shared" si="63"/>
        <v>3314.9166249999998</v>
      </c>
      <c r="BM42" s="14">
        <f t="shared" si="1"/>
        <v>3314.9166249999998</v>
      </c>
      <c r="BN42" s="14"/>
      <c r="BO42" s="14"/>
      <c r="BP42" s="14">
        <f t="shared" si="64"/>
        <v>1851.4210100000003</v>
      </c>
      <c r="BQ42" s="14">
        <f t="shared" si="16"/>
        <v>1851.4210100000003</v>
      </c>
      <c r="BR42" s="14"/>
      <c r="BS42" s="14"/>
      <c r="BT42" s="14">
        <f t="shared" si="65"/>
        <v>1238.2950175000001</v>
      </c>
      <c r="BU42" s="14">
        <f t="shared" si="17"/>
        <v>1238.2950175000001</v>
      </c>
      <c r="BV42" s="14"/>
      <c r="BW42" s="14"/>
      <c r="BX42" s="14">
        <f t="shared" si="66"/>
        <v>1367.8500974999999</v>
      </c>
      <c r="BY42" s="14">
        <f t="shared" si="18"/>
        <v>1367.8500974999999</v>
      </c>
      <c r="BZ42" s="14"/>
      <c r="CA42" s="14"/>
      <c r="CB42" s="14">
        <f t="shared" si="67"/>
        <v>16670.064232500001</v>
      </c>
      <c r="CC42" s="14">
        <f t="shared" si="19"/>
        <v>16670.064232500001</v>
      </c>
      <c r="CD42" s="14"/>
      <c r="CE42" s="14"/>
      <c r="CF42" s="14">
        <f t="shared" si="68"/>
        <v>2488.1398374999999</v>
      </c>
      <c r="CG42" s="14">
        <f t="shared" si="20"/>
        <v>2488.1398374999999</v>
      </c>
      <c r="CH42" s="14"/>
      <c r="CI42" s="14"/>
      <c r="CJ42" s="14">
        <f t="shared" si="69"/>
        <v>48794.504055000005</v>
      </c>
      <c r="CK42" s="14">
        <f t="shared" si="21"/>
        <v>48794.504055000005</v>
      </c>
      <c r="CL42" s="14"/>
      <c r="CM42" s="14"/>
      <c r="CN42" s="14">
        <f t="shared" si="70"/>
        <v>2502.2790975000003</v>
      </c>
      <c r="CO42" s="14">
        <f t="shared" si="29"/>
        <v>2502.2790975000003</v>
      </c>
      <c r="CP42" s="14"/>
      <c r="CQ42" s="14"/>
      <c r="CR42" s="14">
        <f t="shared" si="71"/>
        <v>6273.9678050000002</v>
      </c>
      <c r="CS42" s="14">
        <f t="shared" si="22"/>
        <v>6273.9678050000002</v>
      </c>
      <c r="CT42" s="14"/>
      <c r="CU42" s="14"/>
      <c r="CV42" s="14">
        <f t="shared" si="72"/>
        <v>63443.887182500002</v>
      </c>
      <c r="CW42" s="14">
        <f t="shared" si="23"/>
        <v>63443.887182500002</v>
      </c>
      <c r="CX42" s="14"/>
      <c r="CY42" s="14"/>
      <c r="CZ42" s="14"/>
      <c r="DA42" s="14"/>
      <c r="DB42" s="14"/>
      <c r="DC42" s="14"/>
      <c r="DD42" s="14"/>
      <c r="DE42" s="14">
        <f t="shared" si="24"/>
        <v>0</v>
      </c>
    </row>
    <row r="43" spans="1:109" x14ac:dyDescent="0.2">
      <c r="A43" s="2">
        <v>45200</v>
      </c>
      <c r="E43" s="15">
        <v>5180000</v>
      </c>
      <c r="F43" s="15">
        <v>411025</v>
      </c>
      <c r="G43" s="15">
        <f t="shared" si="25"/>
        <v>5180000</v>
      </c>
      <c r="H43" s="15">
        <f t="shared" si="3"/>
        <v>411025</v>
      </c>
      <c r="I43" s="15">
        <f t="shared" si="4"/>
        <v>5591025</v>
      </c>
      <c r="K43" s="14">
        <v>872477</v>
      </c>
      <c r="L43" s="14">
        <v>69230</v>
      </c>
      <c r="M43" s="14">
        <f t="shared" si="27"/>
        <v>941707</v>
      </c>
      <c r="O43" s="14">
        <f t="shared" si="28"/>
        <v>4307523.2759999996</v>
      </c>
      <c r="P43" s="15">
        <f t="shared" si="5"/>
        <v>341795.31940500007</v>
      </c>
      <c r="Q43" s="14">
        <f t="shared" si="0"/>
        <v>4649318.5954049993</v>
      </c>
      <c r="S43" s="3">
        <f>G43*$U$7</f>
        <v>14494.157999999999</v>
      </c>
      <c r="T43" s="3">
        <f t="shared" si="52"/>
        <v>1150.0890525</v>
      </c>
      <c r="U43" s="3">
        <f t="shared" si="6"/>
        <v>15644.247052499999</v>
      </c>
      <c r="W43" s="3">
        <f>G43*$Y$7</f>
        <v>78010.281999999992</v>
      </c>
      <c r="X43" s="3">
        <f t="shared" si="53"/>
        <v>6189.9953974999999</v>
      </c>
      <c r="Y43" s="3">
        <f t="shared" si="7"/>
        <v>84200.277397499987</v>
      </c>
      <c r="AA43" s="14">
        <f t="shared" si="88"/>
        <v>122283.742</v>
      </c>
      <c r="AB43" s="14">
        <f t="shared" si="54"/>
        <v>9703.0260725000007</v>
      </c>
      <c r="AC43" s="14">
        <f t="shared" si="31"/>
        <v>131986.76807250001</v>
      </c>
      <c r="AE43" s="3">
        <f t="shared" si="89"/>
        <v>25387.698</v>
      </c>
      <c r="AF43" s="3">
        <f t="shared" si="55"/>
        <v>2014.4746275</v>
      </c>
      <c r="AG43" s="3">
        <f t="shared" si="8"/>
        <v>27402.1726275</v>
      </c>
      <c r="AI43" s="3">
        <f t="shared" ref="AI43:AI49" si="90">G43*$AK$7</f>
        <v>1540027.9859999998</v>
      </c>
      <c r="AJ43" s="3">
        <f t="shared" si="56"/>
        <v>122198.84226749999</v>
      </c>
      <c r="AK43" s="3">
        <f t="shared" si="9"/>
        <v>1662226.8282674998</v>
      </c>
      <c r="AL43" s="14"/>
      <c r="AM43" s="3">
        <f t="shared" ref="AM43:AM49" si="91">G43*$AO$7</f>
        <v>8552.6980000000003</v>
      </c>
      <c r="AN43" s="3">
        <f t="shared" si="57"/>
        <v>678.64337749999993</v>
      </c>
      <c r="AO43" s="3">
        <f t="shared" si="10"/>
        <v>9231.3413775000008</v>
      </c>
      <c r="AP43" s="14"/>
      <c r="AQ43" s="14">
        <f t="shared" si="73"/>
        <v>29783.446</v>
      </c>
      <c r="AR43" s="14">
        <f t="shared" si="58"/>
        <v>2363.2704425000002</v>
      </c>
      <c r="AS43" s="14">
        <f t="shared" si="11"/>
        <v>32146.716442500001</v>
      </c>
      <c r="AT43" s="14"/>
      <c r="AU43" s="14">
        <f t="shared" si="74"/>
        <v>227839.19200000001</v>
      </c>
      <c r="AV43" s="14">
        <f t="shared" si="59"/>
        <v>18078.688010000002</v>
      </c>
      <c r="AW43" s="14">
        <f t="shared" si="12"/>
        <v>245917.88001000002</v>
      </c>
      <c r="AX43" s="14"/>
      <c r="AY43" s="14">
        <f t="shared" si="75"/>
        <v>71777.705999999991</v>
      </c>
      <c r="AZ43" s="14">
        <f t="shared" si="60"/>
        <v>5695.4501174999996</v>
      </c>
      <c r="BA43" s="14">
        <f t="shared" si="13"/>
        <v>77473.156117499995</v>
      </c>
      <c r="BB43" s="14"/>
      <c r="BC43" s="14">
        <f t="shared" si="76"/>
        <v>324772.53200000001</v>
      </c>
      <c r="BD43" s="14">
        <f t="shared" si="61"/>
        <v>25770.198834999999</v>
      </c>
      <c r="BE43" s="14">
        <f t="shared" si="14"/>
        <v>350542.73083499999</v>
      </c>
      <c r="BF43" s="14"/>
      <c r="BG43" s="14">
        <f t="shared" si="77"/>
        <v>92.203999999999994</v>
      </c>
      <c r="BH43" s="14">
        <f t="shared" si="62"/>
        <v>7.3162449999999994</v>
      </c>
      <c r="BI43" s="14">
        <f t="shared" si="15"/>
        <v>99.520244999999989</v>
      </c>
      <c r="BJ43" s="14"/>
      <c r="BK43" s="14">
        <f t="shared" si="78"/>
        <v>41776.699999999997</v>
      </c>
      <c r="BL43" s="14">
        <f t="shared" si="63"/>
        <v>3314.9166249999998</v>
      </c>
      <c r="BM43" s="14">
        <f t="shared" si="1"/>
        <v>45091.616624999995</v>
      </c>
      <c r="BN43" s="14"/>
      <c r="BO43" s="14">
        <f t="shared" si="79"/>
        <v>23332.792000000001</v>
      </c>
      <c r="BP43" s="14">
        <f t="shared" si="64"/>
        <v>1851.4210100000003</v>
      </c>
      <c r="BQ43" s="14">
        <f t="shared" si="16"/>
        <v>25184.213010000003</v>
      </c>
      <c r="BR43" s="14"/>
      <c r="BS43" s="14">
        <f t="shared" si="80"/>
        <v>15605.786</v>
      </c>
      <c r="BT43" s="14">
        <f t="shared" si="65"/>
        <v>1238.2950175000001</v>
      </c>
      <c r="BU43" s="14">
        <f t="shared" si="17"/>
        <v>16844.081017500001</v>
      </c>
      <c r="BV43" s="14"/>
      <c r="BW43" s="14">
        <f t="shared" si="81"/>
        <v>17238.522000000001</v>
      </c>
      <c r="BX43" s="14">
        <f t="shared" si="66"/>
        <v>1367.8500974999999</v>
      </c>
      <c r="BY43" s="14">
        <f t="shared" si="18"/>
        <v>18606.3720975</v>
      </c>
      <c r="BZ43" s="14"/>
      <c r="CA43" s="14">
        <f t="shared" si="82"/>
        <v>210086.81399999998</v>
      </c>
      <c r="CB43" s="14">
        <f t="shared" si="67"/>
        <v>16670.064232500001</v>
      </c>
      <c r="CC43" s="14">
        <f t="shared" si="19"/>
        <v>226756.87823249999</v>
      </c>
      <c r="CD43" s="14"/>
      <c r="CE43" s="14">
        <f t="shared" si="83"/>
        <v>31357.13</v>
      </c>
      <c r="CF43" s="14">
        <f t="shared" si="68"/>
        <v>2488.1398374999999</v>
      </c>
      <c r="CG43" s="14">
        <f t="shared" si="20"/>
        <v>33845.269837500004</v>
      </c>
      <c r="CH43" s="14"/>
      <c r="CI43" s="14">
        <f t="shared" si="84"/>
        <v>614939.55599999998</v>
      </c>
      <c r="CJ43" s="14">
        <f t="shared" si="69"/>
        <v>48794.504055000005</v>
      </c>
      <c r="CK43" s="14">
        <f t="shared" si="21"/>
        <v>663734.06005500001</v>
      </c>
      <c r="CL43" s="14"/>
      <c r="CM43" s="14">
        <f t="shared" si="85"/>
        <v>31535.322</v>
      </c>
      <c r="CN43" s="14">
        <f t="shared" si="70"/>
        <v>2502.2790975000003</v>
      </c>
      <c r="CO43" s="14">
        <f t="shared" si="29"/>
        <v>34037.601097500003</v>
      </c>
      <c r="CP43" s="14"/>
      <c r="CQ43" s="14">
        <f t="shared" si="86"/>
        <v>79068.555999999997</v>
      </c>
      <c r="CR43" s="14">
        <f t="shared" si="71"/>
        <v>6273.9678050000002</v>
      </c>
      <c r="CS43" s="14">
        <f t="shared" si="22"/>
        <v>85342.523805000004</v>
      </c>
      <c r="CT43" s="14"/>
      <c r="CU43" s="14">
        <f t="shared" si="87"/>
        <v>799560.45400000003</v>
      </c>
      <c r="CV43" s="14">
        <f t="shared" si="72"/>
        <v>63443.887182500002</v>
      </c>
      <c r="CW43" s="14">
        <f t="shared" si="23"/>
        <v>863004.34118250001</v>
      </c>
      <c r="CX43" s="14"/>
      <c r="CY43" s="14"/>
      <c r="CZ43" s="14"/>
      <c r="DA43" s="14"/>
      <c r="DB43" s="14"/>
      <c r="DC43" s="14"/>
      <c r="DD43" s="14"/>
      <c r="DE43" s="14">
        <f t="shared" si="24"/>
        <v>0</v>
      </c>
    </row>
    <row r="44" spans="1:109" x14ac:dyDescent="0.2">
      <c r="A44" s="2">
        <v>45383</v>
      </c>
      <c r="F44" s="15">
        <v>307425</v>
      </c>
      <c r="H44" s="15">
        <f t="shared" si="3"/>
        <v>307425</v>
      </c>
      <c r="I44" s="15">
        <f t="shared" si="4"/>
        <v>307425</v>
      </c>
      <c r="L44" s="14">
        <v>51780</v>
      </c>
      <c r="M44" s="14">
        <f t="shared" si="27"/>
        <v>51780</v>
      </c>
      <c r="O44" s="14"/>
      <c r="P44" s="15">
        <f t="shared" si="5"/>
        <v>255644.85388500002</v>
      </c>
      <c r="Q44" s="14">
        <f t="shared" si="0"/>
        <v>255644.85388500002</v>
      </c>
      <c r="S44" s="3"/>
      <c r="T44" s="3">
        <f t="shared" si="52"/>
        <v>860.2058925</v>
      </c>
      <c r="U44" s="3">
        <f t="shared" si="6"/>
        <v>860.2058925</v>
      </c>
      <c r="W44" s="3"/>
      <c r="X44" s="3">
        <f t="shared" si="53"/>
        <v>4629.7897574999997</v>
      </c>
      <c r="Y44" s="3">
        <f t="shared" si="7"/>
        <v>4629.7897574999997</v>
      </c>
      <c r="AB44" s="14">
        <f t="shared" si="54"/>
        <v>7257.3512325000002</v>
      </c>
      <c r="AC44" s="14">
        <f t="shared" si="31"/>
        <v>7257.3512325000002</v>
      </c>
      <c r="AE44" s="3"/>
      <c r="AF44" s="3">
        <f t="shared" si="55"/>
        <v>1506.7206675</v>
      </c>
      <c r="AG44" s="3">
        <f t="shared" si="8"/>
        <v>1506.7206675</v>
      </c>
      <c r="AI44" s="3"/>
      <c r="AJ44" s="3">
        <f t="shared" si="56"/>
        <v>91398.282547499999</v>
      </c>
      <c r="AK44" s="3">
        <f t="shared" si="9"/>
        <v>91398.282547499999</v>
      </c>
      <c r="AL44" s="14"/>
      <c r="AM44" s="3"/>
      <c r="AN44" s="3">
        <f t="shared" si="57"/>
        <v>507.58941749999997</v>
      </c>
      <c r="AO44" s="3">
        <f t="shared" si="10"/>
        <v>507.58941749999997</v>
      </c>
      <c r="AP44" s="14"/>
      <c r="AQ44" s="14"/>
      <c r="AR44" s="14">
        <f t="shared" si="58"/>
        <v>1767.6015224999999</v>
      </c>
      <c r="AS44" s="14">
        <f t="shared" si="11"/>
        <v>1767.6015224999999</v>
      </c>
      <c r="AT44" s="14"/>
      <c r="AU44" s="14"/>
      <c r="AV44" s="14">
        <f t="shared" si="59"/>
        <v>13521.90417</v>
      </c>
      <c r="AW44" s="14">
        <f t="shared" si="12"/>
        <v>13521.90417</v>
      </c>
      <c r="AX44" s="14"/>
      <c r="AY44" s="14"/>
      <c r="AZ44" s="14">
        <f t="shared" si="60"/>
        <v>4259.8959974999998</v>
      </c>
      <c r="BA44" s="14">
        <f t="shared" si="13"/>
        <v>4259.8959974999998</v>
      </c>
      <c r="BB44" s="14"/>
      <c r="BC44" s="14"/>
      <c r="BD44" s="14">
        <f t="shared" si="61"/>
        <v>19274.748195</v>
      </c>
      <c r="BE44" s="14">
        <f t="shared" si="14"/>
        <v>19274.748195</v>
      </c>
      <c r="BF44" s="14"/>
      <c r="BG44" s="14"/>
      <c r="BH44" s="14">
        <f t="shared" si="62"/>
        <v>5.4721649999999995</v>
      </c>
      <c r="BI44" s="14">
        <f t="shared" si="15"/>
        <v>5.4721649999999995</v>
      </c>
      <c r="BJ44" s="14"/>
      <c r="BK44" s="14"/>
      <c r="BL44" s="14">
        <f t="shared" si="63"/>
        <v>2479.3826249999997</v>
      </c>
      <c r="BM44" s="14">
        <f t="shared" si="1"/>
        <v>2479.3826249999997</v>
      </c>
      <c r="BN44" s="14"/>
      <c r="BO44" s="14"/>
      <c r="BP44" s="14">
        <f t="shared" si="64"/>
        <v>1384.7651700000001</v>
      </c>
      <c r="BQ44" s="14">
        <f t="shared" si="16"/>
        <v>1384.7651700000001</v>
      </c>
      <c r="BR44" s="14"/>
      <c r="BS44" s="14"/>
      <c r="BT44" s="14">
        <f t="shared" si="65"/>
        <v>926.17929750000008</v>
      </c>
      <c r="BU44" s="14">
        <f t="shared" si="17"/>
        <v>926.17929750000008</v>
      </c>
      <c r="BV44" s="14"/>
      <c r="BW44" s="14"/>
      <c r="BX44" s="14">
        <f t="shared" si="66"/>
        <v>1023.0796574999999</v>
      </c>
      <c r="BY44" s="14">
        <f t="shared" si="18"/>
        <v>1023.0796574999999</v>
      </c>
      <c r="BZ44" s="14"/>
      <c r="CA44" s="14"/>
      <c r="CB44" s="14">
        <f t="shared" si="67"/>
        <v>12468.3279525</v>
      </c>
      <c r="CC44" s="14">
        <f t="shared" si="19"/>
        <v>12468.3279525</v>
      </c>
      <c r="CD44" s="14"/>
      <c r="CE44" s="14"/>
      <c r="CF44" s="14">
        <f t="shared" si="68"/>
        <v>1860.9972375</v>
      </c>
      <c r="CG44" s="14">
        <f t="shared" si="20"/>
        <v>1860.9972375</v>
      </c>
      <c r="CH44" s="14"/>
      <c r="CI44" s="14"/>
      <c r="CJ44" s="14">
        <f t="shared" si="69"/>
        <v>36495.712935000003</v>
      </c>
      <c r="CK44" s="14">
        <f t="shared" si="21"/>
        <v>36495.712935000003</v>
      </c>
      <c r="CL44" s="14"/>
      <c r="CM44" s="14"/>
      <c r="CN44" s="14">
        <f t="shared" si="70"/>
        <v>1871.5726575000001</v>
      </c>
      <c r="CO44" s="14">
        <f t="shared" si="29"/>
        <v>1871.5726575000001</v>
      </c>
      <c r="CP44" s="14"/>
      <c r="CQ44" s="14"/>
      <c r="CR44" s="14">
        <f t="shared" si="71"/>
        <v>4692.5966850000004</v>
      </c>
      <c r="CS44" s="14">
        <f t="shared" si="22"/>
        <v>4692.5966850000004</v>
      </c>
      <c r="CT44" s="14"/>
      <c r="CU44" s="14"/>
      <c r="CV44" s="14">
        <f t="shared" si="72"/>
        <v>47452.678102500002</v>
      </c>
      <c r="CW44" s="14">
        <f t="shared" si="23"/>
        <v>47452.678102500002</v>
      </c>
      <c r="CX44" s="14"/>
      <c r="CY44" s="14"/>
      <c r="CZ44" s="14"/>
      <c r="DA44" s="14"/>
      <c r="DB44" s="14"/>
      <c r="DC44" s="14"/>
      <c r="DD44" s="14"/>
      <c r="DE44" s="14">
        <f t="shared" si="24"/>
        <v>0</v>
      </c>
    </row>
    <row r="45" spans="1:109" x14ac:dyDescent="0.2">
      <c r="A45" s="2">
        <v>45566</v>
      </c>
      <c r="E45" s="15">
        <v>5395000</v>
      </c>
      <c r="F45" s="15">
        <v>307425</v>
      </c>
      <c r="G45" s="15">
        <f t="shared" si="25"/>
        <v>5395000</v>
      </c>
      <c r="H45" s="15">
        <f t="shared" si="3"/>
        <v>307425</v>
      </c>
      <c r="I45" s="15">
        <f t="shared" si="4"/>
        <v>5702425</v>
      </c>
      <c r="K45" s="14">
        <v>908690</v>
      </c>
      <c r="L45" s="14">
        <v>51780</v>
      </c>
      <c r="M45" s="14">
        <f t="shared" si="27"/>
        <v>960470</v>
      </c>
      <c r="O45" s="14">
        <f t="shared" si="28"/>
        <v>4486310.5289999992</v>
      </c>
      <c r="P45" s="15">
        <f t="shared" si="5"/>
        <v>255644.85388500002</v>
      </c>
      <c r="Q45" s="14">
        <f t="shared" si="0"/>
        <v>4741955.3828849988</v>
      </c>
      <c r="S45" s="3">
        <v>15096</v>
      </c>
      <c r="T45" s="3">
        <f t="shared" si="52"/>
        <v>860.2058925</v>
      </c>
      <c r="U45" s="3">
        <f t="shared" si="6"/>
        <v>15956.2058925</v>
      </c>
      <c r="W45" s="3">
        <v>81248</v>
      </c>
      <c r="X45" s="3">
        <f t="shared" si="53"/>
        <v>4629.7897574999997</v>
      </c>
      <c r="Y45" s="3">
        <f t="shared" si="7"/>
        <v>85877.789757499995</v>
      </c>
      <c r="AA45" s="14">
        <f t="shared" si="88"/>
        <v>127359.2255</v>
      </c>
      <c r="AB45" s="14">
        <f t="shared" si="54"/>
        <v>7257.3512325000002</v>
      </c>
      <c r="AC45" s="14">
        <f t="shared" si="31"/>
        <v>134616.57673249999</v>
      </c>
      <c r="AE45" s="3">
        <f t="shared" si="89"/>
        <v>26441.434500000003</v>
      </c>
      <c r="AF45" s="3">
        <f t="shared" si="55"/>
        <v>1506.7206675</v>
      </c>
      <c r="AG45" s="3">
        <f t="shared" si="8"/>
        <v>27948.155167500005</v>
      </c>
      <c r="AI45" s="3">
        <f t="shared" si="90"/>
        <v>1603948.0665</v>
      </c>
      <c r="AJ45" s="3">
        <f t="shared" si="56"/>
        <v>91398.282547499999</v>
      </c>
      <c r="AK45" s="3">
        <f t="shared" si="9"/>
        <v>1695346.3490474999</v>
      </c>
      <c r="AL45" s="14"/>
      <c r="AM45" s="3">
        <f t="shared" si="91"/>
        <v>8907.6844999999994</v>
      </c>
      <c r="AN45" s="3">
        <f t="shared" si="57"/>
        <v>507.58941749999997</v>
      </c>
      <c r="AO45" s="3">
        <f t="shared" si="10"/>
        <v>9415.2739174999988</v>
      </c>
      <c r="AP45" s="14"/>
      <c r="AQ45" s="14">
        <f t="shared" si="73"/>
        <v>31019.6315</v>
      </c>
      <c r="AR45" s="14">
        <f t="shared" si="58"/>
        <v>1767.6015224999999</v>
      </c>
      <c r="AS45" s="14">
        <f t="shared" si="11"/>
        <v>32787.233022499997</v>
      </c>
      <c r="AT45" s="14"/>
      <c r="AU45" s="14">
        <f t="shared" si="74"/>
        <v>237295.83799999999</v>
      </c>
      <c r="AV45" s="14">
        <f t="shared" si="59"/>
        <v>13521.90417</v>
      </c>
      <c r="AW45" s="14">
        <f t="shared" si="12"/>
        <v>250817.74216999998</v>
      </c>
      <c r="AX45" s="14"/>
      <c r="AY45" s="14">
        <f t="shared" si="75"/>
        <v>74756.896500000003</v>
      </c>
      <c r="AZ45" s="14">
        <f t="shared" si="60"/>
        <v>4259.8959974999998</v>
      </c>
      <c r="BA45" s="14">
        <f t="shared" si="13"/>
        <v>79016.792497500006</v>
      </c>
      <c r="BB45" s="14"/>
      <c r="BC45" s="14">
        <f t="shared" si="76"/>
        <v>338252.473</v>
      </c>
      <c r="BD45" s="14">
        <f t="shared" si="61"/>
        <v>19274.748195</v>
      </c>
      <c r="BE45" s="14">
        <f t="shared" si="14"/>
        <v>357527.22119499999</v>
      </c>
      <c r="BF45" s="14"/>
      <c r="BG45" s="14">
        <f t="shared" si="77"/>
        <v>96.030999999999992</v>
      </c>
      <c r="BH45" s="14">
        <f t="shared" si="62"/>
        <v>5.4721649999999995</v>
      </c>
      <c r="BI45" s="14">
        <f t="shared" si="15"/>
        <v>101.503165</v>
      </c>
      <c r="BJ45" s="14"/>
      <c r="BK45" s="14">
        <f t="shared" si="78"/>
        <v>43510.674999999996</v>
      </c>
      <c r="BL45" s="14">
        <f t="shared" si="63"/>
        <v>2479.3826249999997</v>
      </c>
      <c r="BM45" s="14">
        <f t="shared" si="1"/>
        <v>45990.057624999994</v>
      </c>
      <c r="BN45" s="14"/>
      <c r="BO45" s="14">
        <f t="shared" si="79"/>
        <v>24301.238000000001</v>
      </c>
      <c r="BP45" s="14">
        <f t="shared" si="64"/>
        <v>1384.7651700000001</v>
      </c>
      <c r="BQ45" s="14">
        <f t="shared" si="16"/>
        <v>25686.00317</v>
      </c>
      <c r="BR45" s="14"/>
      <c r="BS45" s="14">
        <f t="shared" si="80"/>
        <v>16253.5165</v>
      </c>
      <c r="BT45" s="14">
        <f t="shared" si="65"/>
        <v>926.17929750000008</v>
      </c>
      <c r="BU45" s="14">
        <f t="shared" si="17"/>
        <v>17179.6957975</v>
      </c>
      <c r="BV45" s="14"/>
      <c r="BW45" s="14">
        <f t="shared" si="81"/>
        <v>17954.020499999999</v>
      </c>
      <c r="BX45" s="14">
        <f t="shared" si="66"/>
        <v>1023.0796574999999</v>
      </c>
      <c r="BY45" s="14">
        <f t="shared" si="18"/>
        <v>18977.100157499997</v>
      </c>
      <c r="BZ45" s="14"/>
      <c r="CA45" s="14">
        <f t="shared" si="82"/>
        <v>218806.6335</v>
      </c>
      <c r="CB45" s="14">
        <f t="shared" si="67"/>
        <v>12468.3279525</v>
      </c>
      <c r="CC45" s="14">
        <f t="shared" si="19"/>
        <v>231274.96145249999</v>
      </c>
      <c r="CD45" s="14"/>
      <c r="CE45" s="14">
        <f t="shared" si="83"/>
        <v>32658.6325</v>
      </c>
      <c r="CF45" s="14">
        <f t="shared" si="68"/>
        <v>1860.9972375</v>
      </c>
      <c r="CG45" s="14">
        <f t="shared" si="20"/>
        <v>34519.629737499999</v>
      </c>
      <c r="CH45" s="14"/>
      <c r="CI45" s="14">
        <f t="shared" si="84"/>
        <v>640463.10900000005</v>
      </c>
      <c r="CJ45" s="14">
        <f t="shared" si="69"/>
        <v>36495.712935000003</v>
      </c>
      <c r="CK45" s="14">
        <f t="shared" si="21"/>
        <v>676958.82193500001</v>
      </c>
      <c r="CL45" s="14"/>
      <c r="CM45" s="14">
        <f t="shared" si="85"/>
        <v>32844.220500000003</v>
      </c>
      <c r="CN45" s="14">
        <f t="shared" si="70"/>
        <v>1871.5726575000001</v>
      </c>
      <c r="CO45" s="14">
        <f t="shared" si="29"/>
        <v>34715.793157500004</v>
      </c>
      <c r="CP45" s="14"/>
      <c r="CQ45" s="14">
        <f t="shared" si="86"/>
        <v>82350.358999999997</v>
      </c>
      <c r="CR45" s="14">
        <f t="shared" si="71"/>
        <v>4692.5966850000004</v>
      </c>
      <c r="CS45" s="14">
        <f t="shared" si="22"/>
        <v>87042.955684999994</v>
      </c>
      <c r="CT45" s="14"/>
      <c r="CU45" s="14">
        <f t="shared" si="87"/>
        <v>832746.84349999996</v>
      </c>
      <c r="CV45" s="14">
        <f t="shared" si="72"/>
        <v>47452.678102500002</v>
      </c>
      <c r="CW45" s="14">
        <f t="shared" si="23"/>
        <v>880199.5216025</v>
      </c>
      <c r="CX45" s="14"/>
      <c r="CY45" s="14"/>
      <c r="CZ45" s="14"/>
      <c r="DA45" s="14"/>
      <c r="DB45" s="14"/>
      <c r="DC45" s="14"/>
      <c r="DD45" s="14"/>
      <c r="DE45" s="14">
        <f t="shared" si="24"/>
        <v>0</v>
      </c>
    </row>
    <row r="46" spans="1:109" x14ac:dyDescent="0.2">
      <c r="A46" s="2">
        <v>45748</v>
      </c>
      <c r="F46" s="15">
        <v>199525</v>
      </c>
      <c r="H46" s="15">
        <f t="shared" si="3"/>
        <v>199525</v>
      </c>
      <c r="I46" s="15">
        <f t="shared" si="4"/>
        <v>199525</v>
      </c>
      <c r="L46" s="14">
        <v>33606</v>
      </c>
      <c r="M46" s="14">
        <f t="shared" si="27"/>
        <v>33606</v>
      </c>
      <c r="O46" s="14"/>
      <c r="P46" s="15">
        <f t="shared" si="5"/>
        <v>165918.645105</v>
      </c>
      <c r="Q46" s="14">
        <f t="shared" si="0"/>
        <v>165918.645105</v>
      </c>
      <c r="S46" s="3"/>
      <c r="T46" s="3">
        <f t="shared" si="52"/>
        <v>558.29090250000002</v>
      </c>
      <c r="U46" s="3">
        <f t="shared" si="6"/>
        <v>558.29090250000002</v>
      </c>
      <c r="W46" s="3"/>
      <c r="X46" s="3">
        <f t="shared" si="53"/>
        <v>3004.8265474999998</v>
      </c>
      <c r="Y46" s="3">
        <f t="shared" si="7"/>
        <v>3004.8265474999998</v>
      </c>
      <c r="AB46" s="14">
        <f t="shared" si="54"/>
        <v>4710.1667225000001</v>
      </c>
      <c r="AC46" s="14">
        <f t="shared" si="31"/>
        <v>4710.1667225000001</v>
      </c>
      <c r="AE46" s="3"/>
      <c r="AF46" s="3">
        <f t="shared" si="55"/>
        <v>977.89197750000005</v>
      </c>
      <c r="AG46" s="3">
        <f t="shared" si="8"/>
        <v>977.89197750000005</v>
      </c>
      <c r="AI46" s="3"/>
      <c r="AJ46" s="3">
        <f t="shared" si="56"/>
        <v>59319.321217499994</v>
      </c>
      <c r="AK46" s="3">
        <f t="shared" si="9"/>
        <v>59319.321217499994</v>
      </c>
      <c r="AL46" s="14"/>
      <c r="AM46" s="3"/>
      <c r="AN46" s="3">
        <f t="shared" si="57"/>
        <v>329.43572749999998</v>
      </c>
      <c r="AO46" s="3">
        <f t="shared" si="10"/>
        <v>329.43572749999998</v>
      </c>
      <c r="AP46" s="14"/>
      <c r="AQ46" s="14"/>
      <c r="AR46" s="14">
        <f t="shared" si="58"/>
        <v>1147.2088925</v>
      </c>
      <c r="AS46" s="14">
        <f t="shared" si="11"/>
        <v>1147.2088925</v>
      </c>
      <c r="AT46" s="14"/>
      <c r="AU46" s="14"/>
      <c r="AV46" s="14">
        <f t="shared" si="59"/>
        <v>8775.9874099999997</v>
      </c>
      <c r="AW46" s="14">
        <f t="shared" si="12"/>
        <v>8775.9874099999997</v>
      </c>
      <c r="AX46" s="14"/>
      <c r="AY46" s="14"/>
      <c r="AZ46" s="14">
        <f t="shared" si="60"/>
        <v>2764.7580674999999</v>
      </c>
      <c r="BA46" s="14">
        <f t="shared" si="13"/>
        <v>2764.7580674999999</v>
      </c>
      <c r="BB46" s="14"/>
      <c r="BC46" s="14"/>
      <c r="BD46" s="14">
        <f t="shared" si="61"/>
        <v>12509.698735</v>
      </c>
      <c r="BE46" s="14">
        <f t="shared" si="14"/>
        <v>12509.698735</v>
      </c>
      <c r="BF46" s="14"/>
      <c r="BG46" s="14"/>
      <c r="BH46" s="14">
        <f t="shared" si="62"/>
        <v>3.551545</v>
      </c>
      <c r="BI46" s="14">
        <f t="shared" si="15"/>
        <v>3.551545</v>
      </c>
      <c r="BJ46" s="14"/>
      <c r="BK46" s="14"/>
      <c r="BL46" s="14">
        <f t="shared" si="63"/>
        <v>1609.1691249999999</v>
      </c>
      <c r="BM46" s="14">
        <f t="shared" si="1"/>
        <v>1609.1691249999999</v>
      </c>
      <c r="BN46" s="14"/>
      <c r="BO46" s="14"/>
      <c r="BP46" s="14">
        <f t="shared" si="64"/>
        <v>898.74041000000011</v>
      </c>
      <c r="BQ46" s="14">
        <f t="shared" si="16"/>
        <v>898.74041000000011</v>
      </c>
      <c r="BR46" s="14"/>
      <c r="BS46" s="14"/>
      <c r="BT46" s="14">
        <f t="shared" si="65"/>
        <v>601.10896750000006</v>
      </c>
      <c r="BU46" s="14">
        <f t="shared" si="17"/>
        <v>601.10896750000006</v>
      </c>
      <c r="BV46" s="14"/>
      <c r="BW46" s="14"/>
      <c r="BX46" s="14">
        <f t="shared" si="66"/>
        <v>663.99924750000002</v>
      </c>
      <c r="BY46" s="14">
        <f t="shared" si="18"/>
        <v>663.99924750000002</v>
      </c>
      <c r="BZ46" s="14"/>
      <c r="CA46" s="14"/>
      <c r="CB46" s="14">
        <f t="shared" si="67"/>
        <v>8092.1952824999998</v>
      </c>
      <c r="CC46" s="14">
        <f t="shared" si="19"/>
        <v>8092.1952824999998</v>
      </c>
      <c r="CD46" s="14"/>
      <c r="CE46" s="14"/>
      <c r="CF46" s="14">
        <f t="shared" si="68"/>
        <v>1207.8245875</v>
      </c>
      <c r="CG46" s="14">
        <f t="shared" si="20"/>
        <v>1207.8245875</v>
      </c>
      <c r="CH46" s="14"/>
      <c r="CI46" s="14"/>
      <c r="CJ46" s="14">
        <f t="shared" si="69"/>
        <v>23686.450755000002</v>
      </c>
      <c r="CK46" s="14">
        <f t="shared" si="21"/>
        <v>23686.450755000002</v>
      </c>
      <c r="CL46" s="14"/>
      <c r="CM46" s="14"/>
      <c r="CN46" s="14">
        <f t="shared" si="70"/>
        <v>1214.6882475</v>
      </c>
      <c r="CO46" s="14">
        <f t="shared" si="29"/>
        <v>1214.6882475</v>
      </c>
      <c r="CP46" s="14"/>
      <c r="CQ46" s="14"/>
      <c r="CR46" s="14">
        <f t="shared" si="71"/>
        <v>3045.5895049999999</v>
      </c>
      <c r="CS46" s="14">
        <f t="shared" si="22"/>
        <v>3045.5895049999999</v>
      </c>
      <c r="CT46" s="14"/>
      <c r="CU46" s="14"/>
      <c r="CV46" s="14">
        <f t="shared" si="72"/>
        <v>30797.7412325</v>
      </c>
      <c r="CW46" s="14">
        <f t="shared" si="23"/>
        <v>30797.7412325</v>
      </c>
      <c r="CX46" s="14"/>
      <c r="CY46" s="14"/>
      <c r="CZ46" s="14"/>
      <c r="DA46" s="14"/>
      <c r="DB46" s="14"/>
      <c r="DC46" s="14"/>
      <c r="DD46" s="14"/>
      <c r="DE46" s="14">
        <f t="shared" si="24"/>
        <v>0</v>
      </c>
    </row>
    <row r="47" spans="1:109" x14ac:dyDescent="0.2">
      <c r="A47" s="2">
        <v>45931</v>
      </c>
      <c r="E47" s="15">
        <v>5615000</v>
      </c>
      <c r="F47" s="15">
        <v>199525</v>
      </c>
      <c r="G47" s="15">
        <f t="shared" si="25"/>
        <v>5615000</v>
      </c>
      <c r="H47" s="15">
        <f t="shared" si="3"/>
        <v>199525</v>
      </c>
      <c r="I47" s="15">
        <f t="shared" si="4"/>
        <v>5814525</v>
      </c>
      <c r="K47" s="14">
        <v>945745</v>
      </c>
      <c r="L47" s="14">
        <v>33606</v>
      </c>
      <c r="M47" s="14">
        <f t="shared" si="27"/>
        <v>979351</v>
      </c>
      <c r="O47" s="14">
        <f t="shared" si="28"/>
        <v>4669255.443</v>
      </c>
      <c r="P47" s="15">
        <f t="shared" si="5"/>
        <v>165918.645105</v>
      </c>
      <c r="Q47" s="14">
        <f t="shared" si="0"/>
        <v>4835174.0881049996</v>
      </c>
      <c r="S47" s="3">
        <f>G47*$U$7</f>
        <v>15711.3315</v>
      </c>
      <c r="T47" s="3">
        <f t="shared" si="52"/>
        <v>558.29090250000002</v>
      </c>
      <c r="U47" s="3">
        <f t="shared" si="6"/>
        <v>16269.622402500001</v>
      </c>
      <c r="W47" s="3">
        <f>G47*$Y$7</f>
        <v>84561.338499999998</v>
      </c>
      <c r="X47" s="3">
        <f t="shared" si="53"/>
        <v>3004.8265474999998</v>
      </c>
      <c r="Y47" s="3">
        <f t="shared" si="7"/>
        <v>87566.165047499991</v>
      </c>
      <c r="AA47" s="14">
        <f t="shared" si="88"/>
        <v>132552.74350000001</v>
      </c>
      <c r="AB47" s="14">
        <f t="shared" si="54"/>
        <v>4710.1667225000001</v>
      </c>
      <c r="AC47" s="14">
        <f t="shared" si="31"/>
        <v>137262.91022250001</v>
      </c>
      <c r="AE47" s="3">
        <f t="shared" si="89"/>
        <v>27519.676500000001</v>
      </c>
      <c r="AF47" s="3">
        <f t="shared" si="55"/>
        <v>977.89197750000005</v>
      </c>
      <c r="AG47" s="3">
        <f t="shared" si="8"/>
        <v>28497.568477500001</v>
      </c>
      <c r="AI47" s="3">
        <f t="shared" si="90"/>
        <v>1669354.6604999998</v>
      </c>
      <c r="AJ47" s="3">
        <f t="shared" si="56"/>
        <v>59319.321217499994</v>
      </c>
      <c r="AK47" s="3">
        <f t="shared" si="9"/>
        <v>1728673.9817174997</v>
      </c>
      <c r="AL47" s="14"/>
      <c r="AM47" s="3">
        <f t="shared" si="91"/>
        <v>9270.9264999999996</v>
      </c>
      <c r="AN47" s="3">
        <f t="shared" si="57"/>
        <v>329.43572749999998</v>
      </c>
      <c r="AO47" s="3">
        <f t="shared" si="10"/>
        <v>9600.3622274999998</v>
      </c>
      <c r="AP47" s="14"/>
      <c r="AQ47" s="14">
        <f t="shared" si="73"/>
        <v>32284.565500000001</v>
      </c>
      <c r="AR47" s="14">
        <f t="shared" si="58"/>
        <v>1147.2088925</v>
      </c>
      <c r="AS47" s="14">
        <f t="shared" si="11"/>
        <v>33431.774392500003</v>
      </c>
      <c r="AT47" s="14"/>
      <c r="AU47" s="14">
        <f t="shared" si="74"/>
        <v>246972.40599999999</v>
      </c>
      <c r="AV47" s="14">
        <f t="shared" si="59"/>
        <v>8775.9874099999997</v>
      </c>
      <c r="AW47" s="14">
        <f t="shared" si="12"/>
        <v>255748.39340999999</v>
      </c>
      <c r="AX47" s="14"/>
      <c r="AY47" s="14">
        <f t="shared" si="75"/>
        <v>77805.370500000005</v>
      </c>
      <c r="AZ47" s="14">
        <f t="shared" si="60"/>
        <v>2764.7580674999999</v>
      </c>
      <c r="BA47" s="14">
        <f t="shared" si="13"/>
        <v>80570.128567500011</v>
      </c>
      <c r="BB47" s="14"/>
      <c r="BC47" s="14">
        <f t="shared" si="76"/>
        <v>352045.90100000001</v>
      </c>
      <c r="BD47" s="14">
        <f t="shared" si="61"/>
        <v>12509.698735</v>
      </c>
      <c r="BE47" s="14">
        <f t="shared" si="14"/>
        <v>364555.599735</v>
      </c>
      <c r="BF47" s="14"/>
      <c r="BG47" s="14">
        <f t="shared" si="77"/>
        <v>99.946999999999989</v>
      </c>
      <c r="BH47" s="14">
        <f t="shared" si="62"/>
        <v>3.551545</v>
      </c>
      <c r="BI47" s="14">
        <f t="shared" si="15"/>
        <v>103.49854499999999</v>
      </c>
      <c r="BJ47" s="14"/>
      <c r="BK47" s="14">
        <f t="shared" si="78"/>
        <v>45284.974999999999</v>
      </c>
      <c r="BL47" s="14">
        <f t="shared" si="63"/>
        <v>1609.1691249999999</v>
      </c>
      <c r="BM47" s="14">
        <f t="shared" si="1"/>
        <v>46894.144124999999</v>
      </c>
      <c r="BN47" s="14"/>
      <c r="BO47" s="14">
        <f t="shared" si="79"/>
        <v>25292.206000000002</v>
      </c>
      <c r="BP47" s="14">
        <f t="shared" si="64"/>
        <v>898.74041000000011</v>
      </c>
      <c r="BQ47" s="14">
        <f t="shared" si="16"/>
        <v>26190.94641</v>
      </c>
      <c r="BR47" s="14"/>
      <c r="BS47" s="14">
        <f t="shared" si="80"/>
        <v>16916.3105</v>
      </c>
      <c r="BT47" s="14">
        <f t="shared" si="65"/>
        <v>601.10896750000006</v>
      </c>
      <c r="BU47" s="14">
        <f t="shared" si="17"/>
        <v>17517.4194675</v>
      </c>
      <c r="BV47" s="14"/>
      <c r="BW47" s="14">
        <f t="shared" si="81"/>
        <v>18686.158500000001</v>
      </c>
      <c r="BX47" s="14">
        <f t="shared" si="66"/>
        <v>663.99924750000002</v>
      </c>
      <c r="BY47" s="14">
        <f t="shared" si="18"/>
        <v>19350.157747500001</v>
      </c>
      <c r="BZ47" s="14"/>
      <c r="CA47" s="14">
        <f t="shared" si="82"/>
        <v>227729.2395</v>
      </c>
      <c r="CB47" s="14">
        <f t="shared" si="67"/>
        <v>8092.1952824999998</v>
      </c>
      <c r="CC47" s="14">
        <f t="shared" si="19"/>
        <v>235821.4347825</v>
      </c>
      <c r="CD47" s="14"/>
      <c r="CE47" s="14">
        <f t="shared" si="83"/>
        <v>33990.402499999997</v>
      </c>
      <c r="CF47" s="14">
        <f t="shared" si="68"/>
        <v>1207.8245875</v>
      </c>
      <c r="CG47" s="14">
        <f t="shared" si="20"/>
        <v>35198.227087499996</v>
      </c>
      <c r="CH47" s="14"/>
      <c r="CI47" s="14">
        <f t="shared" si="84"/>
        <v>666580.23300000001</v>
      </c>
      <c r="CJ47" s="14">
        <f t="shared" si="69"/>
        <v>23686.450755000002</v>
      </c>
      <c r="CK47" s="14">
        <f t="shared" si="21"/>
        <v>690266.68375500001</v>
      </c>
      <c r="CL47" s="14"/>
      <c r="CM47" s="14">
        <f t="shared" si="85"/>
        <v>34183.558499999999</v>
      </c>
      <c r="CN47" s="14">
        <f t="shared" si="70"/>
        <v>1214.6882475</v>
      </c>
      <c r="CO47" s="14">
        <f t="shared" si="29"/>
        <v>35398.246747500001</v>
      </c>
      <c r="CP47" s="14"/>
      <c r="CQ47" s="14">
        <f t="shared" si="86"/>
        <v>85708.483000000007</v>
      </c>
      <c r="CR47" s="14">
        <f t="shared" si="71"/>
        <v>3045.5895049999999</v>
      </c>
      <c r="CS47" s="14">
        <f t="shared" si="22"/>
        <v>88754.072505000004</v>
      </c>
      <c r="CT47" s="14"/>
      <c r="CU47" s="14">
        <f t="shared" si="87"/>
        <v>866705.00950000004</v>
      </c>
      <c r="CV47" s="14">
        <f t="shared" si="72"/>
        <v>30797.7412325</v>
      </c>
      <c r="CW47" s="14">
        <f t="shared" si="23"/>
        <v>897502.75073249999</v>
      </c>
      <c r="CX47" s="14"/>
      <c r="CY47" s="14"/>
      <c r="CZ47" s="14"/>
      <c r="DA47" s="14"/>
      <c r="DB47" s="14"/>
      <c r="DC47" s="14"/>
      <c r="DD47" s="14"/>
      <c r="DE47" s="14">
        <f t="shared" si="24"/>
        <v>0</v>
      </c>
    </row>
    <row r="48" spans="1:109" x14ac:dyDescent="0.2">
      <c r="A48" s="2">
        <v>46113</v>
      </c>
      <c r="F48" s="15">
        <v>87225</v>
      </c>
      <c r="H48" s="15">
        <f t="shared" si="3"/>
        <v>87225</v>
      </c>
      <c r="I48" s="15">
        <f t="shared" si="4"/>
        <v>87225</v>
      </c>
      <c r="L48" s="14">
        <v>14691</v>
      </c>
      <c r="M48" s="14">
        <f t="shared" si="27"/>
        <v>14691</v>
      </c>
      <c r="O48" s="14"/>
      <c r="P48" s="15">
        <f t="shared" si="5"/>
        <v>72532.895202499989</v>
      </c>
      <c r="Q48" s="14">
        <f t="shared" si="0"/>
        <v>72532.895202499989</v>
      </c>
      <c r="S48" s="3"/>
      <c r="T48" s="3">
        <f t="shared" si="52"/>
        <v>244.06427249999999</v>
      </c>
      <c r="U48" s="3">
        <f t="shared" si="6"/>
        <v>244.06427249999999</v>
      </c>
      <c r="W48" s="3"/>
      <c r="X48" s="3">
        <f t="shared" si="53"/>
        <v>1313.5997774999998</v>
      </c>
      <c r="Y48" s="3">
        <f t="shared" si="7"/>
        <v>1313.5997774999998</v>
      </c>
      <c r="AB48" s="14">
        <f t="shared" si="54"/>
        <v>2059.1118525000002</v>
      </c>
      <c r="AC48" s="14">
        <f t="shared" si="31"/>
        <v>2059.1118525000002</v>
      </c>
      <c r="AE48" s="3"/>
      <c r="AF48" s="3">
        <f t="shared" si="55"/>
        <v>427.4984475</v>
      </c>
      <c r="AG48" s="3">
        <f t="shared" si="8"/>
        <v>427.4984475</v>
      </c>
      <c r="AI48" s="3"/>
      <c r="AJ48" s="3">
        <f t="shared" si="56"/>
        <v>25932.228007499998</v>
      </c>
      <c r="AK48" s="3">
        <f t="shared" si="9"/>
        <v>25932.228007499998</v>
      </c>
      <c r="AL48" s="14"/>
      <c r="AM48" s="3"/>
      <c r="AN48" s="3">
        <f t="shared" si="57"/>
        <v>144.01719750000001</v>
      </c>
      <c r="AO48" s="3">
        <f t="shared" si="10"/>
        <v>144.01719750000001</v>
      </c>
      <c r="AP48" s="14"/>
      <c r="AQ48" s="14"/>
      <c r="AR48" s="14">
        <f t="shared" si="58"/>
        <v>501.5175825</v>
      </c>
      <c r="AS48" s="14">
        <f t="shared" si="11"/>
        <v>501.5175825</v>
      </c>
      <c r="AT48" s="14"/>
      <c r="AU48" s="14"/>
      <c r="AV48" s="14">
        <f t="shared" si="59"/>
        <v>3836.5392900000002</v>
      </c>
      <c r="AW48" s="14">
        <f t="shared" si="12"/>
        <v>3836.5392900000002</v>
      </c>
      <c r="AX48" s="14"/>
      <c r="AY48" s="14"/>
      <c r="AZ48" s="14">
        <f t="shared" si="60"/>
        <v>1208.6506574999999</v>
      </c>
      <c r="BA48" s="14">
        <f t="shared" si="13"/>
        <v>1208.6506574999999</v>
      </c>
      <c r="BB48" s="14"/>
      <c r="BC48" s="14"/>
      <c r="BD48" s="14">
        <f t="shared" si="61"/>
        <v>5468.7807149999999</v>
      </c>
      <c r="BE48" s="14">
        <f t="shared" si="14"/>
        <v>5468.7807149999999</v>
      </c>
      <c r="BF48" s="14"/>
      <c r="BG48" s="14"/>
      <c r="BH48" s="14">
        <f t="shared" si="62"/>
        <v>1.552605</v>
      </c>
      <c r="BI48" s="14">
        <f t="shared" si="15"/>
        <v>1.552605</v>
      </c>
      <c r="BJ48" s="14"/>
      <c r="BK48" s="14"/>
      <c r="BL48" s="14">
        <f t="shared" si="63"/>
        <v>703.46962499999995</v>
      </c>
      <c r="BM48" s="14">
        <f t="shared" si="1"/>
        <v>703.46962499999995</v>
      </c>
      <c r="BN48" s="14"/>
      <c r="BO48" s="14"/>
      <c r="BP48" s="14">
        <f t="shared" si="64"/>
        <v>392.89629000000002</v>
      </c>
      <c r="BQ48" s="14">
        <f t="shared" si="16"/>
        <v>392.89629000000002</v>
      </c>
      <c r="BR48" s="14"/>
      <c r="BS48" s="14"/>
      <c r="BT48" s="14">
        <f t="shared" si="65"/>
        <v>262.7827575</v>
      </c>
      <c r="BU48" s="14">
        <f t="shared" si="17"/>
        <v>262.7827575</v>
      </c>
      <c r="BV48" s="14"/>
      <c r="BW48" s="14"/>
      <c r="BX48" s="14">
        <f t="shared" si="66"/>
        <v>290.27607749999999</v>
      </c>
      <c r="BY48" s="14">
        <f t="shared" si="18"/>
        <v>290.27607749999999</v>
      </c>
      <c r="BZ48" s="14"/>
      <c r="CA48" s="14"/>
      <c r="CB48" s="14">
        <f t="shared" si="67"/>
        <v>3537.6104925</v>
      </c>
      <c r="CC48" s="14">
        <f t="shared" si="19"/>
        <v>3537.6104925</v>
      </c>
      <c r="CD48" s="14"/>
      <c r="CE48" s="14"/>
      <c r="CF48" s="14">
        <f t="shared" si="68"/>
        <v>528.01653750000003</v>
      </c>
      <c r="CG48" s="14">
        <f t="shared" si="20"/>
        <v>528.01653750000003</v>
      </c>
      <c r="CH48" s="14"/>
      <c r="CI48" s="14"/>
      <c r="CJ48" s="14">
        <f t="shared" si="69"/>
        <v>10354.846095000001</v>
      </c>
      <c r="CK48" s="14">
        <f t="shared" si="21"/>
        <v>10354.846095000001</v>
      </c>
      <c r="CL48" s="14"/>
      <c r="CM48" s="14"/>
      <c r="CN48" s="14">
        <f t="shared" si="70"/>
        <v>531.01707750000003</v>
      </c>
      <c r="CO48" s="14">
        <f t="shared" si="29"/>
        <v>531.01707750000003</v>
      </c>
      <c r="CP48" s="14"/>
      <c r="CQ48" s="14"/>
      <c r="CR48" s="14">
        <f t="shared" si="71"/>
        <v>1331.4198450000001</v>
      </c>
      <c r="CS48" s="14">
        <f t="shared" si="22"/>
        <v>1331.4198450000001</v>
      </c>
      <c r="CT48" s="14"/>
      <c r="CU48" s="14"/>
      <c r="CV48" s="14">
        <v>13463</v>
      </c>
      <c r="CW48" s="14">
        <f t="shared" si="23"/>
        <v>13463</v>
      </c>
      <c r="CX48" s="14"/>
      <c r="CY48" s="14"/>
      <c r="CZ48" s="14"/>
      <c r="DA48" s="14"/>
      <c r="DB48" s="14"/>
      <c r="DC48" s="14"/>
      <c r="DD48" s="14"/>
      <c r="DE48" s="14">
        <f t="shared" si="24"/>
        <v>0</v>
      </c>
    </row>
    <row r="49" spans="1:109" x14ac:dyDescent="0.2">
      <c r="A49" s="2">
        <v>46296</v>
      </c>
      <c r="E49" s="15">
        <v>5815000</v>
      </c>
      <c r="F49" s="15">
        <v>87225</v>
      </c>
      <c r="G49" s="15">
        <f t="shared" si="25"/>
        <v>5815000</v>
      </c>
      <c r="H49" s="15">
        <f t="shared" si="3"/>
        <v>87225</v>
      </c>
      <c r="I49" s="15">
        <f t="shared" si="4"/>
        <v>5902225</v>
      </c>
      <c r="K49" s="14">
        <v>979431</v>
      </c>
      <c r="L49" s="14">
        <v>14691</v>
      </c>
      <c r="M49" s="14">
        <f t="shared" si="27"/>
        <v>994122</v>
      </c>
      <c r="O49" s="14">
        <f t="shared" si="28"/>
        <v>4835569.0830000006</v>
      </c>
      <c r="P49" s="15">
        <f t="shared" si="5"/>
        <v>72532.895202499989</v>
      </c>
      <c r="Q49" s="14">
        <f t="shared" si="0"/>
        <v>4908101.9782025004</v>
      </c>
      <c r="S49" s="3">
        <f>G49*$U$7</f>
        <v>16270.951499999999</v>
      </c>
      <c r="T49" s="3">
        <f t="shared" si="52"/>
        <v>244.06427249999999</v>
      </c>
      <c r="U49" s="3">
        <f t="shared" si="6"/>
        <v>16515.015772499999</v>
      </c>
      <c r="W49" s="3">
        <f>G49*$Y$7</f>
        <v>87573.318499999994</v>
      </c>
      <c r="X49" s="3">
        <f t="shared" si="53"/>
        <v>1313.5997774999998</v>
      </c>
      <c r="Y49" s="3">
        <f t="shared" si="7"/>
        <v>88886.918277499994</v>
      </c>
      <c r="AA49" s="14">
        <f t="shared" si="88"/>
        <v>137274.12349999999</v>
      </c>
      <c r="AB49" s="14">
        <f t="shared" si="54"/>
        <v>2059.1118525000002</v>
      </c>
      <c r="AC49" s="14">
        <f t="shared" si="31"/>
        <v>139333.23535249999</v>
      </c>
      <c r="AE49" s="3">
        <f t="shared" si="89"/>
        <v>28499.896500000003</v>
      </c>
      <c r="AF49" s="3">
        <f t="shared" si="55"/>
        <v>427.4984475</v>
      </c>
      <c r="AG49" s="3">
        <f t="shared" si="8"/>
        <v>28927.394947500001</v>
      </c>
      <c r="AI49" s="3">
        <f t="shared" si="90"/>
        <v>1728815.2004999998</v>
      </c>
      <c r="AJ49" s="3">
        <f t="shared" si="56"/>
        <v>25932.228007499998</v>
      </c>
      <c r="AK49" s="3">
        <f t="shared" si="9"/>
        <v>1754747.4285074999</v>
      </c>
      <c r="AL49" s="14"/>
      <c r="AM49" s="3">
        <f t="shared" si="91"/>
        <v>9601.1464999999989</v>
      </c>
      <c r="AN49" s="3">
        <f t="shared" si="57"/>
        <v>144.01719750000001</v>
      </c>
      <c r="AO49" s="3">
        <f t="shared" si="10"/>
        <v>9745.1636974999983</v>
      </c>
      <c r="AP49" s="14"/>
      <c r="AQ49" s="14">
        <f t="shared" si="73"/>
        <v>33434.505499999999</v>
      </c>
      <c r="AR49" s="14">
        <f t="shared" si="58"/>
        <v>501.5175825</v>
      </c>
      <c r="AS49" s="14">
        <f t="shared" si="11"/>
        <v>33936.023082499996</v>
      </c>
      <c r="AT49" s="14"/>
      <c r="AU49" s="14">
        <f t="shared" si="74"/>
        <v>255769.28599999999</v>
      </c>
      <c r="AV49" s="14">
        <f t="shared" si="59"/>
        <v>3836.5392900000002</v>
      </c>
      <c r="AW49" s="14">
        <f t="shared" si="12"/>
        <v>259605.82528999998</v>
      </c>
      <c r="AX49" s="14"/>
      <c r="AY49" s="14">
        <f t="shared" si="75"/>
        <v>80576.710500000001</v>
      </c>
      <c r="AZ49" s="14">
        <f t="shared" si="60"/>
        <v>1208.6506574999999</v>
      </c>
      <c r="BA49" s="14">
        <f t="shared" si="13"/>
        <v>81785.361157499996</v>
      </c>
      <c r="BB49" s="14"/>
      <c r="BC49" s="14">
        <f t="shared" si="76"/>
        <v>364585.38099999999</v>
      </c>
      <c r="BD49" s="14">
        <f t="shared" si="61"/>
        <v>5468.7807149999999</v>
      </c>
      <c r="BE49" s="14">
        <f t="shared" si="14"/>
        <v>370054.16171499999</v>
      </c>
      <c r="BF49" s="14"/>
      <c r="BG49" s="14">
        <f t="shared" si="77"/>
        <v>103.50699999999999</v>
      </c>
      <c r="BH49" s="14">
        <f t="shared" si="62"/>
        <v>1.552605</v>
      </c>
      <c r="BI49" s="14">
        <f t="shared" si="15"/>
        <v>105.05960499999999</v>
      </c>
      <c r="BJ49" s="14"/>
      <c r="BK49" s="14">
        <f t="shared" si="78"/>
        <v>46897.974999999999</v>
      </c>
      <c r="BL49" s="14">
        <f t="shared" si="63"/>
        <v>703.46962499999995</v>
      </c>
      <c r="BM49" s="14">
        <f t="shared" si="1"/>
        <v>47601.444624999996</v>
      </c>
      <c r="BN49" s="14"/>
      <c r="BO49" s="14">
        <f t="shared" si="79"/>
        <v>26193.086000000003</v>
      </c>
      <c r="BP49" s="14">
        <f t="shared" si="64"/>
        <v>392.89629000000002</v>
      </c>
      <c r="BQ49" s="14">
        <f t="shared" si="16"/>
        <v>26585.982290000004</v>
      </c>
      <c r="BR49" s="14"/>
      <c r="BS49" s="14">
        <f t="shared" si="80"/>
        <v>17518.8505</v>
      </c>
      <c r="BT49" s="14">
        <f t="shared" si="65"/>
        <v>262.7827575</v>
      </c>
      <c r="BU49" s="14">
        <f t="shared" si="17"/>
        <v>17781.633257500001</v>
      </c>
      <c r="BV49" s="14"/>
      <c r="BW49" s="14">
        <f t="shared" si="81"/>
        <v>19351.738499999999</v>
      </c>
      <c r="BX49" s="14">
        <f t="shared" si="66"/>
        <v>290.27607749999999</v>
      </c>
      <c r="BY49" s="14">
        <f t="shared" si="18"/>
        <v>19642.014577499998</v>
      </c>
      <c r="BZ49" s="14"/>
      <c r="CA49" s="14">
        <f t="shared" si="82"/>
        <v>235840.69949999999</v>
      </c>
      <c r="CB49" s="14">
        <f t="shared" si="67"/>
        <v>3537.6104925</v>
      </c>
      <c r="CC49" s="14">
        <f t="shared" si="19"/>
        <v>239378.3099925</v>
      </c>
      <c r="CD49" s="14"/>
      <c r="CE49" s="14">
        <f t="shared" si="83"/>
        <v>35201.102500000001</v>
      </c>
      <c r="CF49" s="14">
        <f t="shared" si="68"/>
        <v>528.01653750000003</v>
      </c>
      <c r="CG49" s="14">
        <f t="shared" si="20"/>
        <v>35729.119037500001</v>
      </c>
      <c r="CH49" s="14"/>
      <c r="CI49" s="14">
        <f t="shared" si="84"/>
        <v>690323.07300000009</v>
      </c>
      <c r="CJ49" s="14">
        <f t="shared" si="69"/>
        <v>10354.846095000001</v>
      </c>
      <c r="CK49" s="14">
        <f t="shared" si="21"/>
        <v>700677.91909500014</v>
      </c>
      <c r="CL49" s="14"/>
      <c r="CM49" s="14">
        <f t="shared" si="85"/>
        <v>35401.138500000001</v>
      </c>
      <c r="CN49" s="14">
        <f t="shared" si="70"/>
        <v>531.01707750000003</v>
      </c>
      <c r="CO49" s="14">
        <f t="shared" si="29"/>
        <v>35932.155577500002</v>
      </c>
      <c r="CP49" s="14"/>
      <c r="CQ49" s="14">
        <f t="shared" si="86"/>
        <v>88761.323000000004</v>
      </c>
      <c r="CR49" s="14">
        <f t="shared" si="71"/>
        <v>1331.4198450000001</v>
      </c>
      <c r="CS49" s="14">
        <f t="shared" si="22"/>
        <v>90092.742845000001</v>
      </c>
      <c r="CT49" s="14"/>
      <c r="CU49" s="14">
        <f t="shared" si="87"/>
        <v>897576.06949999998</v>
      </c>
      <c r="CV49" s="14">
        <v>13463</v>
      </c>
      <c r="CW49" s="14">
        <f t="shared" si="23"/>
        <v>911039.06949999998</v>
      </c>
      <c r="CX49" s="14"/>
      <c r="CY49" s="14"/>
      <c r="CZ49" s="14"/>
      <c r="DA49" s="14"/>
      <c r="DB49" s="14"/>
      <c r="DC49" s="14"/>
      <c r="DD49" s="14"/>
      <c r="DE49" s="14"/>
    </row>
    <row r="50" spans="1:109" x14ac:dyDescent="0.2">
      <c r="S50" s="3"/>
      <c r="T50" s="3"/>
      <c r="U50" s="3"/>
      <c r="W50" s="3"/>
      <c r="X50" s="3"/>
      <c r="Y50" s="3"/>
      <c r="AE50" s="3"/>
      <c r="AF50" s="3"/>
      <c r="AG50" s="3"/>
      <c r="AI50" s="3"/>
      <c r="AJ50" s="3"/>
      <c r="AK50" s="3"/>
      <c r="AL50" s="14"/>
      <c r="AM50" s="3"/>
      <c r="AN50" s="3"/>
      <c r="AO50" s="3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</row>
    <row r="51" spans="1:109" ht="13.5" thickBot="1" x14ac:dyDescent="0.25">
      <c r="A51" s="12" t="s">
        <v>0</v>
      </c>
      <c r="C51" s="29">
        <f t="shared" ref="C51:I51" si="92">SUM(C9:C50)</f>
        <v>34325000</v>
      </c>
      <c r="D51" s="29">
        <f t="shared" si="92"/>
        <v>25143060</v>
      </c>
      <c r="E51" s="29">
        <f t="shared" si="92"/>
        <v>44880000</v>
      </c>
      <c r="F51" s="29">
        <f t="shared" si="92"/>
        <v>19250441</v>
      </c>
      <c r="G51" s="29">
        <f t="shared" si="92"/>
        <v>79205000</v>
      </c>
      <c r="H51" s="29">
        <f t="shared" si="92"/>
        <v>44393501</v>
      </c>
      <c r="I51" s="29">
        <f t="shared" si="92"/>
        <v>123598501</v>
      </c>
      <c r="K51" s="29">
        <f>SUM(K9:K49)</f>
        <v>12935916.6535</v>
      </c>
      <c r="L51" s="29">
        <f>SUM(L9:L49)</f>
        <v>6600667</v>
      </c>
      <c r="M51" s="29">
        <f>SUM(M9:M49)</f>
        <v>19536583.653499998</v>
      </c>
      <c r="O51" s="29">
        <f>SUM(O9:O50)</f>
        <v>66269087.443000004</v>
      </c>
      <c r="P51" s="29">
        <f>SUM(P9:P50)</f>
        <v>37792834.270863704</v>
      </c>
      <c r="Q51" s="29">
        <f>SUM(Q9:Q50)</f>
        <v>104061921.71386369</v>
      </c>
      <c r="S51" s="29">
        <f>SUM(S9:S50)</f>
        <v>207948.32250000001</v>
      </c>
      <c r="T51" s="29">
        <f>SUM(T9:T50)</f>
        <v>101096.8661521</v>
      </c>
      <c r="U51" s="29">
        <f>SUM(U9:U50)</f>
        <v>309045.18865209993</v>
      </c>
      <c r="W51" s="29">
        <f>SUM(W9:W50)</f>
        <v>1128483.8244999999</v>
      </c>
      <c r="X51" s="29">
        <f>SUM(X9:X50)</f>
        <v>550809.64129090006</v>
      </c>
      <c r="Y51" s="29">
        <f>SUM(Y9:Y50)</f>
        <v>1679293.4657908995</v>
      </c>
      <c r="AA51" s="29">
        <f>SUM(AA9:AA50)</f>
        <v>1750019.6420000002</v>
      </c>
      <c r="AB51" s="29">
        <f>SUM(AB9:AB50)</f>
        <v>849656.33975790022</v>
      </c>
      <c r="AC51" s="29">
        <f>SUM(AC9:AC50)</f>
        <v>2599675.9817579002</v>
      </c>
      <c r="AE51" s="29">
        <f>SUM(AE9:AE50)</f>
        <v>376022.23399999994</v>
      </c>
      <c r="AF51" s="29">
        <f>SUM(AF9:AF50)</f>
        <v>190128.9130900999</v>
      </c>
      <c r="AG51" s="29">
        <f>SUM(AG9:AG50)</f>
        <v>566151.1470901001</v>
      </c>
      <c r="AI51" s="29">
        <f>SUM(AI9:AI50)</f>
        <v>22867218.012500003</v>
      </c>
      <c r="AJ51" s="29">
        <f>SUM(AJ9:AJ50)</f>
        <v>11588070.441828201</v>
      </c>
      <c r="AK51" s="29">
        <f>SUM(AK9:AK50)</f>
        <v>34455288.454328194</v>
      </c>
      <c r="AL51" s="14"/>
      <c r="AM51" s="29">
        <f>SUM(AM9:AM50)</f>
        <v>126676.61000000002</v>
      </c>
      <c r="AN51" s="29">
        <f>SUM(AN9:AN50)</f>
        <v>62536.236205100002</v>
      </c>
      <c r="AO51" s="29">
        <f>SUM(AO9:AO50)</f>
        <v>189212.84620510007</v>
      </c>
      <c r="AP51" s="14"/>
      <c r="AQ51" s="29">
        <f>SUM(AQ9:AQ50)</f>
        <v>447106.14800000004</v>
      </c>
      <c r="AR51" s="29">
        <f>SUM(AR9:AR50)</f>
        <v>233244.94065769995</v>
      </c>
      <c r="AS51" s="29">
        <f>SUM(AS9:AS50)</f>
        <v>680351.08865770011</v>
      </c>
      <c r="AT51" s="14"/>
      <c r="AU51" s="29">
        <f>SUM(AU9:AU50)</f>
        <v>3421169.7139999997</v>
      </c>
      <c r="AV51" s="29">
        <f>SUM(AV9:AV50)</f>
        <v>1737446.8220953997</v>
      </c>
      <c r="AW51" s="29">
        <f>SUM(AW9:AW50)</f>
        <v>5158616.5360953985</v>
      </c>
      <c r="AX51" s="14"/>
      <c r="AY51" s="29">
        <f>SUM(AY9:AY50)</f>
        <v>1070323.044</v>
      </c>
      <c r="AZ51" s="29">
        <f>SUM(AZ9:AZ50)</f>
        <v>555867.30655220011</v>
      </c>
      <c r="BA51" s="29">
        <f>SUM(BA9:BA50)</f>
        <v>1626190.3505522001</v>
      </c>
      <c r="BB51" s="14"/>
      <c r="BC51" s="29">
        <f>SUM(BC9:BC50)</f>
        <v>4817227.2589999996</v>
      </c>
      <c r="BD51" s="29">
        <f>SUM(BD9:BD50)</f>
        <v>2438470.6252408992</v>
      </c>
      <c r="BE51" s="29">
        <f>SUM(BE9:BE50)</f>
        <v>7255697.884240902</v>
      </c>
      <c r="BF51" s="14"/>
      <c r="BG51" s="29">
        <f>SUM(BG9:BG50)</f>
        <v>1409.8489999999999</v>
      </c>
      <c r="BH51" s="29">
        <f>SUM(BH9:BH50)</f>
        <v>742.04579480000018</v>
      </c>
      <c r="BI51" s="29">
        <f>SUM(BI9:BI50)</f>
        <v>2151.8947947999995</v>
      </c>
      <c r="BJ51" s="14"/>
      <c r="BK51" s="29">
        <f>SUM(BK9:BK50)</f>
        <v>611230.65700000001</v>
      </c>
      <c r="BL51" s="29">
        <f>SUM(BL9:BL50)</f>
        <v>302425.25587250013</v>
      </c>
      <c r="BM51" s="29">
        <f>SUM(BM9:BM50)</f>
        <v>913655.91287250014</v>
      </c>
      <c r="BN51" s="14"/>
      <c r="BO51" s="29">
        <f>SUM(BO9:BO50)</f>
        <v>342947.94100000005</v>
      </c>
      <c r="BP51" s="29">
        <f>SUM(BP9:BP50)</f>
        <v>169923.31192289997</v>
      </c>
      <c r="BQ51" s="29">
        <f>SUM(BQ9:BQ50)</f>
        <v>512871.25292290002</v>
      </c>
      <c r="BR51" s="14"/>
      <c r="BS51" s="29">
        <f>SUM(BS9:BS50)</f>
        <v>231139.96799999999</v>
      </c>
      <c r="BT51" s="29">
        <f>SUM(BT9:BT50)</f>
        <v>116337.64239569998</v>
      </c>
      <c r="BU51" s="29">
        <f>SUM(BU9:BU50)</f>
        <v>347477.61039569997</v>
      </c>
      <c r="BV51" s="14"/>
      <c r="BW51" s="29">
        <f>SUM(BW9:BW50)</f>
        <v>251558.842</v>
      </c>
      <c r="BX51" s="29">
        <f>SUM(BX9:BX50)</f>
        <v>125849.25922890005</v>
      </c>
      <c r="BY51" s="29">
        <f>SUM(BY9:BY50)</f>
        <v>377408.10122889996</v>
      </c>
      <c r="BZ51" s="14"/>
      <c r="CA51" s="29">
        <f>SUM(CA9:CA50)</f>
        <v>3110745.0529999998</v>
      </c>
      <c r="CB51" s="29">
        <f>SUM(CB9:CB50)</f>
        <v>1539199.3523568001</v>
      </c>
      <c r="CC51" s="29">
        <f>SUM(CC9:CC50)</f>
        <v>4649944.4053567993</v>
      </c>
      <c r="CD51" s="14"/>
      <c r="CE51" s="29">
        <f>SUM(CE9:CE50)</f>
        <v>479482.35799999995</v>
      </c>
      <c r="CF51" s="29">
        <f>SUM(CF9:CF50)</f>
        <v>252375.81577849999</v>
      </c>
      <c r="CG51" s="29">
        <f>SUM(CG9:CG50)</f>
        <v>731858.17377850006</v>
      </c>
      <c r="CH51" s="14"/>
      <c r="CI51" s="29">
        <f>SUM(CI9:CI50)</f>
        <v>9236710.7235000022</v>
      </c>
      <c r="CJ51" s="29">
        <f>SUM(CJ9:CJ50)</f>
        <v>4809965.7761447001</v>
      </c>
      <c r="CK51" s="29">
        <f>SUM(CK9:CK50)</f>
        <v>14046676.499644702</v>
      </c>
      <c r="CL51" s="15"/>
      <c r="CM51" s="29">
        <f>SUM(CM9:CM50)</f>
        <v>467311.33799999999</v>
      </c>
      <c r="CN51" s="29">
        <f>SUM(CN9:CN50)</f>
        <v>238915.41981889994</v>
      </c>
      <c r="CO51" s="29">
        <f>SUM(CO9:CO50)</f>
        <v>706226.75781890005</v>
      </c>
      <c r="CP51" s="14"/>
      <c r="CQ51" s="29">
        <f>SUM(CQ9:CQ50)</f>
        <v>1158553.2120000001</v>
      </c>
      <c r="CR51" s="29">
        <f>SUM(CR9:CR50)</f>
        <v>569009.39079970017</v>
      </c>
      <c r="CS51" s="29">
        <f>SUM(CS9:CS50)</f>
        <v>1727562.6027997001</v>
      </c>
      <c r="CT51" s="14"/>
      <c r="CU51" s="29">
        <f>SUM(CU9:CU50)</f>
        <v>11860480.298</v>
      </c>
      <c r="CV51" s="29">
        <f>SUM(CV9:CV50)</f>
        <v>5975519.610859802</v>
      </c>
      <c r="CW51" s="29">
        <f>SUM(CW9:CW50)</f>
        <v>17835999.908859797</v>
      </c>
      <c r="CX51" s="14"/>
      <c r="CY51" s="29">
        <f>SUM(CY9:CY50)</f>
        <v>-2518.607</v>
      </c>
      <c r="CZ51" s="29">
        <f>SUM(CZ9:CZ50)</f>
        <v>-2971.4754375000002</v>
      </c>
      <c r="DA51" s="29">
        <f>SUM(DA9:DA50)</f>
        <v>-5490.0824375000002</v>
      </c>
      <c r="DB51" s="14"/>
      <c r="DC51" s="29">
        <f>SUM(DC9:DC50)</f>
        <v>2307841</v>
      </c>
      <c r="DD51" s="29">
        <f>SUM(DD9:DD50)</f>
        <v>5388214.7324575</v>
      </c>
      <c r="DE51" s="29">
        <f>SUM(DE9:DE50)</f>
        <v>7696055.7324575</v>
      </c>
    </row>
    <row r="52" spans="1:109" ht="13.5" thickTop="1" x14ac:dyDescent="0.2">
      <c r="S52" s="3"/>
      <c r="T52" s="3"/>
      <c r="U52" s="3"/>
      <c r="W52" s="3"/>
      <c r="X52" s="3"/>
      <c r="Y52" s="3"/>
      <c r="AE52" s="3"/>
      <c r="AF52" s="3"/>
      <c r="AG52" s="3"/>
      <c r="AI52" s="3"/>
      <c r="AJ52" s="3"/>
      <c r="AK52" s="3"/>
      <c r="AM52" s="3"/>
      <c r="AN52" s="3"/>
      <c r="AO52" s="3"/>
    </row>
    <row r="53" spans="1:109" x14ac:dyDescent="0.2">
      <c r="S53" s="3"/>
      <c r="T53" s="3"/>
      <c r="U53" s="3"/>
      <c r="W53" s="3"/>
      <c r="X53" s="3"/>
      <c r="Y53" s="3"/>
      <c r="AE53" s="3"/>
      <c r="AF53" s="3"/>
      <c r="AG53" s="3"/>
      <c r="AI53" s="3"/>
      <c r="AJ53" s="3"/>
      <c r="AK53" s="3"/>
      <c r="AM53" s="3"/>
      <c r="AN53" s="3"/>
      <c r="AO53" s="3"/>
    </row>
    <row r="54" spans="1:109" x14ac:dyDescent="0.2">
      <c r="S54" s="3"/>
      <c r="T54" s="3"/>
      <c r="U54" s="3"/>
      <c r="W54" s="3"/>
      <c r="X54" s="3"/>
      <c r="Y54" s="3"/>
      <c r="AE54" s="3"/>
      <c r="AF54" s="3"/>
      <c r="AG54" s="3"/>
      <c r="AI54" s="3"/>
      <c r="AJ54" s="3"/>
      <c r="AK54" s="3"/>
      <c r="AM54" s="3"/>
      <c r="AN54" s="3"/>
      <c r="AO54" s="3"/>
    </row>
    <row r="55" spans="1:109" x14ac:dyDescent="0.2">
      <c r="S55" s="3"/>
      <c r="T55" s="3"/>
      <c r="U55" s="3"/>
      <c r="W55" s="3"/>
      <c r="X55" s="3"/>
      <c r="Y55" s="3"/>
      <c r="AE55" s="3"/>
      <c r="AF55" s="3"/>
      <c r="AG55" s="3"/>
      <c r="AI55" s="3"/>
      <c r="AJ55" s="3"/>
      <c r="AK55" s="3"/>
      <c r="AM55" s="3"/>
      <c r="AN55" s="3"/>
      <c r="AO55" s="3"/>
    </row>
    <row r="56" spans="1:109" x14ac:dyDescent="0.2">
      <c r="S56" s="3"/>
      <c r="T56" s="3"/>
      <c r="U56" s="3"/>
      <c r="W56" s="3"/>
      <c r="X56" s="3"/>
      <c r="Y56" s="3"/>
      <c r="AE56" s="3"/>
      <c r="AF56" s="3"/>
      <c r="AG56" s="3"/>
      <c r="AI56" s="3"/>
      <c r="AJ56" s="3"/>
      <c r="AK56" s="3"/>
      <c r="AM56" s="3"/>
      <c r="AN56" s="3"/>
      <c r="AO56" s="3"/>
    </row>
    <row r="57" spans="1:109" x14ac:dyDescent="0.2">
      <c r="S57" s="3"/>
      <c r="T57" s="3"/>
      <c r="U57" s="3"/>
      <c r="W57" s="3"/>
      <c r="X57" s="3"/>
      <c r="Y57" s="3"/>
      <c r="AE57" s="3"/>
      <c r="AF57" s="3"/>
      <c r="AG57" s="3"/>
      <c r="AI57" s="3"/>
      <c r="AJ57" s="3"/>
      <c r="AK57" s="3"/>
      <c r="AM57" s="3"/>
      <c r="AN57" s="3"/>
      <c r="AO57" s="3"/>
    </row>
    <row r="58" spans="1:109" x14ac:dyDescent="0.2">
      <c r="S58" s="3"/>
      <c r="T58" s="3"/>
      <c r="U58" s="3"/>
      <c r="W58" s="3"/>
      <c r="X58" s="3"/>
      <c r="Y58" s="3"/>
      <c r="AE58" s="3"/>
      <c r="AF58" s="3"/>
      <c r="AG58" s="3"/>
      <c r="AI58" s="3"/>
      <c r="AJ58" s="3"/>
      <c r="AK58" s="3"/>
      <c r="AM58" s="3"/>
      <c r="AN58" s="3"/>
      <c r="AO58" s="3"/>
    </row>
    <row r="59" spans="1:109" x14ac:dyDescent="0.2">
      <c r="S59" s="3"/>
      <c r="T59" s="3"/>
      <c r="U59" s="3"/>
      <c r="W59" s="3"/>
      <c r="X59" s="3"/>
      <c r="Y59" s="3"/>
      <c r="AE59" s="3"/>
      <c r="AF59" s="3"/>
      <c r="AG59" s="3"/>
      <c r="AI59" s="3"/>
      <c r="AJ59" s="3"/>
      <c r="AK59" s="3"/>
      <c r="AM59" s="3"/>
      <c r="AN59" s="3"/>
      <c r="AO59" s="3"/>
    </row>
    <row r="60" spans="1:109" x14ac:dyDescent="0.2">
      <c r="S60" s="3"/>
      <c r="T60" s="3"/>
      <c r="U60" s="3"/>
      <c r="W60" s="3"/>
      <c r="X60" s="3"/>
      <c r="Y60" s="3"/>
      <c r="AE60" s="3"/>
      <c r="AF60" s="3"/>
      <c r="AG60" s="3"/>
      <c r="AI60" s="3"/>
      <c r="AJ60" s="3"/>
      <c r="AK60" s="3"/>
      <c r="AM60" s="3"/>
      <c r="AN60" s="3"/>
      <c r="AO60" s="3"/>
    </row>
    <row r="61" spans="1:109" x14ac:dyDescent="0.2">
      <c r="S61" s="3"/>
      <c r="T61" s="3"/>
      <c r="U61" s="3"/>
      <c r="W61" s="3"/>
      <c r="X61" s="3"/>
      <c r="Y61" s="3"/>
      <c r="AE61" s="3"/>
      <c r="AF61" s="3"/>
      <c r="AG61" s="3"/>
      <c r="AI61" s="3"/>
      <c r="AJ61" s="3"/>
      <c r="AK61" s="3"/>
      <c r="AM61" s="3"/>
      <c r="AN61" s="3"/>
      <c r="AO61" s="3"/>
    </row>
    <row r="62" spans="1:109" x14ac:dyDescent="0.2">
      <c r="C62"/>
      <c r="D62"/>
      <c r="E62"/>
      <c r="F62"/>
      <c r="G62"/>
      <c r="H62"/>
      <c r="I62"/>
      <c r="K62"/>
      <c r="L62"/>
      <c r="M62"/>
      <c r="S62" s="3"/>
      <c r="T62" s="3"/>
      <c r="U62" s="3"/>
      <c r="W62" s="3"/>
      <c r="X62" s="3"/>
      <c r="Y62" s="3"/>
      <c r="AE62" s="3"/>
      <c r="AF62" s="3"/>
      <c r="AG62" s="3"/>
      <c r="AI62" s="3"/>
      <c r="AJ62" s="3"/>
      <c r="AK62" s="3"/>
      <c r="AM62" s="3"/>
      <c r="AN62" s="3"/>
      <c r="AO62" s="3"/>
    </row>
    <row r="63" spans="1:109" x14ac:dyDescent="0.2">
      <c r="A63"/>
      <c r="C63"/>
      <c r="D63"/>
      <c r="E63"/>
      <c r="F63"/>
      <c r="G63"/>
      <c r="H63"/>
      <c r="I63"/>
      <c r="J63"/>
      <c r="K63"/>
      <c r="L63"/>
      <c r="M63"/>
      <c r="N63"/>
      <c r="R63"/>
      <c r="S63" s="3"/>
      <c r="T63" s="3"/>
      <c r="U63" s="3"/>
      <c r="V63"/>
      <c r="W63" s="3"/>
      <c r="X63" s="3"/>
      <c r="Y63" s="3"/>
      <c r="Z63"/>
      <c r="AA63"/>
      <c r="AB63"/>
      <c r="AC63"/>
      <c r="AD63"/>
      <c r="AE63" s="3"/>
      <c r="AF63" s="3"/>
      <c r="AG63" s="3"/>
      <c r="AH63"/>
      <c r="AI63" s="3"/>
      <c r="AJ63" s="3"/>
      <c r="AK63" s="3"/>
      <c r="AM63" s="3"/>
      <c r="AN63" s="3"/>
      <c r="AO63" s="3"/>
    </row>
    <row r="64" spans="1:109" x14ac:dyDescent="0.2">
      <c r="A64"/>
      <c r="C64"/>
      <c r="D64"/>
      <c r="E64"/>
      <c r="F64"/>
      <c r="G64"/>
      <c r="H64"/>
      <c r="I64"/>
      <c r="J64"/>
      <c r="K64"/>
      <c r="L64"/>
      <c r="M64"/>
      <c r="N64"/>
      <c r="R64"/>
      <c r="S64" s="3"/>
      <c r="T64" s="3"/>
      <c r="U64" s="3"/>
      <c r="V64"/>
      <c r="W64" s="3"/>
      <c r="X64" s="3"/>
      <c r="Y64" s="3"/>
      <c r="Z64"/>
      <c r="AA64"/>
      <c r="AB64"/>
      <c r="AC64"/>
      <c r="AD64"/>
      <c r="AE64" s="3"/>
      <c r="AF64" s="3"/>
      <c r="AG64" s="3"/>
      <c r="AH64"/>
      <c r="AI64" s="3"/>
      <c r="AJ64" s="3"/>
      <c r="AK64" s="3"/>
      <c r="AM64" s="3"/>
      <c r="AN64" s="3"/>
      <c r="AO64" s="3"/>
    </row>
    <row r="65" spans="1:41" x14ac:dyDescent="0.2">
      <c r="A65"/>
      <c r="C65"/>
      <c r="D65"/>
      <c r="E65"/>
      <c r="F65"/>
      <c r="G65"/>
      <c r="H65"/>
      <c r="I65"/>
      <c r="J65"/>
      <c r="K65"/>
      <c r="L65"/>
      <c r="M65"/>
      <c r="N65"/>
      <c r="R65"/>
      <c r="S65" s="3"/>
      <c r="T65" s="3"/>
      <c r="U65" s="3"/>
      <c r="V65"/>
      <c r="W65" s="3"/>
      <c r="X65" s="3"/>
      <c r="Y65" s="3"/>
      <c r="Z65"/>
      <c r="AA65"/>
      <c r="AB65"/>
      <c r="AC65"/>
      <c r="AD65"/>
      <c r="AE65" s="3"/>
      <c r="AF65" s="3"/>
      <c r="AG65" s="3"/>
      <c r="AH65"/>
      <c r="AI65" s="3"/>
      <c r="AJ65" s="3"/>
      <c r="AK65" s="3"/>
      <c r="AM65" s="3"/>
      <c r="AN65" s="3"/>
      <c r="AO65" s="3"/>
    </row>
    <row r="66" spans="1:41" x14ac:dyDescent="0.2">
      <c r="A66"/>
      <c r="C66"/>
      <c r="D66"/>
      <c r="E66"/>
      <c r="F66"/>
      <c r="G66"/>
      <c r="H66"/>
      <c r="I66"/>
      <c r="J66"/>
      <c r="K66"/>
      <c r="L66"/>
      <c r="M66"/>
      <c r="N66"/>
      <c r="R66"/>
      <c r="S66" s="3"/>
      <c r="T66" s="3"/>
      <c r="U66" s="3"/>
      <c r="V66"/>
      <c r="W66" s="3"/>
      <c r="X66" s="3"/>
      <c r="Y66" s="3"/>
      <c r="Z66"/>
      <c r="AA66"/>
      <c r="AB66"/>
      <c r="AC66"/>
      <c r="AD66"/>
      <c r="AE66" s="3"/>
      <c r="AF66" s="3"/>
      <c r="AG66" s="3"/>
      <c r="AH66"/>
      <c r="AI66" s="3"/>
      <c r="AJ66" s="3"/>
      <c r="AK66" s="3"/>
      <c r="AM66" s="3"/>
      <c r="AN66" s="3"/>
      <c r="AO66" s="3"/>
    </row>
    <row r="67" spans="1:41" x14ac:dyDescent="0.2">
      <c r="A67"/>
      <c r="C67"/>
      <c r="D67"/>
      <c r="E67"/>
      <c r="F67"/>
      <c r="G67"/>
      <c r="H67"/>
      <c r="I67"/>
      <c r="J67"/>
      <c r="K67"/>
      <c r="L67"/>
      <c r="M67"/>
      <c r="N67"/>
      <c r="R67"/>
      <c r="S67" s="3"/>
      <c r="T67" s="3"/>
      <c r="U67" s="3"/>
      <c r="V67"/>
      <c r="W67" s="3"/>
      <c r="X67" s="3"/>
      <c r="Y67" s="3"/>
      <c r="Z67"/>
      <c r="AA67"/>
      <c r="AB67"/>
      <c r="AC67"/>
      <c r="AD67"/>
      <c r="AE67" s="3"/>
      <c r="AF67" s="3"/>
      <c r="AG67" s="3"/>
      <c r="AH67"/>
      <c r="AI67" s="3"/>
      <c r="AJ67" s="3"/>
      <c r="AK67" s="3"/>
      <c r="AM67" s="3"/>
      <c r="AN67" s="3"/>
      <c r="AO67" s="3"/>
    </row>
    <row r="68" spans="1:41" x14ac:dyDescent="0.2">
      <c r="A68"/>
      <c r="C68"/>
      <c r="D68"/>
      <c r="E68"/>
      <c r="F68"/>
      <c r="G68"/>
      <c r="H68"/>
      <c r="I68"/>
      <c r="J68"/>
      <c r="K68"/>
      <c r="L68"/>
      <c r="M68"/>
      <c r="N68"/>
      <c r="R68"/>
      <c r="S68" s="3"/>
      <c r="T68" s="3"/>
      <c r="U68" s="3"/>
      <c r="V68"/>
      <c r="W68" s="3"/>
      <c r="X68" s="3"/>
      <c r="Y68" s="3"/>
      <c r="Z68"/>
      <c r="AA68"/>
      <c r="AB68"/>
      <c r="AC68"/>
      <c r="AD68"/>
      <c r="AE68" s="3"/>
      <c r="AF68" s="3"/>
      <c r="AG68" s="3"/>
      <c r="AH68"/>
      <c r="AI68" s="3"/>
      <c r="AJ68" s="3"/>
      <c r="AK68" s="3"/>
      <c r="AM68" s="3"/>
      <c r="AN68" s="3"/>
      <c r="AO68" s="3"/>
    </row>
    <row r="69" spans="1:41" x14ac:dyDescent="0.2">
      <c r="A69"/>
      <c r="C69"/>
      <c r="D69"/>
      <c r="E69"/>
      <c r="F69"/>
      <c r="G69"/>
      <c r="H69"/>
      <c r="I69"/>
      <c r="J69"/>
      <c r="K69"/>
      <c r="L69"/>
      <c r="M69"/>
      <c r="N69"/>
      <c r="R69"/>
      <c r="S69" s="3"/>
      <c r="T69" s="3"/>
      <c r="U69" s="3"/>
      <c r="V69"/>
      <c r="W69" s="3"/>
      <c r="X69" s="3"/>
      <c r="Y69" s="3"/>
      <c r="Z69"/>
      <c r="AA69"/>
      <c r="AB69"/>
      <c r="AC69"/>
      <c r="AD69"/>
      <c r="AE69" s="3"/>
      <c r="AF69" s="3"/>
      <c r="AG69" s="3"/>
      <c r="AH69"/>
      <c r="AI69" s="3"/>
      <c r="AJ69" s="3"/>
      <c r="AK69" s="3"/>
      <c r="AM69" s="3"/>
      <c r="AN69" s="3"/>
      <c r="AO69" s="3"/>
    </row>
    <row r="70" spans="1:41" x14ac:dyDescent="0.2">
      <c r="A70"/>
      <c r="C70"/>
      <c r="D70"/>
      <c r="E70"/>
      <c r="F70"/>
      <c r="G70"/>
      <c r="H70"/>
      <c r="I70"/>
      <c r="J70"/>
      <c r="K70"/>
      <c r="L70"/>
      <c r="M70"/>
      <c r="N70"/>
      <c r="R70"/>
      <c r="S70" s="3"/>
      <c r="T70" s="3"/>
      <c r="U70" s="3"/>
      <c r="V70"/>
      <c r="W70" s="3"/>
      <c r="X70" s="3"/>
      <c r="Y70" s="3"/>
      <c r="Z70"/>
      <c r="AA70"/>
      <c r="AB70"/>
      <c r="AC70"/>
      <c r="AD70"/>
      <c r="AE70" s="3"/>
      <c r="AF70" s="3"/>
      <c r="AG70" s="3"/>
      <c r="AH70"/>
      <c r="AI70" s="3"/>
      <c r="AJ70" s="3"/>
      <c r="AK70" s="3"/>
      <c r="AM70" s="3"/>
      <c r="AN70" s="3"/>
      <c r="AO70" s="3"/>
    </row>
    <row r="71" spans="1:41" x14ac:dyDescent="0.2">
      <c r="A71"/>
      <c r="C71"/>
      <c r="D71"/>
      <c r="E71"/>
      <c r="F71"/>
      <c r="G71"/>
      <c r="H71"/>
      <c r="I71"/>
      <c r="J71"/>
      <c r="K71"/>
      <c r="L71"/>
      <c r="M71"/>
      <c r="N71"/>
      <c r="R71"/>
      <c r="S71" s="3"/>
      <c r="T71" s="3"/>
      <c r="U71" s="3"/>
      <c r="V71"/>
      <c r="W71" s="3"/>
      <c r="X71" s="3"/>
      <c r="Y71" s="3"/>
      <c r="Z71"/>
      <c r="AA71"/>
      <c r="AB71"/>
      <c r="AC71"/>
      <c r="AD71"/>
      <c r="AE71" s="3"/>
      <c r="AF71" s="3"/>
      <c r="AG71" s="3"/>
      <c r="AH71"/>
      <c r="AI71" s="3"/>
      <c r="AJ71" s="3"/>
      <c r="AK71" s="3"/>
      <c r="AM71" s="3"/>
      <c r="AN71" s="3"/>
      <c r="AO71" s="3"/>
    </row>
    <row r="72" spans="1:41" x14ac:dyDescent="0.2">
      <c r="A72"/>
      <c r="C72"/>
      <c r="D72"/>
      <c r="E72"/>
      <c r="F72"/>
      <c r="G72"/>
      <c r="H72"/>
      <c r="I72"/>
      <c r="J72"/>
      <c r="K72"/>
      <c r="L72"/>
      <c r="M72"/>
      <c r="N72"/>
      <c r="R72"/>
      <c r="S72" s="3"/>
      <c r="T72" s="3"/>
      <c r="U72" s="3"/>
      <c r="V72"/>
      <c r="W72" s="3"/>
      <c r="X72" s="3"/>
      <c r="Y72" s="3"/>
      <c r="Z72"/>
      <c r="AA72"/>
      <c r="AB72"/>
      <c r="AC72"/>
      <c r="AD72"/>
      <c r="AE72" s="3"/>
      <c r="AF72" s="3"/>
      <c r="AG72" s="3"/>
      <c r="AH72"/>
      <c r="AI72" s="3"/>
      <c r="AJ72" s="3"/>
      <c r="AK72" s="3"/>
      <c r="AM72" s="3"/>
      <c r="AN72" s="3"/>
      <c r="AO72" s="3"/>
    </row>
    <row r="73" spans="1:41" x14ac:dyDescent="0.2">
      <c r="A73"/>
      <c r="C73"/>
      <c r="D73"/>
      <c r="E73"/>
      <c r="F73"/>
      <c r="G73"/>
      <c r="H73"/>
      <c r="I73"/>
      <c r="J73"/>
      <c r="K73"/>
      <c r="L73"/>
      <c r="M73"/>
      <c r="N73"/>
      <c r="R73"/>
      <c r="S73" s="3"/>
      <c r="T73" s="3"/>
      <c r="U73" s="3"/>
      <c r="V73"/>
      <c r="W73" s="3"/>
      <c r="X73" s="3"/>
      <c r="Y73" s="3"/>
      <c r="Z73"/>
      <c r="AA73"/>
      <c r="AB73"/>
      <c r="AC73"/>
      <c r="AD73"/>
      <c r="AE73" s="3"/>
      <c r="AF73" s="3"/>
      <c r="AG73" s="3"/>
      <c r="AH73"/>
      <c r="AI73" s="3"/>
      <c r="AJ73" s="3"/>
      <c r="AK73" s="3"/>
      <c r="AM73" s="3"/>
      <c r="AN73" s="3"/>
      <c r="AO73" s="3"/>
    </row>
    <row r="74" spans="1:41" x14ac:dyDescent="0.2">
      <c r="A74"/>
      <c r="C74"/>
      <c r="D74"/>
      <c r="E74"/>
      <c r="F74"/>
      <c r="G74"/>
      <c r="H74"/>
      <c r="I74"/>
      <c r="J74"/>
      <c r="K74"/>
      <c r="L74"/>
      <c r="M74"/>
      <c r="N74"/>
      <c r="R74"/>
      <c r="S74" s="3"/>
      <c r="T74" s="3"/>
      <c r="U74" s="3"/>
      <c r="V74"/>
      <c r="W74" s="3"/>
      <c r="X74" s="3"/>
      <c r="Y74" s="3"/>
      <c r="Z74"/>
      <c r="AA74"/>
      <c r="AB74"/>
      <c r="AC74"/>
      <c r="AD74"/>
      <c r="AE74" s="3"/>
      <c r="AF74" s="3"/>
      <c r="AG74" s="3"/>
      <c r="AH74"/>
      <c r="AI74" s="3"/>
      <c r="AJ74" s="3"/>
      <c r="AK74" s="3"/>
      <c r="AM74" s="3"/>
      <c r="AN74" s="3"/>
      <c r="AO74" s="3"/>
    </row>
    <row r="75" spans="1:41" x14ac:dyDescent="0.2">
      <c r="A75"/>
      <c r="C75"/>
      <c r="D75"/>
      <c r="E75"/>
      <c r="F75"/>
      <c r="G75"/>
      <c r="H75"/>
      <c r="I75"/>
      <c r="J75"/>
      <c r="K75"/>
      <c r="L75"/>
      <c r="M75"/>
      <c r="N75"/>
      <c r="R75"/>
      <c r="S75" s="3"/>
      <c r="T75" s="3"/>
      <c r="U75" s="3"/>
      <c r="V75"/>
      <c r="W75" s="3"/>
      <c r="X75" s="3"/>
      <c r="Y75" s="3"/>
      <c r="Z75"/>
      <c r="AA75"/>
      <c r="AB75"/>
      <c r="AC75"/>
      <c r="AD75"/>
      <c r="AE75" s="3"/>
      <c r="AF75" s="3"/>
      <c r="AG75" s="3"/>
      <c r="AH75"/>
      <c r="AI75" s="3"/>
      <c r="AJ75" s="3"/>
      <c r="AK75" s="3"/>
      <c r="AM75" s="3"/>
      <c r="AN75" s="3"/>
      <c r="AO75" s="3"/>
    </row>
    <row r="76" spans="1:41" x14ac:dyDescent="0.2">
      <c r="A76"/>
      <c r="C76"/>
      <c r="D76"/>
      <c r="E76"/>
      <c r="F76"/>
      <c r="G76"/>
      <c r="H76"/>
      <c r="I76"/>
      <c r="J76"/>
      <c r="K76"/>
      <c r="L76"/>
      <c r="M76"/>
      <c r="N76"/>
      <c r="R76"/>
      <c r="S76" s="3"/>
      <c r="T76" s="3"/>
      <c r="U76" s="3"/>
      <c r="V76"/>
      <c r="W76" s="3"/>
      <c r="X76" s="3"/>
      <c r="Y76" s="3"/>
      <c r="Z76"/>
      <c r="AA76"/>
      <c r="AB76"/>
      <c r="AC76"/>
      <c r="AD76"/>
      <c r="AE76" s="3"/>
      <c r="AF76" s="3"/>
      <c r="AG76" s="3"/>
      <c r="AH76"/>
      <c r="AI76" s="3"/>
      <c r="AJ76" s="3"/>
      <c r="AK76" s="3"/>
      <c r="AM76" s="3"/>
      <c r="AN76" s="3"/>
      <c r="AO76" s="3"/>
    </row>
    <row r="77" spans="1:41" x14ac:dyDescent="0.2">
      <c r="A77"/>
      <c r="C77"/>
      <c r="D77"/>
      <c r="E77"/>
      <c r="F77"/>
      <c r="G77"/>
      <c r="H77"/>
      <c r="I77"/>
      <c r="J77"/>
      <c r="K77"/>
      <c r="L77"/>
      <c r="M77"/>
      <c r="N77"/>
      <c r="R77"/>
      <c r="V77"/>
      <c r="Z77"/>
      <c r="AA77"/>
      <c r="AB77"/>
      <c r="AC77"/>
      <c r="AD77"/>
      <c r="AH77"/>
    </row>
    <row r="78" spans="1:41" x14ac:dyDescent="0.2">
      <c r="A78"/>
      <c r="C78"/>
      <c r="D78"/>
      <c r="E78"/>
      <c r="F78"/>
      <c r="G78"/>
      <c r="H78"/>
      <c r="I78"/>
      <c r="J78"/>
      <c r="K78"/>
      <c r="L78"/>
      <c r="M78"/>
      <c r="N78"/>
      <c r="R78"/>
      <c r="V78"/>
      <c r="Z78"/>
      <c r="AA78"/>
      <c r="AB78"/>
      <c r="AC78"/>
      <c r="AD78"/>
      <c r="AH78"/>
    </row>
    <row r="79" spans="1:41" x14ac:dyDescent="0.2">
      <c r="A79"/>
      <c r="C79"/>
      <c r="D79"/>
      <c r="E79"/>
      <c r="F79"/>
      <c r="G79"/>
      <c r="H79"/>
      <c r="I79"/>
      <c r="J79"/>
      <c r="K79"/>
      <c r="L79"/>
      <c r="M79"/>
      <c r="N79"/>
      <c r="R79"/>
      <c r="V79"/>
      <c r="Z79"/>
      <c r="AA79"/>
      <c r="AB79"/>
      <c r="AC79"/>
      <c r="AD79"/>
      <c r="AH79"/>
    </row>
    <row r="80" spans="1:41" x14ac:dyDescent="0.2">
      <c r="A80"/>
      <c r="C80"/>
      <c r="D80"/>
      <c r="E80"/>
      <c r="F80"/>
      <c r="G80"/>
      <c r="H80"/>
      <c r="I80"/>
      <c r="J80"/>
      <c r="K80"/>
      <c r="L80"/>
      <c r="M80"/>
      <c r="N80"/>
      <c r="R80"/>
      <c r="V80"/>
      <c r="Z80"/>
      <c r="AA80"/>
      <c r="AB80"/>
      <c r="AC80"/>
      <c r="AD80"/>
      <c r="AH80"/>
    </row>
    <row r="81" spans="1:34" x14ac:dyDescent="0.2">
      <c r="A81"/>
      <c r="C81"/>
      <c r="D81"/>
      <c r="E81"/>
      <c r="F81"/>
      <c r="G81"/>
      <c r="H81"/>
      <c r="I81"/>
      <c r="J81"/>
      <c r="K81"/>
      <c r="L81"/>
      <c r="M81"/>
      <c r="N81"/>
      <c r="R81"/>
      <c r="V81"/>
      <c r="Z81"/>
      <c r="AA81"/>
      <c r="AB81"/>
      <c r="AC81"/>
      <c r="AD81"/>
      <c r="AH81"/>
    </row>
    <row r="82" spans="1:34" x14ac:dyDescent="0.2">
      <c r="A82"/>
      <c r="C82"/>
      <c r="D82"/>
      <c r="E82"/>
      <c r="F82"/>
      <c r="G82"/>
      <c r="H82"/>
      <c r="I82"/>
      <c r="J82"/>
      <c r="K82"/>
      <c r="L82"/>
      <c r="M82"/>
      <c r="N82"/>
      <c r="R82"/>
      <c r="V82"/>
      <c r="Z82"/>
      <c r="AA82"/>
      <c r="AB82"/>
      <c r="AC82"/>
      <c r="AD82"/>
      <c r="AH82"/>
    </row>
    <row r="83" spans="1:34" x14ac:dyDescent="0.2">
      <c r="A83"/>
      <c r="C83"/>
      <c r="D83"/>
      <c r="E83"/>
      <c r="F83"/>
      <c r="G83"/>
      <c r="H83"/>
      <c r="I83"/>
      <c r="J83"/>
      <c r="K83"/>
      <c r="L83"/>
      <c r="M83"/>
      <c r="N83"/>
      <c r="R83"/>
      <c r="V83"/>
      <c r="Z83"/>
      <c r="AA83"/>
      <c r="AB83"/>
      <c r="AC83"/>
      <c r="AD83"/>
      <c r="AH83"/>
    </row>
    <row r="84" spans="1:34" x14ac:dyDescent="0.2">
      <c r="A84"/>
      <c r="C84"/>
      <c r="D84"/>
      <c r="E84"/>
      <c r="F84"/>
      <c r="G84"/>
      <c r="H84"/>
      <c r="I84"/>
      <c r="J84"/>
      <c r="K84"/>
      <c r="L84"/>
      <c r="M84"/>
      <c r="N84"/>
      <c r="R84"/>
      <c r="V84"/>
      <c r="Z84"/>
      <c r="AA84"/>
      <c r="AB84"/>
      <c r="AC84"/>
      <c r="AD84"/>
      <c r="AH84"/>
    </row>
    <row r="85" spans="1:34" x14ac:dyDescent="0.2">
      <c r="A85"/>
      <c r="C85"/>
      <c r="D85"/>
      <c r="E85"/>
      <c r="F85"/>
      <c r="G85"/>
      <c r="H85"/>
      <c r="I85"/>
      <c r="J85"/>
      <c r="K85"/>
      <c r="L85"/>
      <c r="M85"/>
      <c r="N85"/>
      <c r="R85"/>
      <c r="V85"/>
      <c r="Z85"/>
      <c r="AA85"/>
      <c r="AB85"/>
      <c r="AC85"/>
      <c r="AD85"/>
      <c r="AH85"/>
    </row>
    <row r="86" spans="1:34" x14ac:dyDescent="0.2">
      <c r="A86"/>
      <c r="C86"/>
      <c r="D86"/>
      <c r="E86"/>
      <c r="F86"/>
      <c r="G86"/>
      <c r="H86"/>
      <c r="I86"/>
      <c r="J86"/>
      <c r="K86"/>
      <c r="L86"/>
      <c r="M86"/>
      <c r="N86"/>
      <c r="R86"/>
      <c r="V86"/>
      <c r="Z86"/>
      <c r="AA86"/>
      <c r="AB86"/>
      <c r="AC86"/>
      <c r="AD86"/>
      <c r="AH86"/>
    </row>
    <row r="87" spans="1:34" x14ac:dyDescent="0.2">
      <c r="A87"/>
      <c r="C87"/>
      <c r="D87"/>
      <c r="E87"/>
      <c r="F87"/>
      <c r="G87"/>
      <c r="H87"/>
      <c r="I87"/>
      <c r="J87"/>
      <c r="K87"/>
      <c r="L87"/>
      <c r="M87"/>
      <c r="N87"/>
      <c r="R87"/>
      <c r="V87"/>
      <c r="Z87"/>
      <c r="AA87"/>
      <c r="AB87"/>
      <c r="AC87"/>
      <c r="AD87"/>
      <c r="AH87"/>
    </row>
    <row r="88" spans="1:34" x14ac:dyDescent="0.2">
      <c r="A88"/>
      <c r="C88"/>
      <c r="D88"/>
      <c r="E88"/>
      <c r="F88"/>
      <c r="G88"/>
      <c r="H88"/>
      <c r="I88"/>
      <c r="J88"/>
      <c r="K88"/>
      <c r="L88"/>
      <c r="M88"/>
      <c r="N88"/>
      <c r="R88"/>
      <c r="V88"/>
      <c r="Z88"/>
      <c r="AA88"/>
      <c r="AB88"/>
      <c r="AC88"/>
      <c r="AD88"/>
      <c r="AH88"/>
    </row>
    <row r="89" spans="1:34" x14ac:dyDescent="0.2">
      <c r="A89"/>
      <c r="J89"/>
      <c r="N89"/>
      <c r="R89"/>
      <c r="V89"/>
      <c r="Z89"/>
      <c r="AA89"/>
      <c r="AB89"/>
      <c r="AC89"/>
      <c r="AD89"/>
      <c r="AH89"/>
    </row>
  </sheetData>
  <phoneticPr fontId="1" type="noConversion"/>
  <pageMargins left="0.25" right="0" top="0" bottom="0.25" header="0.5" footer="0"/>
  <pageSetup scale="85" orientation="landscape" r:id="rId1"/>
  <headerFooter alignWithMargins="0">
    <oddFooter>&amp;CPage &amp;P of &amp;N&amp;R&amp;D</oddFooter>
  </headerFooter>
  <colBreaks count="7" manualBreakCount="7">
    <brk id="26" max="1048575" man="1"/>
    <brk id="38" max="1048575" man="1"/>
    <brk id="50" max="1048575" man="1"/>
    <brk id="62" max="1048575" man="1"/>
    <brk id="74" max="1048575" man="1"/>
    <brk id="86" max="1048575" man="1"/>
    <brk id="9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b5a46-2bc3-4c92-a271-448cca1da9dc">
      <Terms xmlns="http://schemas.microsoft.com/office/infopath/2007/PartnerControls"/>
    </lcf76f155ced4ddcb4097134ff3c332f>
    <TaxCatchAll xmlns="176cbe70-41d0-4d0d-93d7-b7bb590be22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D2513532D204BBD7C710C64FBE324" ma:contentTypeVersion="18" ma:contentTypeDescription="Create a new document." ma:contentTypeScope="" ma:versionID="2d85b38a99a10e11226745378b9c71b2">
  <xsd:schema xmlns:xsd="http://www.w3.org/2001/XMLSchema" xmlns:xs="http://www.w3.org/2001/XMLSchema" xmlns:p="http://schemas.microsoft.com/office/2006/metadata/properties" xmlns:ns2="176cbe70-41d0-4d0d-93d7-b7bb590be226" xmlns:ns3="1aab5a46-2bc3-4c92-a271-448cca1da9dc" targetNamespace="http://schemas.microsoft.com/office/2006/metadata/properties" ma:root="true" ma:fieldsID="810463d24ea8c039e23e6c8f38e32527" ns2:_="" ns3:_="">
    <xsd:import namespace="176cbe70-41d0-4d0d-93d7-b7bb590be226"/>
    <xsd:import namespace="1aab5a46-2bc3-4c92-a271-448cca1da9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cbe70-41d0-4d0d-93d7-b7bb590be2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798f33-3d80-4f62-8d00-3bced575e494}" ma:internalName="TaxCatchAll" ma:showField="CatchAllData" ma:web="176cbe70-41d0-4d0d-93d7-b7bb590be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b5a46-2bc3-4c92-a271-448cca1da9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8de63f-17c9-4549-bd0e-40c937605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23881D-6FF5-424D-A340-1B570EEA14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23F1B1-147C-4D0F-B660-5EDCB8034BA0}">
  <ds:schemaRefs>
    <ds:schemaRef ds:uri="0c8ef2fa-e185-4145-9060-da5e913317f5"/>
    <ds:schemaRef ds:uri="http://purl.org/dc/terms/"/>
    <ds:schemaRef ds:uri="http://purl.org/dc/elements/1.1/"/>
    <ds:schemaRef ds:uri="http://www.w3.org/XML/1998/namespace"/>
    <ds:schemaRef ds:uri="fb01b7f1-02f8-40dd-82e7-c2f3d510b4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2B52B8-B11D-4685-8C6A-60C9191A19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2006A after 2012D</vt:lpstr>
      <vt:lpstr>'2006A after 2012D'!Print_Titles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2006A DS Final</dc:title>
  <dc:creator>Weems R McFadden</dc:creator>
  <cp:lastModifiedBy>Cindy Lui</cp:lastModifiedBy>
  <cp:lastPrinted>2012-12-13T16:20:01Z</cp:lastPrinted>
  <dcterms:created xsi:type="dcterms:W3CDTF">1998-02-23T20:58:01Z</dcterms:created>
  <dcterms:modified xsi:type="dcterms:W3CDTF">2026-04-20T21:02:15Z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0x0101001C7D2513532D204BBD7C710C64FBE324</vt:lpwstr>
  </property>
</Properties>
</file>