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30049E10-BFBA-4FB0-AEF2-C60327839093}" xr6:coauthVersionLast="47" xr6:coauthVersionMax="47" xr10:uidLastSave="{00000000-0000-0000-0000-000000000000}"/>
  <bookViews>
    <workbookView xWindow="29550" yWindow="615" windowWidth="28245" windowHeight="14415" tabRatio="1000" xr2:uid="{96EBC3E5-D6D3-4F62-9568-CD352BFC485B}"/>
  </bookViews>
  <sheets>
    <sheet name="Ref 2016B Final" sheetId="7" r:id="rId1"/>
  </sheets>
  <definedNames>
    <definedName name="_xlnm.Print_Titles" localSheetId="0">'Ref 2016B Final'!$A:$A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31" i="7" l="1"/>
  <c r="DC31" i="7" s="1"/>
  <c r="DB31" i="7"/>
  <c r="DB30" i="7"/>
  <c r="DC30" i="7" s="1"/>
  <c r="DA29" i="7"/>
  <c r="DC29" i="7" s="1"/>
  <c r="DB29" i="7"/>
  <c r="DB28" i="7"/>
  <c r="DC28" i="7" s="1"/>
  <c r="DA27" i="7"/>
  <c r="DC27" i="7" s="1"/>
  <c r="DB27" i="7"/>
  <c r="DB26" i="7"/>
  <c r="DC26" i="7" s="1"/>
  <c r="DA25" i="7"/>
  <c r="DC25" i="7" s="1"/>
  <c r="DB25" i="7"/>
  <c r="DB24" i="7"/>
  <c r="DC24" i="7" s="1"/>
  <c r="DF31" i="7"/>
  <c r="DE31" i="7"/>
  <c r="DE49" i="7" s="1"/>
  <c r="DF30" i="7"/>
  <c r="DG30" i="7" s="1"/>
  <c r="DF29" i="7"/>
  <c r="DE29" i="7"/>
  <c r="DG29" i="7" s="1"/>
  <c r="DG28" i="7"/>
  <c r="DF28" i="7"/>
  <c r="DF27" i="7"/>
  <c r="DE27" i="7"/>
  <c r="DG27" i="7"/>
  <c r="DF26" i="7"/>
  <c r="DG26" i="7" s="1"/>
  <c r="DF25" i="7"/>
  <c r="DF49" i="7" s="1"/>
  <c r="DE25" i="7"/>
  <c r="DF24" i="7"/>
  <c r="DG24" i="7" s="1"/>
  <c r="DG9" i="7"/>
  <c r="DG8" i="7"/>
  <c r="H49" i="7"/>
  <c r="G49" i="7"/>
  <c r="F49" i="7"/>
  <c r="E49" i="7"/>
  <c r="D49" i="7"/>
  <c r="C49" i="7"/>
  <c r="J47" i="7"/>
  <c r="I47" i="7"/>
  <c r="K47" i="7" s="1"/>
  <c r="J46" i="7"/>
  <c r="K46" i="7" s="1"/>
  <c r="J45" i="7"/>
  <c r="I45" i="7"/>
  <c r="CC45" i="7" s="1"/>
  <c r="CE45" i="7" s="1"/>
  <c r="J44" i="7"/>
  <c r="K44" i="7" s="1"/>
  <c r="J43" i="7"/>
  <c r="CT43" i="7" s="1"/>
  <c r="I43" i="7"/>
  <c r="BY43" i="7"/>
  <c r="J42" i="7"/>
  <c r="K42" i="7" s="1"/>
  <c r="J41" i="7"/>
  <c r="I41" i="7"/>
  <c r="BM41" i="7"/>
  <c r="J40" i="7"/>
  <c r="K40" i="7" s="1"/>
  <c r="J39" i="7"/>
  <c r="I39" i="7"/>
  <c r="K39" i="7"/>
  <c r="J38" i="7"/>
  <c r="AT38" i="7" s="1"/>
  <c r="AU38" i="7" s="1"/>
  <c r="BZ38" i="7"/>
  <c r="CA38" i="7" s="1"/>
  <c r="J37" i="7"/>
  <c r="Z37" i="7"/>
  <c r="I37" i="7"/>
  <c r="J36" i="7"/>
  <c r="K36" i="7" s="1"/>
  <c r="J35" i="7"/>
  <c r="CX35" i="7"/>
  <c r="I35" i="7"/>
  <c r="BI35" i="7" s="1"/>
  <c r="Y35" i="7"/>
  <c r="J34" i="7"/>
  <c r="J33" i="7"/>
  <c r="K33" i="7" s="1"/>
  <c r="I33" i="7"/>
  <c r="J32" i="7"/>
  <c r="K32" i="7" s="1"/>
  <c r="J31" i="7"/>
  <c r="I31" i="7"/>
  <c r="K31" i="7"/>
  <c r="K30" i="7"/>
  <c r="J30" i="7"/>
  <c r="J29" i="7"/>
  <c r="I29" i="7"/>
  <c r="J28" i="7"/>
  <c r="J27" i="7"/>
  <c r="I27" i="7"/>
  <c r="J26" i="7"/>
  <c r="K26" i="7" s="1"/>
  <c r="J25" i="7"/>
  <c r="I25" i="7"/>
  <c r="BQ25" i="7" s="1"/>
  <c r="J24" i="7"/>
  <c r="K24" i="7" s="1"/>
  <c r="J23" i="7"/>
  <c r="V23" i="7" s="1"/>
  <c r="I23" i="7"/>
  <c r="J22" i="7"/>
  <c r="K22" i="7"/>
  <c r="J21" i="7"/>
  <c r="I21" i="7"/>
  <c r="J20" i="7"/>
  <c r="CD20" i="7"/>
  <c r="CE20" i="7"/>
  <c r="J19" i="7"/>
  <c r="CD19" i="7" s="1"/>
  <c r="I19" i="7"/>
  <c r="J18" i="7"/>
  <c r="AT18" i="7" s="1"/>
  <c r="AU18" i="7" s="1"/>
  <c r="CX18" i="7"/>
  <c r="CY18" i="7" s="1"/>
  <c r="J17" i="7"/>
  <c r="I17" i="7"/>
  <c r="K17" i="7" s="1"/>
  <c r="J16" i="7"/>
  <c r="K16" i="7"/>
  <c r="J15" i="7"/>
  <c r="CP15" i="7" s="1"/>
  <c r="V15" i="7"/>
  <c r="I15" i="7"/>
  <c r="J14" i="7"/>
  <c r="AL14" i="7" s="1"/>
  <c r="AM14" i="7" s="1"/>
  <c r="J13" i="7"/>
  <c r="CP13" i="7"/>
  <c r="I13" i="7"/>
  <c r="BQ13" i="7"/>
  <c r="J12" i="7"/>
  <c r="CP12" i="7"/>
  <c r="CQ12" i="7"/>
  <c r="K12" i="7"/>
  <c r="J11" i="7"/>
  <c r="I11" i="7"/>
  <c r="J10" i="7"/>
  <c r="BZ10" i="7" s="1"/>
  <c r="CA10" i="7" s="1"/>
  <c r="J9" i="7"/>
  <c r="I9" i="7"/>
  <c r="K9" i="7" s="1"/>
  <c r="J8" i="7"/>
  <c r="N49" i="7"/>
  <c r="M49" i="7"/>
  <c r="BZ47" i="7"/>
  <c r="O47" i="7"/>
  <c r="O46" i="7"/>
  <c r="CX46" i="7"/>
  <c r="CY46" i="7" s="1"/>
  <c r="BV45" i="7"/>
  <c r="O45" i="7"/>
  <c r="O44" i="7"/>
  <c r="O43" i="7"/>
  <c r="O42" i="7"/>
  <c r="O41" i="7"/>
  <c r="CK41" i="7"/>
  <c r="O40" i="7"/>
  <c r="CP40" i="7"/>
  <c r="CQ40" i="7"/>
  <c r="O39" i="7"/>
  <c r="BJ38" i="7"/>
  <c r="BK38" i="7" s="1"/>
  <c r="O38" i="7"/>
  <c r="CT37" i="7"/>
  <c r="O37" i="7"/>
  <c r="CO37" i="7"/>
  <c r="BV36" i="7"/>
  <c r="BW36" i="7" s="1"/>
  <c r="BF36" i="7"/>
  <c r="BG36" i="7"/>
  <c r="AX36" i="7"/>
  <c r="AY36" i="7" s="1"/>
  <c r="O36" i="7"/>
  <c r="O35" i="7"/>
  <c r="O34" i="7"/>
  <c r="CO33" i="7"/>
  <c r="CG33" i="7"/>
  <c r="BY33" i="7"/>
  <c r="BQ33" i="7"/>
  <c r="BE33" i="7"/>
  <c r="AK33" i="7"/>
  <c r="Y33" i="7"/>
  <c r="O33" i="7"/>
  <c r="CD33" i="7"/>
  <c r="CS33" i="7"/>
  <c r="AL32" i="7"/>
  <c r="AM32" i="7" s="1"/>
  <c r="O32" i="7"/>
  <c r="CP32" i="7"/>
  <c r="CQ32" i="7"/>
  <c r="O31" i="7"/>
  <c r="O30" i="7"/>
  <c r="CY30" i="7"/>
  <c r="BQ29" i="7"/>
  <c r="AO29" i="7"/>
  <c r="O29" i="7"/>
  <c r="CG29" i="7"/>
  <c r="O28" i="7"/>
  <c r="CW27" i="7"/>
  <c r="Y27" i="7"/>
  <c r="O27" i="7"/>
  <c r="O26" i="7"/>
  <c r="O49" i="7" s="1"/>
  <c r="O25" i="7"/>
  <c r="O24" i="7"/>
  <c r="CI24" i="7"/>
  <c r="CD23" i="7"/>
  <c r="O23" i="7"/>
  <c r="CX23" i="7"/>
  <c r="CL22" i="7"/>
  <c r="CM22" i="7" s="1"/>
  <c r="BF22" i="7"/>
  <c r="BG22" i="7"/>
  <c r="Z22" i="7"/>
  <c r="AA22" i="7" s="1"/>
  <c r="O22" i="7"/>
  <c r="CD22" i="7"/>
  <c r="CE22" i="7" s="1"/>
  <c r="AG21" i="7"/>
  <c r="Y21" i="7"/>
  <c r="O21" i="7"/>
  <c r="CH20" i="7"/>
  <c r="CI20" i="7"/>
  <c r="BR20" i="7"/>
  <c r="BS20" i="7"/>
  <c r="BB20" i="7"/>
  <c r="BC20" i="7" s="1"/>
  <c r="AL20" i="7"/>
  <c r="AM20" i="7"/>
  <c r="O20" i="7"/>
  <c r="CP20" i="7"/>
  <c r="CQ20" i="7" s="1"/>
  <c r="O19" i="7"/>
  <c r="BZ18" i="7"/>
  <c r="CA18" i="7"/>
  <c r="O18" i="7"/>
  <c r="CW17" i="7"/>
  <c r="BI17" i="7"/>
  <c r="BA17" i="7"/>
  <c r="AK17" i="7"/>
  <c r="U17" i="7"/>
  <c r="O17" i="7"/>
  <c r="CT17" i="7"/>
  <c r="O16" i="7"/>
  <c r="BB15" i="7"/>
  <c r="O15" i="7"/>
  <c r="CX15" i="7"/>
  <c r="R15" i="7" s="1"/>
  <c r="CD14" i="7"/>
  <c r="CE14" i="7" s="1"/>
  <c r="AX14" i="7"/>
  <c r="AY14" i="7" s="1"/>
  <c r="O14" i="7"/>
  <c r="CT14" i="7"/>
  <c r="CU14" i="7" s="1"/>
  <c r="U13" i="7"/>
  <c r="O13" i="7"/>
  <c r="O12" i="7"/>
  <c r="O11" i="7"/>
  <c r="CS11" i="7"/>
  <c r="AX10" i="7"/>
  <c r="V10" i="7"/>
  <c r="W10" i="7" s="1"/>
  <c r="O10" i="7"/>
  <c r="DC9" i="7"/>
  <c r="CY9" i="7"/>
  <c r="CU9" i="7"/>
  <c r="CQ9" i="7"/>
  <c r="CM9" i="7"/>
  <c r="CI9" i="7"/>
  <c r="CE9" i="7"/>
  <c r="CA9" i="7"/>
  <c r="BW9" i="7"/>
  <c r="BS9" i="7"/>
  <c r="BO9" i="7"/>
  <c r="BK9" i="7"/>
  <c r="BG9" i="7"/>
  <c r="BC9" i="7"/>
  <c r="AY9" i="7"/>
  <c r="AU9" i="7"/>
  <c r="AQ9" i="7"/>
  <c r="AM9" i="7"/>
  <c r="AI9" i="7"/>
  <c r="AE9" i="7"/>
  <c r="AA9" i="7"/>
  <c r="W9" i="7"/>
  <c r="R9" i="7"/>
  <c r="Q9" i="7"/>
  <c r="O9" i="7"/>
  <c r="DC8" i="7"/>
  <c r="CY8" i="7"/>
  <c r="CQ8" i="7"/>
  <c r="CM8" i="7"/>
  <c r="CI8" i="7"/>
  <c r="CE8" i="7"/>
  <c r="CA8" i="7"/>
  <c r="BW8" i="7"/>
  <c r="BS8" i="7"/>
  <c r="BO8" i="7"/>
  <c r="BK8" i="7"/>
  <c r="BG8" i="7"/>
  <c r="BC8" i="7"/>
  <c r="AY8" i="7"/>
  <c r="AU8" i="7"/>
  <c r="AQ8" i="7"/>
  <c r="AM8" i="7"/>
  <c r="AI8" i="7"/>
  <c r="AA8" i="7"/>
  <c r="W8" i="7"/>
  <c r="R8" i="7"/>
  <c r="O8" i="7"/>
  <c r="R6" i="7"/>
  <c r="Z10" i="7"/>
  <c r="BJ10" i="7"/>
  <c r="BK10" i="7"/>
  <c r="CL10" i="7"/>
  <c r="V18" i="7"/>
  <c r="BB18" i="7"/>
  <c r="BC18" i="7"/>
  <c r="CH18" i="7"/>
  <c r="CI18" i="7" s="1"/>
  <c r="CC23" i="7"/>
  <c r="CE23" i="7" s="1"/>
  <c r="AX37" i="7"/>
  <c r="CT45" i="7"/>
  <c r="K10" i="7"/>
  <c r="K18" i="7"/>
  <c r="CP10" i="7"/>
  <c r="CQ10" i="7"/>
  <c r="AH10" i="7"/>
  <c r="AI10" i="7"/>
  <c r="BR10" i="7"/>
  <c r="CT10" i="7"/>
  <c r="AD18" i="7"/>
  <c r="AE18" i="7" s="1"/>
  <c r="BJ18" i="7"/>
  <c r="BK18" i="7"/>
  <c r="CP18" i="7"/>
  <c r="CQ18" i="7"/>
  <c r="AK39" i="7"/>
  <c r="AM39" i="7"/>
  <c r="AS39" i="7"/>
  <c r="AU39" i="7" s="1"/>
  <c r="AH45" i="7"/>
  <c r="AP10" i="7"/>
  <c r="AQ10" i="7"/>
  <c r="CT18" i="7"/>
  <c r="CU18" i="7" s="1"/>
  <c r="AL18" i="7"/>
  <c r="AM18" i="7"/>
  <c r="BR18" i="7"/>
  <c r="BS18" i="7"/>
  <c r="AD10" i="7"/>
  <c r="AE10" i="7"/>
  <c r="AT10" i="7"/>
  <c r="AU10" i="7" s="1"/>
  <c r="BF10" i="7"/>
  <c r="BG10" i="7" s="1"/>
  <c r="BV10" i="7"/>
  <c r="BW10" i="7" s="1"/>
  <c r="CX10" i="7"/>
  <c r="CY10" i="7" s="1"/>
  <c r="AO11" i="7"/>
  <c r="BM11" i="7"/>
  <c r="CW11" i="7"/>
  <c r="Y13" i="7"/>
  <c r="AS13" i="7"/>
  <c r="AU13" i="7" s="1"/>
  <c r="BI13" i="7"/>
  <c r="BY13" i="7"/>
  <c r="CO13" i="7"/>
  <c r="CQ13" i="7"/>
  <c r="BJ15" i="7"/>
  <c r="BF17" i="7"/>
  <c r="BY17" i="7"/>
  <c r="CA17" i="7" s="1"/>
  <c r="Z18" i="7"/>
  <c r="AA18" i="7"/>
  <c r="AP18" i="7"/>
  <c r="BF18" i="7"/>
  <c r="BG18" i="7" s="1"/>
  <c r="BV18" i="7"/>
  <c r="CL18" i="7"/>
  <c r="CM18" i="7"/>
  <c r="V19" i="7"/>
  <c r="AL19" i="7"/>
  <c r="BJ19" i="7"/>
  <c r="BK19" i="7" s="1"/>
  <c r="CL19" i="7"/>
  <c r="AC21" i="7"/>
  <c r="BM21" i="7"/>
  <c r="AP22" i="7"/>
  <c r="AQ22" i="7" s="1"/>
  <c r="BV22" i="7"/>
  <c r="BW22" i="7"/>
  <c r="Z23" i="7"/>
  <c r="BF23" i="7"/>
  <c r="CH23" i="7"/>
  <c r="AM24" i="7"/>
  <c r="AY24" i="7"/>
  <c r="U11" i="7"/>
  <c r="AG11" i="7"/>
  <c r="BE11" i="7"/>
  <c r="BQ11" i="7"/>
  <c r="AT13" i="7"/>
  <c r="CD13" i="7"/>
  <c r="AD15" i="7"/>
  <c r="AP17" i="7"/>
  <c r="AP19" i="7"/>
  <c r="R19" i="7" s="1"/>
  <c r="BV19" i="7"/>
  <c r="CT19" i="7"/>
  <c r="AX22" i="7"/>
  <c r="AY22" i="7" s="1"/>
  <c r="AL23" i="7"/>
  <c r="BN23" i="7"/>
  <c r="CL23" i="7"/>
  <c r="AA24" i="7"/>
  <c r="BW24" i="7"/>
  <c r="AL10" i="7"/>
  <c r="AM10" i="7"/>
  <c r="BB10" i="7"/>
  <c r="BC10" i="7"/>
  <c r="BN10" i="7"/>
  <c r="CD10" i="7"/>
  <c r="AK11" i="7"/>
  <c r="AK13" i="7"/>
  <c r="AM13" i="7" s="1"/>
  <c r="BA13" i="7"/>
  <c r="BU13" i="7"/>
  <c r="CG13" i="7"/>
  <c r="BR14" i="7"/>
  <c r="BS14" i="7"/>
  <c r="AL15" i="7"/>
  <c r="CH15" i="7"/>
  <c r="Z17" i="7"/>
  <c r="AS17" i="7"/>
  <c r="BQ17" i="7"/>
  <c r="BS17" i="7" s="1"/>
  <c r="CL17" i="7"/>
  <c r="AH18" i="7"/>
  <c r="AI18" i="7"/>
  <c r="AX18" i="7"/>
  <c r="AY18" i="7"/>
  <c r="BN18" i="7"/>
  <c r="R18" i="7" s="1"/>
  <c r="BO18" i="7"/>
  <c r="CD18" i="7"/>
  <c r="CE18" i="7" s="1"/>
  <c r="Z19" i="7"/>
  <c r="AT19" i="7"/>
  <c r="BZ19" i="7"/>
  <c r="AH20" i="7"/>
  <c r="AI20" i="7"/>
  <c r="BN20" i="7"/>
  <c r="BO20" i="7"/>
  <c r="CT20" i="7"/>
  <c r="CU20" i="7"/>
  <c r="BE21" i="7"/>
  <c r="BG21" i="7" s="1"/>
  <c r="AX23" i="7"/>
  <c r="BV23" i="7"/>
  <c r="AE24" i="7"/>
  <c r="BG24" i="7"/>
  <c r="CQ26" i="7"/>
  <c r="AM26" i="7"/>
  <c r="AW11" i="7"/>
  <c r="BU11" i="7"/>
  <c r="CG11" i="7"/>
  <c r="BV13" i="7"/>
  <c r="BW13" i="7" s="1"/>
  <c r="BV17" i="7"/>
  <c r="AD19" i="7"/>
  <c r="AX19" i="7"/>
  <c r="CM24" i="7"/>
  <c r="CA24" i="7"/>
  <c r="BO24" i="7"/>
  <c r="BC24" i="7"/>
  <c r="CY24" i="7"/>
  <c r="CQ24" i="7"/>
  <c r="CE24" i="7"/>
  <c r="BS24" i="7"/>
  <c r="W24" i="7"/>
  <c r="AI24" i="7"/>
  <c r="AU24" i="7"/>
  <c r="BK24" i="7"/>
  <c r="CU24" i="7"/>
  <c r="BS25" i="7"/>
  <c r="U25" i="7"/>
  <c r="AG25" i="7"/>
  <c r="BM25" i="7"/>
  <c r="U27" i="7"/>
  <c r="W27" i="7" s="1"/>
  <c r="AO27" i="7"/>
  <c r="AQ27" i="7" s="1"/>
  <c r="BA27" i="7"/>
  <c r="BC27" i="7" s="1"/>
  <c r="BU27" i="7"/>
  <c r="BW27" i="7" s="1"/>
  <c r="CO27" i="7"/>
  <c r="AU28" i="7"/>
  <c r="CA28" i="7"/>
  <c r="CI29" i="7"/>
  <c r="Y29" i="7"/>
  <c r="AA29" i="7"/>
  <c r="BI29" i="7"/>
  <c r="CS29" i="7"/>
  <c r="W30" i="7"/>
  <c r="AI30" i="7"/>
  <c r="AU30" i="7"/>
  <c r="BS30" i="7"/>
  <c r="CM30" i="7"/>
  <c r="AQ31" i="7"/>
  <c r="BW31" i="7"/>
  <c r="CI31" i="7"/>
  <c r="CY31" i="7"/>
  <c r="U33" i="7"/>
  <c r="AO33" i="7"/>
  <c r="BA33" i="7"/>
  <c r="BU33" i="7"/>
  <c r="CK33" i="7"/>
  <c r="AG35" i="7"/>
  <c r="AP36" i="7"/>
  <c r="AQ36" i="7" s="1"/>
  <c r="CL36" i="7"/>
  <c r="CM36" i="7"/>
  <c r="BN37" i="7"/>
  <c r="AH38" i="7"/>
  <c r="AI38" i="7"/>
  <c r="AX38" i="7"/>
  <c r="AY38" i="7"/>
  <c r="BN38" i="7"/>
  <c r="BO38" i="7" s="1"/>
  <c r="CD38" i="7"/>
  <c r="CE38" i="7" s="1"/>
  <c r="CT38" i="7"/>
  <c r="CU38" i="7" s="1"/>
  <c r="AP39" i="7"/>
  <c r="BI39" i="7"/>
  <c r="CT39" i="7"/>
  <c r="AH40" i="7"/>
  <c r="AI40" i="7" s="1"/>
  <c r="AX40" i="7"/>
  <c r="AY40" i="7" s="1"/>
  <c r="BN40" i="7"/>
  <c r="BO40" i="7"/>
  <c r="CD40" i="7"/>
  <c r="CE40" i="7"/>
  <c r="CT40" i="7"/>
  <c r="CU40" i="7" s="1"/>
  <c r="AG41" i="7"/>
  <c r="BJ41" i="7"/>
  <c r="CH41" i="7"/>
  <c r="CI41" i="7" s="1"/>
  <c r="AS43" i="7"/>
  <c r="CC43" i="7"/>
  <c r="BN44" i="7"/>
  <c r="BO44" i="7"/>
  <c r="AP45" i="7"/>
  <c r="CG45" i="7"/>
  <c r="AD46" i="7"/>
  <c r="AE46" i="7" s="1"/>
  <c r="AP46" i="7"/>
  <c r="AQ46" i="7"/>
  <c r="BB46" i="7"/>
  <c r="BC46" i="7" s="1"/>
  <c r="BN46" i="7"/>
  <c r="BO46" i="7" s="1"/>
  <c r="CP46" i="7"/>
  <c r="CQ46" i="7"/>
  <c r="V47" i="7"/>
  <c r="AP47" i="7"/>
  <c r="BJ47" i="7"/>
  <c r="CH47" i="7"/>
  <c r="AM30" i="7"/>
  <c r="BG30" i="7"/>
  <c r="CE30" i="7"/>
  <c r="CQ30" i="7"/>
  <c r="AI31" i="7"/>
  <c r="AP33" i="7"/>
  <c r="AQ33" i="7" s="1"/>
  <c r="BN39" i="7"/>
  <c r="V40" i="7"/>
  <c r="W40" i="7" s="1"/>
  <c r="AL40" i="7"/>
  <c r="AM40" i="7"/>
  <c r="BB40" i="7"/>
  <c r="BC40" i="7"/>
  <c r="BR40" i="7"/>
  <c r="BS40" i="7"/>
  <c r="CH40" i="7"/>
  <c r="CI40" i="7" s="1"/>
  <c r="CX40" i="7"/>
  <c r="CY40" i="7" s="1"/>
  <c r="AL41" i="7"/>
  <c r="CP41" i="7"/>
  <c r="CD44" i="7"/>
  <c r="CE44" i="7"/>
  <c r="AT46" i="7"/>
  <c r="AU46" i="7"/>
  <c r="BF46" i="7"/>
  <c r="BG46" i="7"/>
  <c r="BR46" i="7"/>
  <c r="BS46" i="7"/>
  <c r="CD46" i="7"/>
  <c r="CE46" i="7" s="1"/>
  <c r="CG25" i="7"/>
  <c r="CI25" i="7" s="1"/>
  <c r="CS25" i="7"/>
  <c r="AS27" i="7"/>
  <c r="BI27" i="7"/>
  <c r="CG27" i="7"/>
  <c r="AE28" i="7"/>
  <c r="BK28" i="7"/>
  <c r="CQ28" i="7"/>
  <c r="AA30" i="7"/>
  <c r="AY30" i="7"/>
  <c r="BK30" i="7"/>
  <c r="BW30" i="7"/>
  <c r="CI30" i="7"/>
  <c r="CU30" i="7"/>
  <c r="CU31" i="7"/>
  <c r="W31" i="7"/>
  <c r="BS31" i="7"/>
  <c r="BR32" i="7"/>
  <c r="BS32" i="7"/>
  <c r="AC33" i="7"/>
  <c r="AS33" i="7"/>
  <c r="AU33" i="7" s="1"/>
  <c r="BI33" i="7"/>
  <c r="BZ33" i="7"/>
  <c r="CA33" i="7" s="1"/>
  <c r="CW33" i="7"/>
  <c r="CK35" i="7"/>
  <c r="CM35" i="7" s="1"/>
  <c r="Z36" i="7"/>
  <c r="AA36" i="7" s="1"/>
  <c r="AH37" i="7"/>
  <c r="Z38" i="7"/>
  <c r="AA38" i="7" s="1"/>
  <c r="AP38" i="7"/>
  <c r="AQ38" i="7" s="1"/>
  <c r="BF38" i="7"/>
  <c r="BG38" i="7"/>
  <c r="BV38" i="7"/>
  <c r="BW38" i="7"/>
  <c r="AD39" i="7"/>
  <c r="AX39" i="7"/>
  <c r="CD39" i="7"/>
  <c r="CE39" i="7" s="1"/>
  <c r="Z40" i="7"/>
  <c r="AA40" i="7"/>
  <c r="AP40" i="7"/>
  <c r="AQ40" i="7"/>
  <c r="BF40" i="7"/>
  <c r="BG40" i="7"/>
  <c r="BV40" i="7"/>
  <c r="BW40" i="7"/>
  <c r="CL40" i="7"/>
  <c r="CM40" i="7" s="1"/>
  <c r="V41" i="7"/>
  <c r="AT41" i="7"/>
  <c r="BR41" i="7"/>
  <c r="CS41" i="7"/>
  <c r="AC43" i="7"/>
  <c r="BU43" i="7"/>
  <c r="CT44" i="7"/>
  <c r="CU44" i="7"/>
  <c r="U45" i="7"/>
  <c r="W45" i="7" s="1"/>
  <c r="AW45" i="7"/>
  <c r="AY45" i="7"/>
  <c r="BY45" i="7"/>
  <c r="V46" i="7"/>
  <c r="AH46" i="7"/>
  <c r="AI46" i="7" s="1"/>
  <c r="BJ46" i="7"/>
  <c r="BK46" i="7"/>
  <c r="BV46" i="7"/>
  <c r="BW46" i="7"/>
  <c r="CH46" i="7"/>
  <c r="CI46" i="7" s="1"/>
  <c r="CT46" i="7"/>
  <c r="CU46" i="7" s="1"/>
  <c r="AD47" i="7"/>
  <c r="BB47" i="7"/>
  <c r="BV47" i="7"/>
  <c r="CP47" i="7"/>
  <c r="AO25" i="7"/>
  <c r="AQ25" i="7"/>
  <c r="AW25" i="7"/>
  <c r="AY25" i="7" s="1"/>
  <c r="BU25" i="7"/>
  <c r="AK27" i="7"/>
  <c r="AM27" i="7" s="1"/>
  <c r="BQ27" i="7"/>
  <c r="BS27" i="7" s="1"/>
  <c r="CK27" i="7"/>
  <c r="AM28" i="7"/>
  <c r="BS28" i="7"/>
  <c r="CY28" i="7"/>
  <c r="AE30" i="7"/>
  <c r="AQ30" i="7"/>
  <c r="BC30" i="7"/>
  <c r="BO30" i="7"/>
  <c r="CA30" i="7"/>
  <c r="BG31" i="7"/>
  <c r="AX33" i="7"/>
  <c r="AH39" i="7"/>
  <c r="BF39" i="7"/>
  <c r="AD40" i="7"/>
  <c r="AE40" i="7"/>
  <c r="AT40" i="7"/>
  <c r="AU40" i="7" s="1"/>
  <c r="BJ40" i="7"/>
  <c r="BK40" i="7"/>
  <c r="BZ40" i="7"/>
  <c r="CA40" i="7"/>
  <c r="AD41" i="7"/>
  <c r="BB41" i="7"/>
  <c r="BZ41" i="7"/>
  <c r="CX41" i="7"/>
  <c r="BA45" i="7"/>
  <c r="Z46" i="7"/>
  <c r="AL46" i="7"/>
  <c r="AM46" i="7" s="1"/>
  <c r="AX46" i="7"/>
  <c r="AY46" i="7"/>
  <c r="BZ46" i="7"/>
  <c r="CA46" i="7"/>
  <c r="CL46" i="7"/>
  <c r="CM46" i="7" s="1"/>
  <c r="CO11" i="7"/>
  <c r="BY11" i="7"/>
  <c r="BI11" i="7"/>
  <c r="AS11" i="7"/>
  <c r="AC11" i="7"/>
  <c r="Y11" i="7"/>
  <c r="BA11" i="7"/>
  <c r="CC11" i="7"/>
  <c r="CK11" i="7"/>
  <c r="AD12" i="7"/>
  <c r="AE12" i="7" s="1"/>
  <c r="BJ12" i="7"/>
  <c r="BK12" i="7"/>
  <c r="AD13" i="7"/>
  <c r="BF13" i="7"/>
  <c r="BN13" i="7"/>
  <c r="Z14" i="7"/>
  <c r="AA14" i="7" s="1"/>
  <c r="AT14" i="7"/>
  <c r="AU14" i="7" s="1"/>
  <c r="BF14" i="7"/>
  <c r="BG14" i="7" s="1"/>
  <c r="BZ14" i="7"/>
  <c r="CA14" i="7"/>
  <c r="CL14" i="7"/>
  <c r="CM14" i="7"/>
  <c r="AH15" i="7"/>
  <c r="AO15" i="7"/>
  <c r="AQ15" i="7" s="1"/>
  <c r="BR15" i="7"/>
  <c r="CT12" i="7"/>
  <c r="CU12" i="7"/>
  <c r="CL12" i="7"/>
  <c r="CM12" i="7"/>
  <c r="CD12" i="7"/>
  <c r="BV12" i="7"/>
  <c r="BW12" i="7"/>
  <c r="BN12" i="7"/>
  <c r="BO12" i="7" s="1"/>
  <c r="BF12" i="7"/>
  <c r="BG12" i="7" s="1"/>
  <c r="AX12" i="7"/>
  <c r="AP12" i="7"/>
  <c r="AQ12" i="7"/>
  <c r="AH12" i="7"/>
  <c r="AI12" i="7"/>
  <c r="Z12" i="7"/>
  <c r="AA12" i="7"/>
  <c r="V12" i="7"/>
  <c r="BB12" i="7"/>
  <c r="BC12" i="7" s="1"/>
  <c r="CH12" i="7"/>
  <c r="CI12" i="7" s="1"/>
  <c r="CX14" i="7"/>
  <c r="CY14" i="7" s="1"/>
  <c r="CT16" i="7"/>
  <c r="CU16" i="7"/>
  <c r="CL16" i="7"/>
  <c r="CM16" i="7"/>
  <c r="CD16" i="7"/>
  <c r="CE16" i="7" s="1"/>
  <c r="BV16" i="7"/>
  <c r="BW16" i="7" s="1"/>
  <c r="BN16" i="7"/>
  <c r="BO16" i="7" s="1"/>
  <c r="BF16" i="7"/>
  <c r="BG16" i="7"/>
  <c r="AX16" i="7"/>
  <c r="AY16" i="7"/>
  <c r="AP16" i="7"/>
  <c r="AQ16" i="7"/>
  <c r="AH16" i="7"/>
  <c r="AI16" i="7"/>
  <c r="Z16" i="7"/>
  <c r="AA16" i="7" s="1"/>
  <c r="CX16" i="7"/>
  <c r="CY16" i="7" s="1"/>
  <c r="CP16" i="7"/>
  <c r="CQ16" i="7"/>
  <c r="CH16" i="7"/>
  <c r="CI16" i="7"/>
  <c r="BZ16" i="7"/>
  <c r="CA16" i="7"/>
  <c r="BR16" i="7"/>
  <c r="BS16" i="7"/>
  <c r="BJ16" i="7"/>
  <c r="BK16" i="7" s="1"/>
  <c r="BB16" i="7"/>
  <c r="BC16" i="7" s="1"/>
  <c r="AT16" i="7"/>
  <c r="AU16" i="7"/>
  <c r="AL16" i="7"/>
  <c r="AM16" i="7"/>
  <c r="AD16" i="7"/>
  <c r="AE16" i="7"/>
  <c r="V16" i="7"/>
  <c r="W16" i="7"/>
  <c r="S8" i="7"/>
  <c r="CM10" i="7"/>
  <c r="AT12" i="7"/>
  <c r="AU12" i="7" s="1"/>
  <c r="BZ12" i="7"/>
  <c r="CA12" i="7"/>
  <c r="CX13" i="7"/>
  <c r="CH13" i="7"/>
  <c r="CI13" i="7"/>
  <c r="BR13" i="7"/>
  <c r="BS13" i="7" s="1"/>
  <c r="BB13" i="7"/>
  <c r="BC13" i="7" s="1"/>
  <c r="AL13" i="7"/>
  <c r="V13" i="7"/>
  <c r="W13" i="7" s="1"/>
  <c r="Z13" i="7"/>
  <c r="AH13" i="7"/>
  <c r="BJ13" i="7"/>
  <c r="BK13" i="7" s="1"/>
  <c r="CL13" i="7"/>
  <c r="CT13" i="7"/>
  <c r="AD14" i="7"/>
  <c r="AP14" i="7"/>
  <c r="AQ14" i="7"/>
  <c r="BJ14" i="7"/>
  <c r="BV14" i="7"/>
  <c r="BW14" i="7"/>
  <c r="CP14" i="7"/>
  <c r="CQ14" i="7"/>
  <c r="BY15" i="7"/>
  <c r="CA15" i="7" s="1"/>
  <c r="AY10" i="7"/>
  <c r="CE10" i="7"/>
  <c r="AL12" i="7"/>
  <c r="AM12" i="7"/>
  <c r="BR12" i="7"/>
  <c r="BS12" i="7" s="1"/>
  <c r="CX12" i="7"/>
  <c r="CY12" i="7" s="1"/>
  <c r="AP13" i="7"/>
  <c r="AX13" i="7"/>
  <c r="BZ13" i="7"/>
  <c r="CA13" i="7"/>
  <c r="V14" i="7"/>
  <c r="AH14" i="7"/>
  <c r="AI14" i="7"/>
  <c r="BB14" i="7"/>
  <c r="BC14" i="7"/>
  <c r="BN14" i="7"/>
  <c r="BO14" i="7" s="1"/>
  <c r="CH14" i="7"/>
  <c r="CI14" i="7"/>
  <c r="CT15" i="7"/>
  <c r="CD15" i="7"/>
  <c r="BN15" i="7"/>
  <c r="AX15" i="7"/>
  <c r="CL15" i="7"/>
  <c r="BV15" i="7"/>
  <c r="BF15" i="7"/>
  <c r="AP15" i="7"/>
  <c r="Z15" i="7"/>
  <c r="AT15" i="7"/>
  <c r="BZ15" i="7"/>
  <c r="AG13" i="7"/>
  <c r="AW13" i="7"/>
  <c r="BM13" i="7"/>
  <c r="CC13" i="7"/>
  <c r="Y17" i="7"/>
  <c r="AA17" i="7" s="1"/>
  <c r="AD17" i="7"/>
  <c r="AO17" i="7"/>
  <c r="AT17" i="7"/>
  <c r="AU17" i="7" s="1"/>
  <c r="BE17" i="7"/>
  <c r="BJ17" i="7"/>
  <c r="BK17" i="7"/>
  <c r="BU17" i="7"/>
  <c r="BZ17" i="7"/>
  <c r="CK17" i="7"/>
  <c r="CM17" i="7"/>
  <c r="CP17" i="7"/>
  <c r="CX19" i="7"/>
  <c r="CH19" i="7"/>
  <c r="BR19" i="7"/>
  <c r="BB19" i="7"/>
  <c r="AC19" i="7"/>
  <c r="AE19" i="7"/>
  <c r="AH19" i="7"/>
  <c r="AI19" i="7" s="1"/>
  <c r="AS19" i="7"/>
  <c r="AU19" i="7"/>
  <c r="BF19" i="7"/>
  <c r="BN19" i="7"/>
  <c r="BU19" i="7"/>
  <c r="BW19" i="7"/>
  <c r="CP19" i="7"/>
  <c r="CW19" i="7"/>
  <c r="CY19" i="7"/>
  <c r="Z20" i="7"/>
  <c r="AA20" i="7" s="1"/>
  <c r="AT20" i="7"/>
  <c r="AU20" i="7"/>
  <c r="BF20" i="7"/>
  <c r="BG20" i="7"/>
  <c r="BZ20" i="7"/>
  <c r="CL20" i="7"/>
  <c r="CM20" i="7"/>
  <c r="AH21" i="7"/>
  <c r="AI21" i="7"/>
  <c r="AO21" i="7"/>
  <c r="AW21" i="7"/>
  <c r="AY21" i="7" s="1"/>
  <c r="BJ21" i="7"/>
  <c r="BR21" i="7"/>
  <c r="BS21" i="7" s="1"/>
  <c r="BY21" i="7"/>
  <c r="CT21" i="7"/>
  <c r="CX22" i="7"/>
  <c r="CY22" i="7" s="1"/>
  <c r="CP22" i="7"/>
  <c r="CQ22" i="7"/>
  <c r="CH22" i="7"/>
  <c r="CI22" i="7" s="1"/>
  <c r="BZ22" i="7"/>
  <c r="CA22" i="7"/>
  <c r="BR22" i="7"/>
  <c r="BS22" i="7"/>
  <c r="BJ22" i="7"/>
  <c r="BK22" i="7" s="1"/>
  <c r="BB22" i="7"/>
  <c r="BC22" i="7" s="1"/>
  <c r="AT22" i="7"/>
  <c r="AL22" i="7"/>
  <c r="AM22" i="7"/>
  <c r="AD22" i="7"/>
  <c r="V22" i="7"/>
  <c r="W22" i="7" s="1"/>
  <c r="AH22" i="7"/>
  <c r="AI22" i="7"/>
  <c r="BN22" i="7"/>
  <c r="BO22" i="7"/>
  <c r="CT22" i="7"/>
  <c r="CU22" i="7"/>
  <c r="CP23" i="7"/>
  <c r="BZ23" i="7"/>
  <c r="CA23" i="7" s="1"/>
  <c r="BJ23" i="7"/>
  <c r="AT23" i="7"/>
  <c r="AD23" i="7"/>
  <c r="U23" i="7"/>
  <c r="AH23" i="7"/>
  <c r="AP23" i="7"/>
  <c r="AW23" i="7"/>
  <c r="BR23" i="7"/>
  <c r="BY23" i="7"/>
  <c r="CG23" i="7"/>
  <c r="CT23" i="7"/>
  <c r="CO25" i="7"/>
  <c r="CQ25" i="7"/>
  <c r="BY25" i="7"/>
  <c r="BI25" i="7"/>
  <c r="BK25" i="7"/>
  <c r="AS25" i="7"/>
  <c r="AU25" i="7" s="1"/>
  <c r="AC25" i="7"/>
  <c r="Y25" i="7"/>
  <c r="AA25" i="7" s="1"/>
  <c r="BA25" i="7"/>
  <c r="BC25" i="7" s="1"/>
  <c r="CC25" i="7"/>
  <c r="CK25" i="7"/>
  <c r="CM25" i="7" s="1"/>
  <c r="AE26" i="7"/>
  <c r="BK26" i="7"/>
  <c r="BO27" i="7"/>
  <c r="CQ27" i="7"/>
  <c r="AO19" i="7"/>
  <c r="BA19" i="7"/>
  <c r="BC19" i="7" s="1"/>
  <c r="BI19" i="7"/>
  <c r="CK19" i="7"/>
  <c r="V21" i="7"/>
  <c r="AX21" i="7"/>
  <c r="BZ21" i="7"/>
  <c r="CA21" i="7" s="1"/>
  <c r="CH21" i="7"/>
  <c r="AC23" i="7"/>
  <c r="AE23" i="7" s="1"/>
  <c r="AK23" i="7"/>
  <c r="AM23" i="7"/>
  <c r="BM23" i="7"/>
  <c r="BO23" i="7" s="1"/>
  <c r="CO23" i="7"/>
  <c r="CW23" i="7"/>
  <c r="CY23" i="7"/>
  <c r="CU26" i="7"/>
  <c r="CM26" i="7"/>
  <c r="CE26" i="7"/>
  <c r="BW26" i="7"/>
  <c r="BO26" i="7"/>
  <c r="BG26" i="7"/>
  <c r="AY26" i="7"/>
  <c r="AQ26" i="7"/>
  <c r="AI26" i="7"/>
  <c r="AA26" i="7"/>
  <c r="BC26" i="7"/>
  <c r="CI26" i="7"/>
  <c r="AU27" i="7"/>
  <c r="V17" i="7"/>
  <c r="AG17" i="7"/>
  <c r="AI17" i="7" s="1"/>
  <c r="AL17" i="7"/>
  <c r="AM17" i="7" s="1"/>
  <c r="AW17" i="7"/>
  <c r="BB17" i="7"/>
  <c r="BC17" i="7"/>
  <c r="BM17" i="7"/>
  <c r="BR17" i="7"/>
  <c r="CC17" i="7"/>
  <c r="CH17" i="7"/>
  <c r="CS17" i="7"/>
  <c r="CU17" i="7"/>
  <c r="CX17" i="7"/>
  <c r="CY17" i="7"/>
  <c r="U19" i="7"/>
  <c r="W19" i="7" s="1"/>
  <c r="AK19" i="7"/>
  <c r="AM19" i="7"/>
  <c r="BQ19" i="7"/>
  <c r="BS19" i="7" s="1"/>
  <c r="AD20" i="7"/>
  <c r="AE20" i="7" s="1"/>
  <c r="AP20" i="7"/>
  <c r="AQ20" i="7"/>
  <c r="BJ20" i="7"/>
  <c r="BK20" i="7"/>
  <c r="BV20" i="7"/>
  <c r="BW20" i="7"/>
  <c r="CW21" i="7"/>
  <c r="CG21" i="7"/>
  <c r="CI21" i="7" s="1"/>
  <c r="BQ21" i="7"/>
  <c r="BA21" i="7"/>
  <c r="AK21" i="7"/>
  <c r="AM21" i="7"/>
  <c r="U21" i="7"/>
  <c r="W21" i="7" s="1"/>
  <c r="AD21" i="7"/>
  <c r="AL21" i="7"/>
  <c r="AS21" i="7"/>
  <c r="AU21" i="7"/>
  <c r="BN21" i="7"/>
  <c r="BO21" i="7" s="1"/>
  <c r="BU21" i="7"/>
  <c r="CC21" i="7"/>
  <c r="CP21" i="7"/>
  <c r="AS23" i="7"/>
  <c r="AU23" i="7" s="1"/>
  <c r="BA23" i="7"/>
  <c r="W25" i="7"/>
  <c r="AU26" i="7"/>
  <c r="CA26" i="7"/>
  <c r="CY27" i="7"/>
  <c r="CI27" i="7"/>
  <c r="AA27" i="7"/>
  <c r="CM27" i="7"/>
  <c r="AH17" i="7"/>
  <c r="AX17" i="7"/>
  <c r="BN17" i="7"/>
  <c r="BO17" i="7" s="1"/>
  <c r="CD17" i="7"/>
  <c r="CE17" i="7" s="1"/>
  <c r="CS19" i="7"/>
  <c r="CU19" i="7" s="1"/>
  <c r="CC19" i="7"/>
  <c r="CE19" i="7" s="1"/>
  <c r="BM19" i="7"/>
  <c r="BO19" i="7" s="1"/>
  <c r="AW19" i="7"/>
  <c r="AY19" i="7" s="1"/>
  <c r="AG19" i="7"/>
  <c r="BE19" i="7"/>
  <c r="CG19" i="7"/>
  <c r="CO19" i="7"/>
  <c r="CQ19" i="7" s="1"/>
  <c r="CL21" i="7"/>
  <c r="CM21" i="7" s="1"/>
  <c r="BV21" i="7"/>
  <c r="BF21" i="7"/>
  <c r="AP21" i="7"/>
  <c r="Z21" i="7"/>
  <c r="AA21" i="7" s="1"/>
  <c r="AT21" i="7"/>
  <c r="BB21" i="7"/>
  <c r="BC21" i="7" s="1"/>
  <c r="CD21" i="7"/>
  <c r="CK21" i="7"/>
  <c r="CS21" i="7"/>
  <c r="CK23" i="7"/>
  <c r="CM23" i="7" s="1"/>
  <c r="BU23" i="7"/>
  <c r="BW23" i="7" s="1"/>
  <c r="BE23" i="7"/>
  <c r="BG23" i="7"/>
  <c r="AO23" i="7"/>
  <c r="AQ23" i="7"/>
  <c r="Y23" i="7"/>
  <c r="AA23" i="7"/>
  <c r="AG23" i="7"/>
  <c r="AI23" i="7"/>
  <c r="BI23" i="7"/>
  <c r="BQ23" i="7"/>
  <c r="CS23" i="7"/>
  <c r="CU23" i="7" s="1"/>
  <c r="BS26" i="7"/>
  <c r="CY26" i="7"/>
  <c r="AG27" i="7"/>
  <c r="AI27" i="7"/>
  <c r="AW27" i="7"/>
  <c r="AY27" i="7"/>
  <c r="BM27" i="7"/>
  <c r="CC27" i="7"/>
  <c r="U29" i="7"/>
  <c r="AK29" i="7"/>
  <c r="AQ29" i="7"/>
  <c r="AW29" i="7"/>
  <c r="BS29" i="7"/>
  <c r="BY29" i="7"/>
  <c r="CA29" i="7"/>
  <c r="CQ31" i="7"/>
  <c r="CA31" i="7"/>
  <c r="BK31" i="7"/>
  <c r="AU31" i="7"/>
  <c r="AE31" i="7"/>
  <c r="BC31" i="7"/>
  <c r="CM31" i="7"/>
  <c r="AD32" i="7"/>
  <c r="AE32" i="7"/>
  <c r="BJ32" i="7"/>
  <c r="BK32" i="7"/>
  <c r="AD33" i="7"/>
  <c r="BF33" i="7"/>
  <c r="BG33" i="7" s="1"/>
  <c r="BN33" i="7"/>
  <c r="CP33" i="7"/>
  <c r="CQ33" i="7" s="1"/>
  <c r="AH35" i="7"/>
  <c r="AI35" i="7" s="1"/>
  <c r="AO35" i="7"/>
  <c r="AQ35" i="7" s="1"/>
  <c r="AW35" i="7"/>
  <c r="BJ35" i="7"/>
  <c r="BK35" i="7" s="1"/>
  <c r="BR35" i="7"/>
  <c r="BY35" i="7"/>
  <c r="CA35" i="7" s="1"/>
  <c r="CT35" i="7"/>
  <c r="CX36" i="7"/>
  <c r="CY36" i="7" s="1"/>
  <c r="CP36" i="7"/>
  <c r="CQ36" i="7"/>
  <c r="CH36" i="7"/>
  <c r="CI36" i="7" s="1"/>
  <c r="BZ36" i="7"/>
  <c r="CA36" i="7" s="1"/>
  <c r="BR36" i="7"/>
  <c r="BS36" i="7"/>
  <c r="BJ36" i="7"/>
  <c r="BK36" i="7"/>
  <c r="BB36" i="7"/>
  <c r="BC36" i="7" s="1"/>
  <c r="AT36" i="7"/>
  <c r="AU36" i="7"/>
  <c r="AL36" i="7"/>
  <c r="AM36" i="7" s="1"/>
  <c r="AD36" i="7"/>
  <c r="AE36" i="7" s="1"/>
  <c r="V36" i="7"/>
  <c r="AH36" i="7"/>
  <c r="AI36" i="7"/>
  <c r="BN36" i="7"/>
  <c r="BO36" i="7" s="1"/>
  <c r="CT36" i="7"/>
  <c r="CU36" i="7" s="1"/>
  <c r="CX37" i="7"/>
  <c r="CH37" i="7"/>
  <c r="BR37" i="7"/>
  <c r="BB37" i="7"/>
  <c r="AL37" i="7"/>
  <c r="V37" i="7"/>
  <c r="CL37" i="7"/>
  <c r="CM37" i="7" s="1"/>
  <c r="BV37" i="7"/>
  <c r="BW37" i="7" s="1"/>
  <c r="BF37" i="7"/>
  <c r="R37" i="7" s="1"/>
  <c r="CP37" i="7"/>
  <c r="CQ37" i="7" s="1"/>
  <c r="BZ37" i="7"/>
  <c r="BJ37" i="7"/>
  <c r="AT37" i="7"/>
  <c r="AD37" i="7"/>
  <c r="U37" i="7"/>
  <c r="AP37" i="7"/>
  <c r="BI37" i="7"/>
  <c r="CD37" i="7"/>
  <c r="AA28" i="7"/>
  <c r="AI28" i="7"/>
  <c r="AQ28" i="7"/>
  <c r="AY28" i="7"/>
  <c r="BG28" i="7"/>
  <c r="BO28" i="7"/>
  <c r="BW28" i="7"/>
  <c r="CE28" i="7"/>
  <c r="CM28" i="7"/>
  <c r="CK29" i="7"/>
  <c r="CM29" i="7"/>
  <c r="BU29" i="7"/>
  <c r="BE29" i="7"/>
  <c r="AG29" i="7"/>
  <c r="R29" i="7"/>
  <c r="BM29" i="7"/>
  <c r="CO29" i="7"/>
  <c r="CQ29" i="7" s="1"/>
  <c r="CW29" i="7"/>
  <c r="CY29" i="7"/>
  <c r="CT32" i="7"/>
  <c r="CU32" i="7"/>
  <c r="CL32" i="7"/>
  <c r="CM32" i="7"/>
  <c r="CD32" i="7"/>
  <c r="CE32" i="7"/>
  <c r="BV32" i="7"/>
  <c r="BW32" i="7" s="1"/>
  <c r="BN32" i="7"/>
  <c r="BO32" i="7" s="1"/>
  <c r="BF32" i="7"/>
  <c r="BG32" i="7"/>
  <c r="AX32" i="7"/>
  <c r="AY32" i="7"/>
  <c r="AP32" i="7"/>
  <c r="AQ32" i="7"/>
  <c r="AH32" i="7"/>
  <c r="AI32" i="7"/>
  <c r="Z32" i="7"/>
  <c r="AA32" i="7" s="1"/>
  <c r="V32" i="7"/>
  <c r="BB32" i="7"/>
  <c r="BC32" i="7"/>
  <c r="CH32" i="7"/>
  <c r="CI32" i="7" s="1"/>
  <c r="AT33" i="7"/>
  <c r="BV33" i="7"/>
  <c r="BW33" i="7"/>
  <c r="V35" i="7"/>
  <c r="AC35" i="7"/>
  <c r="AE35" i="7" s="1"/>
  <c r="AX35" i="7"/>
  <c r="AY35" i="7"/>
  <c r="BE35" i="7"/>
  <c r="BG35" i="7" s="1"/>
  <c r="BM35" i="7"/>
  <c r="BZ35" i="7"/>
  <c r="CH35" i="7"/>
  <c r="AS37" i="7"/>
  <c r="AC29" i="7"/>
  <c r="AE29" i="7"/>
  <c r="AS29" i="7"/>
  <c r="AU29" i="7" s="1"/>
  <c r="BA29" i="7"/>
  <c r="BC29" i="7"/>
  <c r="CC29" i="7"/>
  <c r="CE29" i="7" s="1"/>
  <c r="AT32" i="7"/>
  <c r="AU32" i="7" s="1"/>
  <c r="BZ32" i="7"/>
  <c r="CA32" i="7"/>
  <c r="CX33" i="7"/>
  <c r="CY33" i="7"/>
  <c r="CH33" i="7"/>
  <c r="CI33" i="7"/>
  <c r="BR33" i="7"/>
  <c r="BB33" i="7"/>
  <c r="AL33" i="7"/>
  <c r="AM33" i="7" s="1"/>
  <c r="V33" i="7"/>
  <c r="Z33" i="7"/>
  <c r="AH33" i="7"/>
  <c r="BJ33" i="7"/>
  <c r="BK33" i="7" s="1"/>
  <c r="CL33" i="7"/>
  <c r="CT33" i="7"/>
  <c r="CU33" i="7" s="1"/>
  <c r="CW35" i="7"/>
  <c r="CY35" i="7"/>
  <c r="CG35" i="7"/>
  <c r="CI35" i="7"/>
  <c r="BQ35" i="7"/>
  <c r="BA35" i="7"/>
  <c r="AK35" i="7"/>
  <c r="U35" i="7"/>
  <c r="W35" i="7" s="1"/>
  <c r="AD35" i="7"/>
  <c r="AL35" i="7"/>
  <c r="AS35" i="7"/>
  <c r="AU35" i="7"/>
  <c r="BN35" i="7"/>
  <c r="BU35" i="7"/>
  <c r="BW35" i="7"/>
  <c r="CC35" i="7"/>
  <c r="CP35" i="7"/>
  <c r="AK37" i="7"/>
  <c r="AM37" i="7"/>
  <c r="CK39" i="7"/>
  <c r="BU39" i="7"/>
  <c r="BE39" i="7"/>
  <c r="BG39" i="7"/>
  <c r="CS39" i="7"/>
  <c r="CU39" i="7"/>
  <c r="CC39" i="7"/>
  <c r="BM39" i="7"/>
  <c r="BO39" i="7" s="1"/>
  <c r="AW39" i="7"/>
  <c r="AY39" i="7" s="1"/>
  <c r="AG39" i="7"/>
  <c r="AI39" i="7" s="1"/>
  <c r="CO39" i="7"/>
  <c r="CQ39" i="7" s="1"/>
  <c r="CW39" i="7"/>
  <c r="BQ39" i="7"/>
  <c r="BS39" i="7" s="1"/>
  <c r="U39" i="7"/>
  <c r="BY39" i="7"/>
  <c r="CA39" i="7"/>
  <c r="AO39" i="7"/>
  <c r="AQ39" i="7"/>
  <c r="Y39" i="7"/>
  <c r="CG39" i="7"/>
  <c r="BA39" i="7"/>
  <c r="CL35" i="7"/>
  <c r="BV35" i="7"/>
  <c r="BF35" i="7"/>
  <c r="AP35" i="7"/>
  <c r="Z35" i="7"/>
  <c r="AA35" i="7" s="1"/>
  <c r="AT35" i="7"/>
  <c r="BB35" i="7"/>
  <c r="CD35" i="7"/>
  <c r="CS37" i="7"/>
  <c r="CU37" i="7" s="1"/>
  <c r="CC37" i="7"/>
  <c r="BM37" i="7"/>
  <c r="AW37" i="7"/>
  <c r="AY37" i="7"/>
  <c r="AG37" i="7"/>
  <c r="AI37" i="7" s="1"/>
  <c r="CW37" i="7"/>
  <c r="CY37" i="7" s="1"/>
  <c r="CG37" i="7"/>
  <c r="CI37" i="7" s="1"/>
  <c r="BQ37" i="7"/>
  <c r="BS37" i="7"/>
  <c r="BA37" i="7"/>
  <c r="BC37" i="7" s="1"/>
  <c r="CK37" i="7"/>
  <c r="BU37" i="7"/>
  <c r="BE37" i="7"/>
  <c r="AO37" i="7"/>
  <c r="AQ37" i="7"/>
  <c r="Y37" i="7"/>
  <c r="AA37" i="7" s="1"/>
  <c r="AC37" i="7"/>
  <c r="AE37" i="7" s="1"/>
  <c r="BY37" i="7"/>
  <c r="AY31" i="7"/>
  <c r="CE31" i="7"/>
  <c r="AG33" i="7"/>
  <c r="AI33" i="7"/>
  <c r="AW33" i="7"/>
  <c r="BM33" i="7"/>
  <c r="CC33" i="7"/>
  <c r="CE33" i="7" s="1"/>
  <c r="CP39" i="7"/>
  <c r="BZ39" i="7"/>
  <c r="BJ39" i="7"/>
  <c r="BK39" i="7"/>
  <c r="CX39" i="7"/>
  <c r="CY39" i="7" s="1"/>
  <c r="CH39" i="7"/>
  <c r="CI39" i="7" s="1"/>
  <c r="BR39" i="7"/>
  <c r="BB39" i="7"/>
  <c r="BC39" i="7"/>
  <c r="AL39" i="7"/>
  <c r="Z39" i="7"/>
  <c r="AT39" i="7"/>
  <c r="BV39" i="7"/>
  <c r="BW39" i="7" s="1"/>
  <c r="Y41" i="7"/>
  <c r="BE41" i="7"/>
  <c r="Z43" i="7"/>
  <c r="AA43" i="7" s="1"/>
  <c r="BJ43" i="7"/>
  <c r="BK43" i="7" s="1"/>
  <c r="CX44" i="7"/>
  <c r="CY44" i="7" s="1"/>
  <c r="CP44" i="7"/>
  <c r="CQ44" i="7"/>
  <c r="CH44" i="7"/>
  <c r="CI44" i="7" s="1"/>
  <c r="BZ44" i="7"/>
  <c r="CA44" i="7" s="1"/>
  <c r="BR44" i="7"/>
  <c r="BS44" i="7"/>
  <c r="BJ44" i="7"/>
  <c r="BK44" i="7" s="1"/>
  <c r="BB44" i="7"/>
  <c r="BC44" i="7" s="1"/>
  <c r="AT44" i="7"/>
  <c r="AU44" i="7"/>
  <c r="AL44" i="7"/>
  <c r="AM44" i="7"/>
  <c r="AD44" i="7"/>
  <c r="AE44" i="7" s="1"/>
  <c r="V44" i="7"/>
  <c r="CL44" i="7"/>
  <c r="CM44" i="7"/>
  <c r="BF44" i="7"/>
  <c r="BG44" i="7" s="1"/>
  <c r="Z44" i="7"/>
  <c r="AA44" i="7" s="1"/>
  <c r="BV44" i="7"/>
  <c r="BW44" i="7" s="1"/>
  <c r="AP44" i="7"/>
  <c r="AQ44" i="7" s="1"/>
  <c r="AX44" i="7"/>
  <c r="AY44" i="7"/>
  <c r="CP45" i="7"/>
  <c r="BZ45" i="7"/>
  <c r="BJ45" i="7"/>
  <c r="BK45" i="7"/>
  <c r="AT45" i="7"/>
  <c r="AD45" i="7"/>
  <c r="CH45" i="7"/>
  <c r="CI45" i="7" s="1"/>
  <c r="BF45" i="7"/>
  <c r="AX45" i="7"/>
  <c r="V45" i="7"/>
  <c r="CL45" i="7"/>
  <c r="CD45" i="7"/>
  <c r="BB45" i="7"/>
  <c r="BC45" i="7"/>
  <c r="Z45" i="7"/>
  <c r="AL45" i="7"/>
  <c r="BN45" i="7"/>
  <c r="CO41" i="7"/>
  <c r="CQ41" i="7"/>
  <c r="BY41" i="7"/>
  <c r="CA41" i="7" s="1"/>
  <c r="BI41" i="7"/>
  <c r="BK41" i="7"/>
  <c r="AS41" i="7"/>
  <c r="AU41" i="7"/>
  <c r="AC41" i="7"/>
  <c r="AE41" i="7"/>
  <c r="CW41" i="7"/>
  <c r="CY41" i="7"/>
  <c r="CG41" i="7"/>
  <c r="BQ41" i="7"/>
  <c r="BS41" i="7" s="1"/>
  <c r="BA41" i="7"/>
  <c r="BC41" i="7"/>
  <c r="AK41" i="7"/>
  <c r="AM41" i="7"/>
  <c r="U41" i="7"/>
  <c r="W41" i="7"/>
  <c r="AW41" i="7"/>
  <c r="AY41" i="7" s="1"/>
  <c r="CC41" i="7"/>
  <c r="BN43" i="7"/>
  <c r="CP43" i="7"/>
  <c r="AO41" i="7"/>
  <c r="BU41" i="7"/>
  <c r="CT42" i="7"/>
  <c r="CU42" i="7"/>
  <c r="CL42" i="7"/>
  <c r="CM42" i="7" s="1"/>
  <c r="CD42" i="7"/>
  <c r="CE42" i="7"/>
  <c r="BV42" i="7"/>
  <c r="BW42" i="7"/>
  <c r="BN42" i="7"/>
  <c r="BO42" i="7"/>
  <c r="BF42" i="7"/>
  <c r="BG42" i="7"/>
  <c r="AX42" i="7"/>
  <c r="AY42" i="7"/>
  <c r="AP42" i="7"/>
  <c r="AQ42" i="7" s="1"/>
  <c r="AH42" i="7"/>
  <c r="AI42" i="7"/>
  <c r="Z42" i="7"/>
  <c r="AA42" i="7"/>
  <c r="CX42" i="7"/>
  <c r="CY42" i="7" s="1"/>
  <c r="CP42" i="7"/>
  <c r="CQ42" i="7" s="1"/>
  <c r="CH42" i="7"/>
  <c r="CI42" i="7"/>
  <c r="BZ42" i="7"/>
  <c r="CA42" i="7" s="1"/>
  <c r="BR42" i="7"/>
  <c r="BS42" i="7" s="1"/>
  <c r="BJ42" i="7"/>
  <c r="BK42" i="7"/>
  <c r="BB42" i="7"/>
  <c r="BC42" i="7"/>
  <c r="AT42" i="7"/>
  <c r="AU42" i="7"/>
  <c r="AL42" i="7"/>
  <c r="AM42" i="7"/>
  <c r="AD42" i="7"/>
  <c r="V42" i="7"/>
  <c r="W42" i="7" s="1"/>
  <c r="AP43" i="7"/>
  <c r="AQ43" i="7" s="1"/>
  <c r="BR43" i="7"/>
  <c r="W46" i="7"/>
  <c r="CL43" i="7"/>
  <c r="BV43" i="7"/>
  <c r="BW43" i="7" s="1"/>
  <c r="BF43" i="7"/>
  <c r="CH43" i="7"/>
  <c r="BZ43" i="7"/>
  <c r="CA43" i="7"/>
  <c r="AX43" i="7"/>
  <c r="AL43" i="7"/>
  <c r="V43" i="7"/>
  <c r="CD43" i="7"/>
  <c r="CE43" i="7" s="1"/>
  <c r="BB43" i="7"/>
  <c r="BC43" i="7" s="1"/>
  <c r="AT43" i="7"/>
  <c r="AD43" i="7"/>
  <c r="AE43" i="7" s="1"/>
  <c r="AH43" i="7"/>
  <c r="CX43" i="7"/>
  <c r="Z41" i="7"/>
  <c r="AA41" i="7"/>
  <c r="AP41" i="7"/>
  <c r="BF41" i="7"/>
  <c r="BV41" i="7"/>
  <c r="BW41" i="7" s="1"/>
  <c r="CL41" i="7"/>
  <c r="CM41" i="7"/>
  <c r="Y43" i="7"/>
  <c r="AO43" i="7"/>
  <c r="BI43" i="7"/>
  <c r="CK43" i="7"/>
  <c r="CK45" i="7"/>
  <c r="CM45" i="7"/>
  <c r="BU45" i="7"/>
  <c r="BW45" i="7"/>
  <c r="BE45" i="7"/>
  <c r="BG45" i="7" s="1"/>
  <c r="AO45" i="7"/>
  <c r="AQ45" i="7"/>
  <c r="Y45" i="7"/>
  <c r="AG45" i="7"/>
  <c r="BI45" i="7"/>
  <c r="BQ45" i="7"/>
  <c r="CS45" i="7"/>
  <c r="CU45" i="7"/>
  <c r="CS47" i="7"/>
  <c r="CC47" i="7"/>
  <c r="CE47" i="7" s="1"/>
  <c r="BM47" i="7"/>
  <c r="BO47" i="7"/>
  <c r="AW47" i="7"/>
  <c r="AG47" i="7"/>
  <c r="CW47" i="7"/>
  <c r="CG47" i="7"/>
  <c r="CI47" i="7"/>
  <c r="BQ47" i="7"/>
  <c r="BA47" i="7"/>
  <c r="BC47" i="7" s="1"/>
  <c r="AK47" i="7"/>
  <c r="U47" i="7"/>
  <c r="CK47" i="7"/>
  <c r="BU47" i="7"/>
  <c r="BW47" i="7" s="1"/>
  <c r="BE47" i="7"/>
  <c r="AO47" i="7"/>
  <c r="AQ47" i="7"/>
  <c r="Y47" i="7"/>
  <c r="CO47" i="7"/>
  <c r="CQ47" i="7"/>
  <c r="BY47" i="7"/>
  <c r="CA47" i="7"/>
  <c r="BI47" i="7"/>
  <c r="BK47" i="7"/>
  <c r="AS47" i="7"/>
  <c r="AC47" i="7"/>
  <c r="AE47" i="7"/>
  <c r="AH41" i="7"/>
  <c r="AX41" i="7"/>
  <c r="BN41" i="7"/>
  <c r="BO41" i="7"/>
  <c r="CD41" i="7"/>
  <c r="CW43" i="7"/>
  <c r="CY43" i="7" s="1"/>
  <c r="CG43" i="7"/>
  <c r="CI43" i="7"/>
  <c r="BQ43" i="7"/>
  <c r="BS43" i="7" s="1"/>
  <c r="BA43" i="7"/>
  <c r="AG43" i="7"/>
  <c r="AI43" i="7"/>
  <c r="BE43" i="7"/>
  <c r="BG43" i="7" s="1"/>
  <c r="BM43" i="7"/>
  <c r="CO43" i="7"/>
  <c r="CQ43" i="7" s="1"/>
  <c r="AC45" i="7"/>
  <c r="AK45" i="7"/>
  <c r="AM45" i="7" s="1"/>
  <c r="BM45" i="7"/>
  <c r="BO45" i="7"/>
  <c r="CO45" i="7"/>
  <c r="CQ45" i="7" s="1"/>
  <c r="CW45" i="7"/>
  <c r="AH47" i="7"/>
  <c r="AI47" i="7" s="1"/>
  <c r="AX47" i="7"/>
  <c r="AY47" i="7" s="1"/>
  <c r="BN47" i="7"/>
  <c r="CD47" i="7"/>
  <c r="AU37" i="7"/>
  <c r="AM31" i="7"/>
  <c r="CA37" i="7"/>
  <c r="BG19" i="7"/>
  <c r="AI13" i="7"/>
  <c r="AA39" i="7"/>
  <c r="AM35" i="7"/>
  <c r="AQ21" i="7"/>
  <c r="CE35" i="7"/>
  <c r="BO43" i="7"/>
  <c r="CM43" i="7"/>
  <c r="AE45" i="7"/>
  <c r="CE41" i="7"/>
  <c r="BW29" i="7"/>
  <c r="BK37" i="7"/>
  <c r="AY29" i="7"/>
  <c r="W29" i="7"/>
  <c r="W26" i="7"/>
  <c r="W23" i="7"/>
  <c r="BC35" i="7"/>
  <c r="W37" i="7"/>
  <c r="CE25" i="7"/>
  <c r="W14" i="7"/>
  <c r="W44" i="7"/>
  <c r="BW21" i="7"/>
  <c r="AA33" i="7"/>
  <c r="AE25" i="7"/>
  <c r="BK14" i="7"/>
  <c r="AE14" i="7"/>
  <c r="AA13" i="7"/>
  <c r="AY12" i="7"/>
  <c r="CE12" i="7"/>
  <c r="AQ24" i="7"/>
  <c r="BW18" i="7"/>
  <c r="AQ18" i="7"/>
  <c r="W17" i="7"/>
  <c r="K19" i="7"/>
  <c r="BY19" i="7"/>
  <c r="CA19" i="7" s="1"/>
  <c r="Y19" i="7"/>
  <c r="BC28" i="7"/>
  <c r="CU28" i="7"/>
  <c r="K28" i="7"/>
  <c r="R28" i="7"/>
  <c r="S28" i="7" s="1"/>
  <c r="CI28" i="7"/>
  <c r="CT41" i="7"/>
  <c r="K41" i="7"/>
  <c r="S9" i="7"/>
  <c r="CW13" i="7"/>
  <c r="CY13" i="7" s="1"/>
  <c r="AO13" i="7"/>
  <c r="CS13" i="7"/>
  <c r="CU13" i="7" s="1"/>
  <c r="CK13" i="7"/>
  <c r="AC13" i="7"/>
  <c r="K13" i="7"/>
  <c r="BE13" i="7"/>
  <c r="BG13" i="7" s="1"/>
  <c r="K25" i="7"/>
  <c r="AK25" i="7"/>
  <c r="AM25" i="7"/>
  <c r="CW25" i="7"/>
  <c r="CY25" i="7"/>
  <c r="BE25" i="7"/>
  <c r="BG25" i="7" s="1"/>
  <c r="CX38" i="7"/>
  <c r="CY38" i="7" s="1"/>
  <c r="CH38" i="7"/>
  <c r="CI38" i="7" s="1"/>
  <c r="BR38" i="7"/>
  <c r="BS38" i="7"/>
  <c r="BB38" i="7"/>
  <c r="BC38" i="7" s="1"/>
  <c r="AL38" i="7"/>
  <c r="AM38" i="7"/>
  <c r="V38" i="7"/>
  <c r="W38" i="7" s="1"/>
  <c r="K38" i="7"/>
  <c r="CL38" i="7"/>
  <c r="K45" i="7"/>
  <c r="BR45" i="7"/>
  <c r="BS45" i="7" s="1"/>
  <c r="CX45" i="7"/>
  <c r="CY45" i="7"/>
  <c r="K21" i="7"/>
  <c r="CX21" i="7"/>
  <c r="V39" i="7"/>
  <c r="CL39" i="7"/>
  <c r="CM39" i="7"/>
  <c r="K43" i="7"/>
  <c r="AK43" i="7"/>
  <c r="AM43" i="7" s="1"/>
  <c r="CS43" i="7"/>
  <c r="CU43" i="7" s="1"/>
  <c r="U43" i="7"/>
  <c r="Q43" i="7" s="1"/>
  <c r="AW43" i="7"/>
  <c r="AY43" i="7" s="1"/>
  <c r="K8" i="7"/>
  <c r="AC39" i="7"/>
  <c r="AE39" i="7"/>
  <c r="CM13" i="7"/>
  <c r="CY21" i="7"/>
  <c r="CM38" i="7"/>
  <c r="CU41" i="7"/>
  <c r="W43" i="7"/>
  <c r="R31" i="7"/>
  <c r="W18" i="7"/>
  <c r="S18" i="7"/>
  <c r="AE42" i="7"/>
  <c r="R42" i="7"/>
  <c r="S42" i="7" s="1"/>
  <c r="AO49" i="7"/>
  <c r="W28" i="7"/>
  <c r="R21" i="7"/>
  <c r="AE13" i="7"/>
  <c r="R16" i="7"/>
  <c r="S16" i="7" s="1"/>
  <c r="R26" i="7"/>
  <c r="S26" i="7"/>
  <c r="AQ41" i="7"/>
  <c r="CE27" i="7"/>
  <c r="CE21" i="7"/>
  <c r="R30" i="7"/>
  <c r="S30" i="7" s="1"/>
  <c r="AU22" i="7"/>
  <c r="R14" i="7"/>
  <c r="S14" i="7" s="1"/>
  <c r="BK27" i="7"/>
  <c r="AI41" i="7"/>
  <c r="Q31" i="7"/>
  <c r="Q23" i="7"/>
  <c r="R33" i="7"/>
  <c r="BG29" i="7"/>
  <c r="W36" i="7"/>
  <c r="CU21" i="7"/>
  <c r="R27" i="7"/>
  <c r="CA20" i="7"/>
  <c r="AU43" i="7"/>
  <c r="Q39" i="7"/>
  <c r="W33" i="7"/>
  <c r="W32" i="7"/>
  <c r="AY13" i="7"/>
  <c r="R43" i="7"/>
  <c r="S43" i="7"/>
  <c r="AY33" i="7"/>
  <c r="BS35" i="7"/>
  <c r="BO29" i="7"/>
  <c r="BS23" i="7"/>
  <c r="W12" i="7"/>
  <c r="R12" i="7"/>
  <c r="S12" i="7" s="1"/>
  <c r="Q11" i="7"/>
  <c r="R46" i="7"/>
  <c r="S46" i="7" s="1"/>
  <c r="AA46" i="7"/>
  <c r="AE33" i="7"/>
  <c r="W47" i="7"/>
  <c r="R40" i="7"/>
  <c r="S40" i="7" s="1"/>
  <c r="BO33" i="7"/>
  <c r="BO37" i="7"/>
  <c r="AA31" i="7"/>
  <c r="AM29" i="7"/>
  <c r="CI19" i="7"/>
  <c r="AY17" i="7"/>
  <c r="CE13" i="7"/>
  <c r="BW25" i="7"/>
  <c r="BO25" i="7"/>
  <c r="AE21" i="7"/>
  <c r="BO10" i="7"/>
  <c r="Q47" i="7"/>
  <c r="AA45" i="7"/>
  <c r="Q41" i="7"/>
  <c r="Q37" i="7"/>
  <c r="CE37" i="7"/>
  <c r="BO35" i="7"/>
  <c r="BO13" i="7"/>
  <c r="BO31" i="7"/>
  <c r="CU29" i="7"/>
  <c r="AI25" i="7"/>
  <c r="AA10" i="7"/>
  <c r="CU25" i="7"/>
  <c r="CM33" i="7"/>
  <c r="BK29" i="7"/>
  <c r="R24" i="7"/>
  <c r="S24" i="7" s="1"/>
  <c r="K27" i="7"/>
  <c r="BY27" i="7"/>
  <c r="CA27" i="7"/>
  <c r="K14" i="7"/>
  <c r="K37" i="7"/>
  <c r="CH10" i="7"/>
  <c r="AX20" i="7"/>
  <c r="AY20" i="7"/>
  <c r="CX20" i="7"/>
  <c r="AC27" i="7"/>
  <c r="AE27" i="7" s="1"/>
  <c r="CS35" i="7"/>
  <c r="CU35" i="7"/>
  <c r="AD38" i="7"/>
  <c r="AE38" i="7" s="1"/>
  <c r="AS45" i="7"/>
  <c r="AU45" i="7" s="1"/>
  <c r="K11" i="7"/>
  <c r="K15" i="7"/>
  <c r="CG17" i="7"/>
  <c r="CI17" i="7" s="1"/>
  <c r="AC17" i="7"/>
  <c r="AE17" i="7" s="1"/>
  <c r="CO17" i="7"/>
  <c r="K20" i="7"/>
  <c r="V20" i="7"/>
  <c r="BB23" i="7"/>
  <c r="R23" i="7" s="1"/>
  <c r="S23" i="7" s="1"/>
  <c r="CA25" i="7"/>
  <c r="CS27" i="7"/>
  <c r="CU27" i="7" s="1"/>
  <c r="BE27" i="7"/>
  <c r="BG27" i="7" s="1"/>
  <c r="CO35" i="7"/>
  <c r="CQ35" i="7" s="1"/>
  <c r="AH44" i="7"/>
  <c r="AI44" i="7"/>
  <c r="BI21" i="7"/>
  <c r="BK21" i="7"/>
  <c r="CO21" i="7"/>
  <c r="CQ21" i="7"/>
  <c r="K23" i="7"/>
  <c r="K29" i="7"/>
  <c r="K35" i="7"/>
  <c r="CX47" i="7"/>
  <c r="CY47" i="7" s="1"/>
  <c r="BF47" i="7"/>
  <c r="BG47" i="7"/>
  <c r="CQ17" i="7"/>
  <c r="Q21" i="7"/>
  <c r="S21" i="7" s="1"/>
  <c r="Q45" i="7"/>
  <c r="R25" i="7"/>
  <c r="BY49" i="7"/>
  <c r="CY20" i="7"/>
  <c r="W20" i="7"/>
  <c r="R20" i="7"/>
  <c r="S20" i="7" s="1"/>
  <c r="CI10" i="7"/>
  <c r="S37" i="7"/>
  <c r="Q27" i="7"/>
  <c r="S27" i="7" s="1"/>
  <c r="R10" i="7"/>
  <c r="R44" i="7"/>
  <c r="S44" i="7"/>
  <c r="S31" i="7"/>
  <c r="DA49" i="7"/>
  <c r="DB49" i="7"/>
  <c r="DG25" i="7"/>
  <c r="R45" i="7" l="1"/>
  <c r="S45" i="7" s="1"/>
  <c r="R13" i="7"/>
  <c r="BS33" i="7"/>
  <c r="Q33" i="7"/>
  <c r="S33" i="7" s="1"/>
  <c r="BU15" i="7"/>
  <c r="AW15" i="7"/>
  <c r="CW15" i="7"/>
  <c r="BM15" i="7"/>
  <c r="CS15" i="7"/>
  <c r="Y15" i="7"/>
  <c r="CG15" i="7"/>
  <c r="AG15" i="7"/>
  <c r="CC15" i="7"/>
  <c r="CE15" i="7" s="1"/>
  <c r="BQ15" i="7"/>
  <c r="AC15" i="7"/>
  <c r="BA15" i="7"/>
  <c r="BE15" i="7"/>
  <c r="CO15" i="7"/>
  <c r="AK15" i="7"/>
  <c r="CK15" i="7"/>
  <c r="U15" i="7"/>
  <c r="AS15" i="7"/>
  <c r="BI15" i="7"/>
  <c r="I49" i="7"/>
  <c r="Q13" i="7"/>
  <c r="AQ13" i="7"/>
  <c r="BG41" i="7"/>
  <c r="R41" i="7"/>
  <c r="S41" i="7" s="1"/>
  <c r="CP34" i="7"/>
  <c r="CQ34" i="7" s="1"/>
  <c r="BN34" i="7"/>
  <c r="BO34" i="7" s="1"/>
  <c r="AP34" i="7"/>
  <c r="AQ34" i="7" s="1"/>
  <c r="CT34" i="7"/>
  <c r="CU34" i="7" s="1"/>
  <c r="Z34" i="7"/>
  <c r="AA34" i="7" s="1"/>
  <c r="BR34" i="7"/>
  <c r="BS34" i="7" s="1"/>
  <c r="BJ34" i="7"/>
  <c r="BK34" i="7" s="1"/>
  <c r="AT34" i="7"/>
  <c r="AU34" i="7" s="1"/>
  <c r="CD34" i="7"/>
  <c r="CE34" i="7" s="1"/>
  <c r="BV34" i="7"/>
  <c r="BW34" i="7" s="1"/>
  <c r="K34" i="7"/>
  <c r="V34" i="7"/>
  <c r="BF34" i="7"/>
  <c r="BG34" i="7" s="1"/>
  <c r="CX34" i="7"/>
  <c r="CY34" i="7" s="1"/>
  <c r="CH34" i="7"/>
  <c r="CI34" i="7" s="1"/>
  <c r="BZ34" i="7"/>
  <c r="CA34" i="7" s="1"/>
  <c r="AL34" i="7"/>
  <c r="AM34" i="7" s="1"/>
  <c r="AD34" i="7"/>
  <c r="AE34" i="7" s="1"/>
  <c r="AX34" i="7"/>
  <c r="AY34" i="7" s="1"/>
  <c r="CL34" i="7"/>
  <c r="CM34" i="7" s="1"/>
  <c r="AH34" i="7"/>
  <c r="AI34" i="7" s="1"/>
  <c r="BB34" i="7"/>
  <c r="BC34" i="7" s="1"/>
  <c r="AQ17" i="7"/>
  <c r="R17" i="7"/>
  <c r="BJ11" i="7"/>
  <c r="AP11" i="7"/>
  <c r="AL11" i="7"/>
  <c r="Z11" i="7"/>
  <c r="CT11" i="7"/>
  <c r="CU11" i="7" s="1"/>
  <c r="CX11" i="7"/>
  <c r="CL11" i="7"/>
  <c r="CP11" i="7"/>
  <c r="AX11" i="7"/>
  <c r="BN11" i="7"/>
  <c r="CD11" i="7"/>
  <c r="AD11" i="7"/>
  <c r="V11" i="7"/>
  <c r="BB11" i="7"/>
  <c r="BV11" i="7"/>
  <c r="CH11" i="7"/>
  <c r="AT11" i="7"/>
  <c r="BF11" i="7"/>
  <c r="AH11" i="7"/>
  <c r="BR11" i="7"/>
  <c r="BS11" i="7" s="1"/>
  <c r="BZ11" i="7"/>
  <c r="J49" i="7"/>
  <c r="BC23" i="7"/>
  <c r="W39" i="7"/>
  <c r="R39" i="7"/>
  <c r="S39" i="7" s="1"/>
  <c r="S10" i="7"/>
  <c r="Q17" i="7"/>
  <c r="S17" i="7" s="1"/>
  <c r="AE22" i="7"/>
  <c r="R22" i="7"/>
  <c r="S22" i="7" s="1"/>
  <c r="CY11" i="7"/>
  <c r="K49" i="7"/>
  <c r="AA19" i="7"/>
  <c r="Q19" i="7"/>
  <c r="S19" i="7" s="1"/>
  <c r="BG37" i="7"/>
  <c r="BW17" i="7"/>
  <c r="Q35" i="7"/>
  <c r="Q29" i="7"/>
  <c r="S29" i="7" s="1"/>
  <c r="AI29" i="7"/>
  <c r="CU10" i="7"/>
  <c r="CT49" i="7"/>
  <c r="Q25" i="7"/>
  <c r="S25" i="7" s="1"/>
  <c r="CI23" i="7"/>
  <c r="BS10" i="7"/>
  <c r="AA47" i="7"/>
  <c r="AQ19" i="7"/>
  <c r="BK23" i="7"/>
  <c r="CC49" i="7"/>
  <c r="CM11" i="7"/>
  <c r="BC33" i="7"/>
  <c r="AI45" i="7"/>
  <c r="R35" i="7"/>
  <c r="CM19" i="7"/>
  <c r="AY23" i="7"/>
  <c r="CQ23" i="7"/>
  <c r="BG11" i="7"/>
  <c r="BG17" i="7"/>
  <c r="CA45" i="7"/>
  <c r="BR47" i="7"/>
  <c r="BS47" i="7" s="1"/>
  <c r="AT47" i="7"/>
  <c r="AU47" i="7" s="1"/>
  <c r="AL47" i="7"/>
  <c r="AM47" i="7" s="1"/>
  <c r="Z47" i="7"/>
  <c r="CT47" i="7"/>
  <c r="CU47" i="7" s="1"/>
  <c r="CL47" i="7"/>
  <c r="CM47" i="7" s="1"/>
  <c r="DC49" i="7"/>
  <c r="CP38" i="7"/>
  <c r="CQ38" i="7" s="1"/>
  <c r="DG31" i="7"/>
  <c r="DG49" i="7" s="1"/>
  <c r="CX32" i="7"/>
  <c r="CD36" i="7"/>
  <c r="R11" i="7" l="1"/>
  <c r="V49" i="7"/>
  <c r="BK11" i="7"/>
  <c r="BJ49" i="7"/>
  <c r="AM15" i="7"/>
  <c r="AK49" i="7"/>
  <c r="CY15" i="7"/>
  <c r="CW49" i="7"/>
  <c r="BR49" i="7"/>
  <c r="CU49" i="7"/>
  <c r="AE11" i="7"/>
  <c r="AD49" i="7"/>
  <c r="CO49" i="7"/>
  <c r="CQ15" i="7"/>
  <c r="AY15" i="7"/>
  <c r="AW49" i="7"/>
  <c r="CM49" i="7"/>
  <c r="BM49" i="7"/>
  <c r="BO15" i="7"/>
  <c r="CE11" i="7"/>
  <c r="CD49" i="7"/>
  <c r="BG15" i="7"/>
  <c r="BG49" i="7" s="1"/>
  <c r="BE49" i="7"/>
  <c r="BW15" i="7"/>
  <c r="BU49" i="7"/>
  <c r="BV49" i="7"/>
  <c r="BW11" i="7"/>
  <c r="BC11" i="7"/>
  <c r="BB49" i="7"/>
  <c r="BN49" i="7"/>
  <c r="BO11" i="7"/>
  <c r="BO49" i="7" s="1"/>
  <c r="BC15" i="7"/>
  <c r="BA49" i="7"/>
  <c r="Q15" i="7"/>
  <c r="S15" i="7" s="1"/>
  <c r="W15" i="7"/>
  <c r="U49" i="7"/>
  <c r="AQ11" i="7"/>
  <c r="AQ49" i="7" s="1"/>
  <c r="AP49" i="7"/>
  <c r="CY49" i="7"/>
  <c r="CA11" i="7"/>
  <c r="CA49" i="7" s="1"/>
  <c r="BZ49" i="7"/>
  <c r="AY11" i="7"/>
  <c r="AY49" i="7" s="1"/>
  <c r="AX49" i="7"/>
  <c r="AE15" i="7"/>
  <c r="AC49" i="7"/>
  <c r="BS15" i="7"/>
  <c r="BS49" i="7" s="1"/>
  <c r="BQ49" i="7"/>
  <c r="AM11" i="7"/>
  <c r="AM49" i="7" s="1"/>
  <c r="AL49" i="7"/>
  <c r="CU15" i="7"/>
  <c r="CS49" i="7"/>
  <c r="CP49" i="7"/>
  <c r="CQ11" i="7"/>
  <c r="CQ49" i="7" s="1"/>
  <c r="AI11" i="7"/>
  <c r="AH49" i="7"/>
  <c r="CL49" i="7"/>
  <c r="CY32" i="7"/>
  <c r="R32" i="7"/>
  <c r="S32" i="7" s="1"/>
  <c r="CE36" i="7"/>
  <c r="R36" i="7"/>
  <c r="S36" i="7" s="1"/>
  <c r="BF49" i="7"/>
  <c r="CX49" i="7"/>
  <c r="W34" i="7"/>
  <c r="R34" i="7"/>
  <c r="S34" i="7" s="1"/>
  <c r="S13" i="7"/>
  <c r="Q49" i="7"/>
  <c r="AG49" i="7"/>
  <c r="AI15" i="7"/>
  <c r="W11" i="7"/>
  <c r="S35" i="7"/>
  <c r="AT49" i="7"/>
  <c r="AU11" i="7"/>
  <c r="AU49" i="7" s="1"/>
  <c r="R38" i="7"/>
  <c r="S38" i="7" s="1"/>
  <c r="BK15" i="7"/>
  <c r="BI49" i="7"/>
  <c r="CI15" i="7"/>
  <c r="CG49" i="7"/>
  <c r="CM15" i="7"/>
  <c r="CK49" i="7"/>
  <c r="R47" i="7"/>
  <c r="S47" i="7" s="1"/>
  <c r="CI11" i="7"/>
  <c r="CH49" i="7"/>
  <c r="AA11" i="7"/>
  <c r="Z49" i="7"/>
  <c r="AU15" i="7"/>
  <c r="AS49" i="7"/>
  <c r="AA15" i="7"/>
  <c r="Y49" i="7"/>
  <c r="CI49" i="7" l="1"/>
  <c r="BK49" i="7"/>
  <c r="AI49" i="7"/>
  <c r="S11" i="7"/>
  <c r="S49" i="7" s="1"/>
  <c r="R49" i="7"/>
  <c r="BC49" i="7"/>
  <c r="CE49" i="7"/>
  <c r="BW49" i="7"/>
  <c r="AA49" i="7"/>
  <c r="W49" i="7"/>
  <c r="AE49" i="7"/>
</calcChain>
</file>

<file path=xl/sharedStrings.xml><?xml version="1.0" encoding="utf-8"?>
<sst xmlns="http://schemas.openxmlformats.org/spreadsheetml/2006/main" count="150" uniqueCount="40">
  <si>
    <t>Total</t>
  </si>
  <si>
    <t>Payment</t>
  </si>
  <si>
    <t>Date</t>
  </si>
  <si>
    <t>Principal</t>
  </si>
  <si>
    <t>Interest</t>
  </si>
  <si>
    <t xml:space="preserve">    University System of Maryland</t>
  </si>
  <si>
    <t xml:space="preserve">        UMB New Campus Center (Auxiliary)</t>
  </si>
  <si>
    <t xml:space="preserve">   UMBC Resident Hall Renovation (Auxiliary)</t>
  </si>
  <si>
    <t xml:space="preserve">    UMBC New Recreation &amp; Athletic (Auxiliary)</t>
  </si>
  <si>
    <t xml:space="preserve"> </t>
  </si>
  <si>
    <t xml:space="preserve">         TU Towsontown Garage (Auxiliary)</t>
  </si>
  <si>
    <t xml:space="preserve">      TU Towson Center Arena (Auxiliary)</t>
  </si>
  <si>
    <t xml:space="preserve">    TU West Village Infrastructure (Auxiliary)</t>
  </si>
  <si>
    <t xml:space="preserve">   UMCP Fraternity/Sorority Houses (Auxiliary)</t>
  </si>
  <si>
    <t xml:space="preserve">    BSU Holmes Hall &amp; Tubman Hall (Auxiliary)</t>
  </si>
  <si>
    <t xml:space="preserve">           CSU Parking Garage (Auxiliary)</t>
  </si>
  <si>
    <t xml:space="preserve">       FSU Lane Center Renovation (Auxiliary)</t>
  </si>
  <si>
    <t xml:space="preserve">           SU New Parking Garage (Auxiliary)</t>
  </si>
  <si>
    <t xml:space="preserve">      UMCP SCUB Utilities Facility (Auxiliary)</t>
  </si>
  <si>
    <t xml:space="preserve">   UMES Wicomico Hall Renovation (Auxiliary)</t>
  </si>
  <si>
    <t xml:space="preserve">    TU West Village Dining Commons (Auxiliary)</t>
  </si>
  <si>
    <t xml:space="preserve">           Total Academic Projects - 2008A</t>
  </si>
  <si>
    <t>2008 Series A Bond Funded Projects</t>
  </si>
  <si>
    <t xml:space="preserve">           Total Auxiliary Projects - 2008A</t>
  </si>
  <si>
    <t xml:space="preserve">    UMCP Byrd Stadium Expansion (Auxiliary)</t>
  </si>
  <si>
    <t xml:space="preserve">              UMCP Golf Course (Auxiliary)</t>
  </si>
  <si>
    <t xml:space="preserve">     UMBC Athletic Practice Fields (Auxiliary)</t>
  </si>
  <si>
    <t xml:space="preserve">       SU Dormitory Renovations (Auxiliary)</t>
  </si>
  <si>
    <t xml:space="preserve">     UMBC Dining Hall Upgrades (Auxiliary)</t>
  </si>
  <si>
    <t xml:space="preserve">       BSU New Student Center (Auxiliary)</t>
  </si>
  <si>
    <t xml:space="preserve">  USMO Shady Grove Parking Garage (Auxiliary)</t>
  </si>
  <si>
    <t xml:space="preserve">            2008 A - Original</t>
  </si>
  <si>
    <t xml:space="preserve">  2008 A - Refunding on 2015A</t>
  </si>
  <si>
    <t xml:space="preserve">                   2008 Series A - Total</t>
  </si>
  <si>
    <t xml:space="preserve">                                                                       Total Debt Services - 2008 Series A</t>
  </si>
  <si>
    <t xml:space="preserve">            Distribution of Debt Services after 2016B Bond Issue</t>
  </si>
  <si>
    <t xml:space="preserve">  2008 A - Refunding on 2016B</t>
  </si>
  <si>
    <t>Academic Project</t>
  </si>
  <si>
    <t xml:space="preserve">  Debt Svc from Earnings/Interest/Plant Funds</t>
  </si>
  <si>
    <t>Paid off to USM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</si>
</sst>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mm/dd/yy"/>
  </numFmts>
  <fonts count="3" x14ac:knownFonts="1">
    <font>
      <sz val="10"/>
      <name val="Arial"/>
    </font>
    <font>
      <sz val="10"/>
      <name val="Arial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3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left"/>
    </xf>
    <xf numFmtId="3" fontId="0" fillId="0" borderId="4" xfId="0" applyNumberFormat="1" applyBorder="1"/>
    <xf numFmtId="3" fontId="0" fillId="0" borderId="5" xfId="0" applyNumberFormat="1" applyBorder="1"/>
    <xf numFmtId="165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4" xfId="0" applyNumberFormat="1" applyBorder="1"/>
    <xf numFmtId="38" fontId="0" fillId="0" borderId="0" xfId="0" applyNumberFormat="1"/>
    <xf numFmtId="38" fontId="0" fillId="0" borderId="0" xfId="0" applyNumberFormat="1" applyAlignment="1">
      <alignment horizontal="right"/>
    </xf>
    <xf numFmtId="38" fontId="0" fillId="0" borderId="1" xfId="0" quotePrefix="1" applyNumberFormat="1" applyBorder="1" applyAlignment="1">
      <alignment horizontal="left"/>
    </xf>
    <xf numFmtId="38" fontId="0" fillId="0" borderId="4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left"/>
    </xf>
    <xf numFmtId="38" fontId="0" fillId="0" borderId="0" xfId="0" quotePrefix="1" applyNumberFormat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/>
    <xf numFmtId="38" fontId="0" fillId="2" borderId="4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164" fontId="0" fillId="0" borderId="10" xfId="0" applyNumberFormat="1" applyBorder="1"/>
    <xf numFmtId="38" fontId="0" fillId="0" borderId="4" xfId="0" applyNumberFormat="1" applyBorder="1"/>
    <xf numFmtId="3" fontId="0" fillId="0" borderId="0" xfId="0" applyNumberFormat="1" applyAlignment="1">
      <alignment horizontal="center"/>
    </xf>
    <xf numFmtId="164" fontId="0" fillId="0" borderId="11" xfId="0" applyNumberFormat="1" applyBorder="1"/>
    <xf numFmtId="38" fontId="0" fillId="0" borderId="10" xfId="0" applyNumberFormat="1" applyBorder="1" applyAlignment="1">
      <alignment horizontal="right"/>
    </xf>
    <xf numFmtId="164" fontId="0" fillId="0" borderId="1" xfId="0" quotePrefix="1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38" fontId="0" fillId="0" borderId="2" xfId="0" applyNumberFormat="1" applyBorder="1"/>
    <xf numFmtId="3" fontId="0" fillId="0" borderId="2" xfId="0" applyNumberFormat="1" applyBorder="1"/>
    <xf numFmtId="38" fontId="0" fillId="0" borderId="2" xfId="0" applyNumberFormat="1" applyBorder="1" applyAlignment="1">
      <alignment horizontal="right"/>
    </xf>
    <xf numFmtId="38" fontId="0" fillId="0" borderId="12" xfId="0" applyNumberFormat="1" applyBorder="1" applyAlignment="1">
      <alignment horizontal="right"/>
    </xf>
    <xf numFmtId="38" fontId="1" fillId="0" borderId="1" xfId="0" quotePrefix="1" applyNumberFormat="1" applyFont="1" applyBorder="1" applyAlignment="1">
      <alignment horizontal="left"/>
    </xf>
    <xf numFmtId="38" fontId="1" fillId="0" borderId="0" xfId="0" quotePrefix="1" applyNumberFormat="1" applyFont="1" applyAlignment="1">
      <alignment horizontal="left"/>
    </xf>
    <xf numFmtId="38" fontId="1" fillId="2" borderId="1" xfId="0" quotePrefix="1" applyNumberFormat="1" applyFont="1" applyFill="1" applyBorder="1" applyAlignment="1">
      <alignment horizontal="left"/>
    </xf>
    <xf numFmtId="165" fontId="0" fillId="3" borderId="0" xfId="0" applyNumberFormat="1" applyFill="1" applyAlignment="1">
      <alignment horizontal="center"/>
    </xf>
    <xf numFmtId="164" fontId="2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9753-A055-4229-A06C-66E5DB4C2737}">
  <sheetPr>
    <tabColor rgb="FFFF0000"/>
  </sheetPr>
  <dimension ref="A1:DJ89"/>
  <sheetViews>
    <sheetView tabSelected="1" zoomScale="136" zoomScaleNormal="136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51" sqref="D51"/>
    </sheetView>
  </sheetViews>
  <sheetFormatPr defaultColWidth="13.7109375" defaultRowHeight="12.75" x14ac:dyDescent="0.2"/>
  <cols>
    <col min="1" max="1" width="13" style="12" customWidth="1"/>
    <col min="2" max="2" width="3.7109375" customWidth="1"/>
    <col min="3" max="11" width="13.7109375" style="15" customWidth="1"/>
    <col min="12" max="12" width="3.7109375" style="14" customWidth="1"/>
    <col min="13" max="15" width="13.7109375" style="14" customWidth="1"/>
    <col min="16" max="16" width="3.7109375" style="14" customWidth="1"/>
    <col min="17" max="19" width="13.7109375" customWidth="1"/>
    <col min="20" max="20" width="3.7109375" style="14" customWidth="1"/>
    <col min="21" max="23" width="13.7109375" customWidth="1"/>
    <col min="24" max="24" width="3.7109375" style="14" customWidth="1"/>
    <col min="25" max="27" width="13.7109375" customWidth="1"/>
    <col min="28" max="28" width="3.7109375" style="14" customWidth="1"/>
    <col min="29" max="31" width="13.7109375" style="14" customWidth="1"/>
    <col min="32" max="32" width="3.7109375" style="14" customWidth="1"/>
    <col min="33" max="35" width="13.7109375" customWidth="1"/>
    <col min="36" max="36" width="3.7109375" style="14" customWidth="1"/>
    <col min="37" max="39" width="13.7109375" customWidth="1"/>
    <col min="40" max="40" width="3.7109375" style="3" customWidth="1"/>
    <col min="41" max="43" width="13.7109375" customWidth="1"/>
    <col min="44" max="44" width="3.7109375" style="3" customWidth="1"/>
    <col min="45" max="47" width="13.7109375" style="3" customWidth="1"/>
    <col min="48" max="48" width="3.7109375" style="3" customWidth="1"/>
    <col min="49" max="51" width="12.7109375" style="3" customWidth="1"/>
    <col min="52" max="52" width="3.7109375" style="3" customWidth="1"/>
    <col min="53" max="55" width="13.7109375" style="3" customWidth="1"/>
    <col min="56" max="56" width="3.7109375" style="3" customWidth="1"/>
    <col min="57" max="59" width="13.7109375" style="3" customWidth="1"/>
    <col min="60" max="60" width="3.7109375" style="3" customWidth="1"/>
    <col min="61" max="63" width="13.7109375" style="3" customWidth="1"/>
    <col min="64" max="64" width="3.7109375" style="3" customWidth="1"/>
    <col min="65" max="67" width="13.7109375" style="3" customWidth="1"/>
    <col min="68" max="68" width="3.7109375" style="3" customWidth="1"/>
    <col min="69" max="71" width="12.7109375" style="3" customWidth="1"/>
    <col min="72" max="72" width="3.7109375" style="3" customWidth="1"/>
    <col min="73" max="75" width="13.7109375" style="3" customWidth="1"/>
    <col min="76" max="76" width="3.7109375" style="3" customWidth="1"/>
    <col min="77" max="79" width="13.7109375" style="3" customWidth="1"/>
    <col min="80" max="80" width="3.7109375" style="3" customWidth="1"/>
    <col min="81" max="83" width="13.7109375" style="3" customWidth="1"/>
    <col min="84" max="84" width="3.7109375" style="3" customWidth="1"/>
    <col min="85" max="87" width="13.7109375" style="3" customWidth="1"/>
    <col min="88" max="88" width="3.7109375" style="3" customWidth="1"/>
    <col min="89" max="91" width="13.7109375" style="3" customWidth="1"/>
    <col min="92" max="92" width="3.7109375" style="3" customWidth="1"/>
    <col min="93" max="95" width="13.7109375" style="3" customWidth="1"/>
    <col min="96" max="96" width="3.7109375" style="3" customWidth="1"/>
    <col min="97" max="99" width="13.7109375" style="3" customWidth="1"/>
    <col min="100" max="100" width="3.7109375" style="3" customWidth="1"/>
    <col min="101" max="103" width="13.7109375" style="3" customWidth="1"/>
    <col min="104" max="104" width="3.7109375" style="3" customWidth="1"/>
    <col min="105" max="107" width="13.7109375" style="3" customWidth="1"/>
    <col min="108" max="108" width="3.7109375" customWidth="1"/>
    <col min="109" max="111" width="13.7109375" style="3"/>
    <col min="112" max="112" width="3.7109375" customWidth="1"/>
  </cols>
  <sheetData>
    <row r="1" spans="1:114" x14ac:dyDescent="0.2">
      <c r="B1" s="11"/>
      <c r="D1" s="20"/>
      <c r="E1" s="20"/>
      <c r="F1" s="21" t="s">
        <v>5</v>
      </c>
      <c r="G1" s="21"/>
      <c r="H1" s="21"/>
      <c r="I1" s="21"/>
      <c r="J1" s="21"/>
      <c r="M1" s="21"/>
      <c r="Q1" s="20"/>
      <c r="R1" s="21" t="s">
        <v>5</v>
      </c>
      <c r="U1" s="20"/>
      <c r="V1" s="21"/>
      <c r="Y1" s="21"/>
      <c r="AC1" s="20"/>
      <c r="AD1" s="21" t="s">
        <v>5</v>
      </c>
      <c r="AG1" s="20"/>
      <c r="AH1" s="21"/>
      <c r="AK1" s="21"/>
      <c r="AO1" s="20"/>
      <c r="AP1" s="21" t="s">
        <v>5</v>
      </c>
      <c r="AS1" s="20"/>
      <c r="AT1" s="21"/>
      <c r="AW1" s="21"/>
      <c r="BA1" s="20"/>
      <c r="BB1" s="21" t="s">
        <v>5</v>
      </c>
      <c r="BE1" s="20"/>
      <c r="BF1" s="21"/>
      <c r="BI1" s="21"/>
      <c r="BM1" s="20"/>
      <c r="BN1" s="21" t="s">
        <v>5</v>
      </c>
      <c r="BQ1" s="20"/>
      <c r="BR1" s="21"/>
      <c r="BU1" s="21"/>
      <c r="BY1" s="20"/>
      <c r="BZ1" s="21" t="s">
        <v>5</v>
      </c>
      <c r="CC1" s="20"/>
      <c r="CD1" s="21"/>
      <c r="CG1" s="21"/>
      <c r="CK1" s="20"/>
      <c r="CL1" s="21" t="s">
        <v>5</v>
      </c>
      <c r="CO1" s="20"/>
      <c r="CP1" s="21"/>
      <c r="CS1" s="21"/>
      <c r="CW1" s="20"/>
      <c r="CX1" s="21" t="s">
        <v>5</v>
      </c>
      <c r="DA1" s="20"/>
      <c r="DB1" s="21"/>
      <c r="DE1" s="20"/>
      <c r="DF1" s="21"/>
      <c r="DI1" s="20"/>
      <c r="DJ1" s="21" t="s">
        <v>5</v>
      </c>
    </row>
    <row r="2" spans="1:114" x14ac:dyDescent="0.2">
      <c r="B2" s="11"/>
      <c r="D2" s="20"/>
      <c r="E2" s="41" t="s">
        <v>35</v>
      </c>
      <c r="I2" s="21"/>
      <c r="J2" s="21"/>
      <c r="M2" s="21"/>
      <c r="Q2" s="41" t="s">
        <v>35</v>
      </c>
      <c r="R2" s="15"/>
      <c r="U2" s="41"/>
      <c r="V2" s="15"/>
      <c r="Y2" s="21"/>
      <c r="AC2" s="41" t="s">
        <v>35</v>
      </c>
      <c r="AD2" s="15"/>
      <c r="AG2" s="41"/>
      <c r="AH2" s="15"/>
      <c r="AK2" s="21"/>
      <c r="AO2" s="41" t="s">
        <v>35</v>
      </c>
      <c r="AP2" s="15"/>
      <c r="AS2" s="41"/>
      <c r="AT2" s="15"/>
      <c r="AW2" s="21"/>
      <c r="BA2" s="41" t="s">
        <v>35</v>
      </c>
      <c r="BB2" s="15"/>
      <c r="BE2" s="41"/>
      <c r="BF2" s="15"/>
      <c r="BI2" s="21"/>
      <c r="BM2" s="41" t="s">
        <v>35</v>
      </c>
      <c r="BN2" s="15"/>
      <c r="BQ2" s="41"/>
      <c r="BR2" s="15"/>
      <c r="BU2" s="21"/>
      <c r="BY2" s="41" t="s">
        <v>35</v>
      </c>
      <c r="BZ2" s="15"/>
      <c r="CC2" s="41"/>
      <c r="CD2" s="15"/>
      <c r="CG2" s="21"/>
      <c r="CK2" s="41" t="s">
        <v>35</v>
      </c>
      <c r="CL2" s="15"/>
      <c r="CO2" s="41"/>
      <c r="CP2" s="15"/>
      <c r="CS2" s="21"/>
      <c r="CW2" s="41" t="s">
        <v>35</v>
      </c>
      <c r="CX2" s="15"/>
      <c r="DA2" s="41"/>
      <c r="DB2" s="15"/>
      <c r="DE2" s="41"/>
      <c r="DF2" s="15"/>
      <c r="DI2" s="41" t="s">
        <v>35</v>
      </c>
      <c r="DJ2" s="15"/>
    </row>
    <row r="3" spans="1:114" x14ac:dyDescent="0.2">
      <c r="B3" s="11"/>
      <c r="D3" s="20"/>
      <c r="E3" s="20"/>
      <c r="F3" s="41" t="s">
        <v>22</v>
      </c>
      <c r="G3" s="41"/>
      <c r="H3" s="41"/>
      <c r="I3" s="21"/>
      <c r="J3" s="21"/>
      <c r="M3" s="21"/>
      <c r="Q3" s="20"/>
      <c r="R3" s="41" t="s">
        <v>22</v>
      </c>
      <c r="U3" s="20"/>
      <c r="V3" s="41"/>
      <c r="Y3" s="21"/>
      <c r="AC3" s="20"/>
      <c r="AD3" s="41" t="s">
        <v>22</v>
      </c>
      <c r="AG3" s="20"/>
      <c r="AH3" s="41"/>
      <c r="AK3" s="21"/>
      <c r="AO3" s="20"/>
      <c r="AP3" s="41" t="s">
        <v>22</v>
      </c>
      <c r="AS3" s="20"/>
      <c r="AT3" s="41"/>
      <c r="AW3" s="21"/>
      <c r="BA3" s="20"/>
      <c r="BB3" s="41" t="s">
        <v>22</v>
      </c>
      <c r="BE3" s="20"/>
      <c r="BF3" s="41"/>
      <c r="BI3" s="21"/>
      <c r="BM3" s="20"/>
      <c r="BN3" s="41" t="s">
        <v>22</v>
      </c>
      <c r="BQ3" s="20"/>
      <c r="BR3" s="41"/>
      <c r="BU3" s="21"/>
      <c r="BY3" s="20"/>
      <c r="BZ3" s="41" t="s">
        <v>22</v>
      </c>
      <c r="CC3" s="20"/>
      <c r="CD3" s="41"/>
      <c r="CG3" s="21"/>
      <c r="CK3" s="20"/>
      <c r="CL3" s="41" t="s">
        <v>22</v>
      </c>
      <c r="CO3" s="20"/>
      <c r="CP3" s="41"/>
      <c r="CS3" s="21"/>
      <c r="CW3" s="20"/>
      <c r="CX3" s="41" t="s">
        <v>22</v>
      </c>
      <c r="DA3" s="20"/>
      <c r="DB3" s="41"/>
      <c r="DE3" s="20"/>
      <c r="DF3" s="41"/>
      <c r="DI3" s="20"/>
      <c r="DJ3" s="41" t="s">
        <v>22</v>
      </c>
    </row>
    <row r="4" spans="1:114" x14ac:dyDescent="0.2">
      <c r="B4" s="11"/>
      <c r="C4" s="20"/>
      <c r="D4" s="21"/>
      <c r="E4" s="21"/>
      <c r="F4" s="21"/>
      <c r="G4" s="21"/>
      <c r="H4" s="21"/>
      <c r="I4" s="21"/>
      <c r="J4" s="21"/>
    </row>
    <row r="5" spans="1:114" x14ac:dyDescent="0.2">
      <c r="A5" s="4" t="s">
        <v>1</v>
      </c>
      <c r="C5" s="42" t="s">
        <v>34</v>
      </c>
      <c r="D5" s="24"/>
      <c r="E5" s="24"/>
      <c r="F5" s="24"/>
      <c r="G5" s="24"/>
      <c r="H5" s="24"/>
      <c r="I5" s="24"/>
      <c r="J5" s="24"/>
      <c r="K5" s="25"/>
      <c r="M5" s="16" t="s">
        <v>21</v>
      </c>
      <c r="N5" s="32"/>
      <c r="O5" s="18"/>
      <c r="Q5" s="16" t="s">
        <v>23</v>
      </c>
      <c r="R5" s="17"/>
      <c r="S5" s="18"/>
      <c r="U5" s="5" t="s">
        <v>24</v>
      </c>
      <c r="V5" s="6"/>
      <c r="W5" s="7"/>
      <c r="Y5" s="5" t="s">
        <v>13</v>
      </c>
      <c r="Z5" s="6"/>
      <c r="AA5" s="7"/>
      <c r="AC5" s="5" t="s">
        <v>25</v>
      </c>
      <c r="AD5" s="6"/>
      <c r="AE5" s="7"/>
      <c r="AG5" s="5" t="s">
        <v>18</v>
      </c>
      <c r="AH5" s="6"/>
      <c r="AI5" s="7"/>
      <c r="AK5" s="5" t="s">
        <v>6</v>
      </c>
      <c r="AL5" s="6"/>
      <c r="AM5" s="7"/>
      <c r="AO5" s="5" t="s">
        <v>19</v>
      </c>
      <c r="AP5" s="6"/>
      <c r="AQ5" s="7"/>
      <c r="AS5" s="5" t="s">
        <v>26</v>
      </c>
      <c r="AT5" s="6"/>
      <c r="AU5" s="7"/>
      <c r="AW5" s="5" t="s">
        <v>28</v>
      </c>
      <c r="AX5" s="6"/>
      <c r="AY5" s="7"/>
      <c r="BA5" s="5" t="s">
        <v>7</v>
      </c>
      <c r="BB5" s="6"/>
      <c r="BC5" s="7"/>
      <c r="BE5" s="5" t="s">
        <v>8</v>
      </c>
      <c r="BF5" s="6"/>
      <c r="BG5" s="7"/>
      <c r="BI5" s="27" t="s">
        <v>30</v>
      </c>
      <c r="BJ5" s="6"/>
      <c r="BK5" s="7"/>
      <c r="BM5" s="5" t="s">
        <v>14</v>
      </c>
      <c r="BN5" s="6"/>
      <c r="BO5" s="7"/>
      <c r="BQ5" s="5" t="s">
        <v>29</v>
      </c>
      <c r="BR5" s="6"/>
      <c r="BS5" s="7"/>
      <c r="BU5" s="5" t="s">
        <v>15</v>
      </c>
      <c r="BV5" s="6"/>
      <c r="BW5" s="7"/>
      <c r="BY5" s="5" t="s">
        <v>16</v>
      </c>
      <c r="BZ5" s="6"/>
      <c r="CA5" s="7"/>
      <c r="CC5" s="5" t="s">
        <v>27</v>
      </c>
      <c r="CD5" s="6"/>
      <c r="CE5" s="7"/>
      <c r="CG5" s="5" t="s">
        <v>17</v>
      </c>
      <c r="CH5" s="6"/>
      <c r="CI5" s="7"/>
      <c r="CK5" s="5" t="s">
        <v>10</v>
      </c>
      <c r="CL5" s="6"/>
      <c r="CM5" s="7"/>
      <c r="CO5" s="5" t="s">
        <v>11</v>
      </c>
      <c r="CP5" s="6"/>
      <c r="CQ5" s="7"/>
      <c r="CS5" s="5" t="s">
        <v>20</v>
      </c>
      <c r="CT5" s="6"/>
      <c r="CU5" s="7"/>
      <c r="CW5" s="5" t="s">
        <v>12</v>
      </c>
      <c r="CX5" s="6"/>
      <c r="CY5" s="7"/>
      <c r="DA5" s="27" t="s">
        <v>38</v>
      </c>
      <c r="DB5" s="6"/>
      <c r="DC5" s="7"/>
      <c r="DE5" s="27" t="s">
        <v>38</v>
      </c>
      <c r="DF5" s="6"/>
      <c r="DG5" s="7"/>
    </row>
    <row r="6" spans="1:114" s="2" customFormat="1" x14ac:dyDescent="0.2">
      <c r="A6" s="22" t="s">
        <v>2</v>
      </c>
      <c r="C6" s="40" t="s">
        <v>31</v>
      </c>
      <c r="D6" s="17"/>
      <c r="E6" s="40" t="s">
        <v>32</v>
      </c>
      <c r="F6" s="39"/>
      <c r="G6" s="40" t="s">
        <v>36</v>
      </c>
      <c r="H6" s="39"/>
      <c r="I6" s="40" t="s">
        <v>33</v>
      </c>
      <c r="J6" s="17"/>
      <c r="K6" s="18"/>
      <c r="L6" s="14"/>
      <c r="M6" s="31">
        <v>3.2238299999999998E-2</v>
      </c>
      <c r="N6" s="28">
        <v>0.10131859999999999</v>
      </c>
      <c r="O6" s="35"/>
      <c r="P6" s="14"/>
      <c r="Q6" s="31">
        <v>0.96776150000000005</v>
      </c>
      <c r="R6" s="34">
        <f>V6+Z6+AD6+AH6+AL6+AP6+AT6+AX6+BB6+BF6+BJ6+BN6+BR6+BV6+BZ6+CD6+CH6+CL6+CP6+CT6+CX6+DB6</f>
        <v>0.89868139999999996</v>
      </c>
      <c r="S6" s="35"/>
      <c r="T6" s="14"/>
      <c r="U6" s="33">
        <v>0.1225135</v>
      </c>
      <c r="V6" s="13">
        <v>0.25035380000000002</v>
      </c>
      <c r="W6" s="35"/>
      <c r="X6" s="14"/>
      <c r="Y6" s="33">
        <v>6.4843000000000001E-3</v>
      </c>
      <c r="Z6" s="13">
        <v>1.9316E-2</v>
      </c>
      <c r="AA6" s="35"/>
      <c r="AB6" s="14"/>
      <c r="AC6" s="33">
        <v>2.0027099999999999E-2</v>
      </c>
      <c r="AD6" s="13">
        <v>2.3924999999999998E-2</v>
      </c>
      <c r="AE6" s="35"/>
      <c r="AF6" s="14"/>
      <c r="AG6" s="33">
        <v>8.7899999999999995E-5</v>
      </c>
      <c r="AH6" s="13">
        <v>1.1854099999999999E-2</v>
      </c>
      <c r="AI6" s="35"/>
      <c r="AJ6" s="14"/>
      <c r="AK6" s="33">
        <v>0.1081593</v>
      </c>
      <c r="AL6" s="13">
        <v>0.21611320000000001</v>
      </c>
      <c r="AM6" s="35"/>
      <c r="AO6" s="33">
        <v>1.3472E-3</v>
      </c>
      <c r="AP6" s="13">
        <v>2.8497499999999999E-2</v>
      </c>
      <c r="AQ6" s="35"/>
      <c r="AS6" s="33">
        <v>4.4545000000000001E-3</v>
      </c>
      <c r="AT6" s="13">
        <v>8.4530000000000004E-3</v>
      </c>
      <c r="AU6" s="35"/>
      <c r="AW6" s="33">
        <v>0</v>
      </c>
      <c r="AX6" s="13">
        <v>3.7174999999999999E-3</v>
      </c>
      <c r="AY6" s="35"/>
      <c r="BA6" s="33">
        <v>1.1993500000000001E-2</v>
      </c>
      <c r="BB6" s="13">
        <v>3.25791E-2</v>
      </c>
      <c r="BC6" s="35"/>
      <c r="BE6" s="33">
        <v>2.4732000000000001E-3</v>
      </c>
      <c r="BF6" s="13">
        <v>2.5230000000000001E-3</v>
      </c>
      <c r="BG6" s="35"/>
      <c r="BI6" s="33">
        <v>4.8440499999999997E-2</v>
      </c>
      <c r="BJ6" s="13">
        <v>0.1086592</v>
      </c>
      <c r="BK6" s="44" t="s">
        <v>39</v>
      </c>
      <c r="BM6" s="33">
        <v>3.2041000000000001E-3</v>
      </c>
      <c r="BN6" s="13">
        <v>4.6146E-3</v>
      </c>
      <c r="BO6" s="35"/>
      <c r="BQ6" s="33">
        <v>0</v>
      </c>
      <c r="BR6" s="13">
        <v>1.27E-5</v>
      </c>
      <c r="BS6" s="35"/>
      <c r="BU6" s="33">
        <v>2.2696000000000001E-3</v>
      </c>
      <c r="BV6" s="13">
        <v>3.2049000000000001E-3</v>
      </c>
      <c r="BW6" s="35"/>
      <c r="BY6" s="33">
        <v>3.5861000000000001E-3</v>
      </c>
      <c r="BZ6" s="13">
        <v>8.1883000000000008E-3</v>
      </c>
      <c r="CA6" s="35"/>
      <c r="CC6" s="33">
        <v>4.2354000000000003E-3</v>
      </c>
      <c r="CD6" s="13">
        <v>1.38394E-2</v>
      </c>
      <c r="CE6" s="35"/>
      <c r="CG6" s="33">
        <v>3.3270800000000003E-2</v>
      </c>
      <c r="CH6" s="13">
        <v>0.11384420000000001</v>
      </c>
      <c r="CI6" s="35"/>
      <c r="CK6" s="33">
        <v>9.9300000000000001E-5</v>
      </c>
      <c r="CL6" s="13">
        <v>2.1375000000000001E-3</v>
      </c>
      <c r="CM6" s="35"/>
      <c r="CO6" s="33">
        <v>5.9411999999999998E-3</v>
      </c>
      <c r="CP6" s="13">
        <v>1.0186799999999999E-2</v>
      </c>
      <c r="CQ6" s="35"/>
      <c r="CS6" s="33">
        <v>8.4518000000000006E-3</v>
      </c>
      <c r="CT6" s="13">
        <v>1.83432E-2</v>
      </c>
      <c r="CU6" s="35"/>
      <c r="CW6" s="33">
        <v>1.0167499999999999E-2</v>
      </c>
      <c r="CX6" s="13">
        <v>1.8318399999999999E-2</v>
      </c>
      <c r="CY6" s="35"/>
      <c r="DA6" s="33">
        <v>0.57055469999999997</v>
      </c>
      <c r="DB6" s="13"/>
      <c r="DC6" s="23"/>
      <c r="DE6" s="33"/>
      <c r="DF6" s="13" t="s">
        <v>37</v>
      </c>
      <c r="DG6" s="23"/>
    </row>
    <row r="7" spans="1:114" x14ac:dyDescent="0.2">
      <c r="A7" s="8"/>
      <c r="C7" s="19" t="s">
        <v>3</v>
      </c>
      <c r="D7" s="19" t="s">
        <v>4</v>
      </c>
      <c r="E7" s="19" t="s">
        <v>3</v>
      </c>
      <c r="F7" s="19" t="s">
        <v>4</v>
      </c>
      <c r="G7" s="19" t="s">
        <v>3</v>
      </c>
      <c r="H7" s="19" t="s">
        <v>4</v>
      </c>
      <c r="I7" s="19" t="s">
        <v>3</v>
      </c>
      <c r="J7" s="19" t="s">
        <v>4</v>
      </c>
      <c r="K7" s="19" t="s">
        <v>0</v>
      </c>
      <c r="M7" s="19" t="s">
        <v>3</v>
      </c>
      <c r="N7" s="19" t="s">
        <v>4</v>
      </c>
      <c r="O7" s="19" t="s">
        <v>0</v>
      </c>
      <c r="Q7" s="19" t="s">
        <v>3</v>
      </c>
      <c r="R7" s="19" t="s">
        <v>4</v>
      </c>
      <c r="S7" s="19" t="s">
        <v>0</v>
      </c>
      <c r="U7" s="9" t="s">
        <v>3</v>
      </c>
      <c r="V7" s="9" t="s">
        <v>4</v>
      </c>
      <c r="W7" s="9" t="s">
        <v>0</v>
      </c>
      <c r="Y7" s="9" t="s">
        <v>3</v>
      </c>
      <c r="Z7" s="9" t="s">
        <v>4</v>
      </c>
      <c r="AA7" s="9" t="s">
        <v>0</v>
      </c>
      <c r="AC7" s="9" t="s">
        <v>3</v>
      </c>
      <c r="AD7" s="9" t="s">
        <v>4</v>
      </c>
      <c r="AE7" s="9" t="s">
        <v>0</v>
      </c>
      <c r="AG7" s="9" t="s">
        <v>3</v>
      </c>
      <c r="AH7" s="9" t="s">
        <v>4</v>
      </c>
      <c r="AI7" s="9" t="s">
        <v>0</v>
      </c>
      <c r="AK7" s="9" t="s">
        <v>3</v>
      </c>
      <c r="AL7" s="9" t="s">
        <v>4</v>
      </c>
      <c r="AM7" s="9" t="s">
        <v>0</v>
      </c>
      <c r="AO7" s="9" t="s">
        <v>3</v>
      </c>
      <c r="AP7" s="9" t="s">
        <v>4</v>
      </c>
      <c r="AQ7" s="9" t="s">
        <v>0</v>
      </c>
      <c r="AS7" s="9" t="s">
        <v>3</v>
      </c>
      <c r="AT7" s="9" t="s">
        <v>4</v>
      </c>
      <c r="AU7" s="9" t="s">
        <v>0</v>
      </c>
      <c r="AW7" s="9" t="s">
        <v>3</v>
      </c>
      <c r="AX7" s="9" t="s">
        <v>4</v>
      </c>
      <c r="AY7" s="9" t="s">
        <v>0</v>
      </c>
      <c r="BA7" s="9" t="s">
        <v>3</v>
      </c>
      <c r="BB7" s="9" t="s">
        <v>4</v>
      </c>
      <c r="BC7" s="9" t="s">
        <v>0</v>
      </c>
      <c r="BE7" s="9" t="s">
        <v>3</v>
      </c>
      <c r="BF7" s="9" t="s">
        <v>4</v>
      </c>
      <c r="BG7" s="9" t="s">
        <v>0</v>
      </c>
      <c r="BI7" s="9" t="s">
        <v>3</v>
      </c>
      <c r="BJ7" s="9" t="s">
        <v>4</v>
      </c>
      <c r="BK7" s="9" t="s">
        <v>0</v>
      </c>
      <c r="BM7" s="9" t="s">
        <v>3</v>
      </c>
      <c r="BN7" s="9" t="s">
        <v>4</v>
      </c>
      <c r="BO7" s="9" t="s">
        <v>0</v>
      </c>
      <c r="BQ7" s="9" t="s">
        <v>3</v>
      </c>
      <c r="BR7" s="9" t="s">
        <v>4</v>
      </c>
      <c r="BS7" s="9" t="s">
        <v>0</v>
      </c>
      <c r="BU7" s="9" t="s">
        <v>3</v>
      </c>
      <c r="BV7" s="9" t="s">
        <v>4</v>
      </c>
      <c r="BW7" s="9" t="s">
        <v>0</v>
      </c>
      <c r="BY7" s="9" t="s">
        <v>3</v>
      </c>
      <c r="BZ7" s="9" t="s">
        <v>4</v>
      </c>
      <c r="CA7" s="9" t="s">
        <v>0</v>
      </c>
      <c r="CC7" s="9" t="s">
        <v>3</v>
      </c>
      <c r="CD7" s="9" t="s">
        <v>4</v>
      </c>
      <c r="CE7" s="9" t="s">
        <v>0</v>
      </c>
      <c r="CG7" s="9" t="s">
        <v>3</v>
      </c>
      <c r="CH7" s="9" t="s">
        <v>4</v>
      </c>
      <c r="CI7" s="9" t="s">
        <v>0</v>
      </c>
      <c r="CK7" s="9" t="s">
        <v>3</v>
      </c>
      <c r="CL7" s="9" t="s">
        <v>4</v>
      </c>
      <c r="CM7" s="9" t="s">
        <v>0</v>
      </c>
      <c r="CO7" s="9" t="s">
        <v>3</v>
      </c>
      <c r="CP7" s="9" t="s">
        <v>4</v>
      </c>
      <c r="CQ7" s="9" t="s">
        <v>0</v>
      </c>
      <c r="CR7" s="30"/>
      <c r="CS7" s="9" t="s">
        <v>3</v>
      </c>
      <c r="CT7" s="9" t="s">
        <v>4</v>
      </c>
      <c r="CU7" s="9" t="s">
        <v>0</v>
      </c>
      <c r="CW7" s="9" t="s">
        <v>3</v>
      </c>
      <c r="CX7" s="9" t="s">
        <v>4</v>
      </c>
      <c r="CY7" s="9" t="s">
        <v>0</v>
      </c>
      <c r="DA7" s="9" t="s">
        <v>3</v>
      </c>
      <c r="DB7" s="9" t="s">
        <v>4</v>
      </c>
      <c r="DC7" s="9" t="s">
        <v>0</v>
      </c>
      <c r="DE7" s="9" t="s">
        <v>3</v>
      </c>
      <c r="DF7" s="9" t="s">
        <v>4</v>
      </c>
      <c r="DG7" s="9" t="s">
        <v>0</v>
      </c>
    </row>
    <row r="8" spans="1:114" x14ac:dyDescent="0.2">
      <c r="A8" s="12">
        <v>39722</v>
      </c>
      <c r="D8" s="15">
        <v>1084540</v>
      </c>
      <c r="J8" s="15">
        <f>D8+F8+H8</f>
        <v>1084540</v>
      </c>
      <c r="K8" s="15">
        <f>I8+J8</f>
        <v>1084540</v>
      </c>
      <c r="N8" s="14">
        <v>0</v>
      </c>
      <c r="O8" s="14">
        <f>M8+N8</f>
        <v>0</v>
      </c>
      <c r="Q8" s="14"/>
      <c r="R8" s="15">
        <f>V8+Z8+AD8+AH8+AL8+AP8+AT8+AX8+BB8+BF8+BJ8+BN8+BV8+BZ8+CD8+CH8+CL8+CP8+CT8+CX8+DB8</f>
        <v>1084540</v>
      </c>
      <c r="S8" s="29">
        <f t="shared" ref="S8:S47" si="0">Q8+R8</f>
        <v>1084540</v>
      </c>
      <c r="U8" s="6"/>
      <c r="V8" s="6">
        <v>0</v>
      </c>
      <c r="W8" s="6">
        <f>U8+V8</f>
        <v>0</v>
      </c>
      <c r="Y8" s="6"/>
      <c r="Z8" s="6">
        <v>0</v>
      </c>
      <c r="AA8" s="6">
        <f>Y8+Z8</f>
        <v>0</v>
      </c>
      <c r="AD8" s="14">
        <v>0</v>
      </c>
      <c r="AE8" s="14">
        <v>0</v>
      </c>
      <c r="AG8" s="6"/>
      <c r="AH8" s="6">
        <v>0</v>
      </c>
      <c r="AI8" s="6">
        <f>AG8+AH8</f>
        <v>0</v>
      </c>
      <c r="AK8" s="6"/>
      <c r="AL8" s="6">
        <v>0</v>
      </c>
      <c r="AM8" s="6">
        <f>AK8+AL8</f>
        <v>0</v>
      </c>
      <c r="AN8" s="14"/>
      <c r="AO8" s="6"/>
      <c r="AP8" s="6">
        <v>0</v>
      </c>
      <c r="AQ8" s="6">
        <f>AO8+AP8</f>
        <v>0</v>
      </c>
      <c r="AR8" s="14"/>
      <c r="AS8" s="29"/>
      <c r="AT8" s="29">
        <v>0</v>
      </c>
      <c r="AU8" s="29">
        <f>AS8+AT8</f>
        <v>0</v>
      </c>
      <c r="AV8" s="14"/>
      <c r="AW8" s="14"/>
      <c r="AX8" s="14">
        <v>0</v>
      </c>
      <c r="AY8" s="14">
        <f>AW8+AX8</f>
        <v>0</v>
      </c>
      <c r="AZ8" s="14"/>
      <c r="BA8" s="29"/>
      <c r="BB8" s="29">
        <v>0</v>
      </c>
      <c r="BC8" s="29">
        <f>BA8+BB8</f>
        <v>0</v>
      </c>
      <c r="BD8" s="14"/>
      <c r="BE8" s="29"/>
      <c r="BF8" s="29">
        <v>0</v>
      </c>
      <c r="BG8" s="29">
        <f>BE8+BF8</f>
        <v>0</v>
      </c>
      <c r="BH8" s="14"/>
      <c r="BI8" s="29"/>
      <c r="BJ8" s="29">
        <v>0</v>
      </c>
      <c r="BK8" s="29">
        <f>BI8+BJ8</f>
        <v>0</v>
      </c>
      <c r="BL8" s="14"/>
      <c r="BM8" s="29"/>
      <c r="BN8" s="29">
        <v>0</v>
      </c>
      <c r="BO8" s="29">
        <f>BM8+BN8</f>
        <v>0</v>
      </c>
      <c r="BP8" s="14"/>
      <c r="BQ8" s="14"/>
      <c r="BR8" s="14"/>
      <c r="BS8" s="14">
        <f>BQ8+BR8</f>
        <v>0</v>
      </c>
      <c r="BT8" s="14"/>
      <c r="BU8" s="29"/>
      <c r="BV8" s="29">
        <v>0</v>
      </c>
      <c r="BW8" s="29">
        <f>BU8+BV8</f>
        <v>0</v>
      </c>
      <c r="BX8" s="14"/>
      <c r="BY8" s="29"/>
      <c r="BZ8" s="29">
        <v>0</v>
      </c>
      <c r="CA8" s="29">
        <f>BY8+BZ8</f>
        <v>0</v>
      </c>
      <c r="CB8" s="14"/>
      <c r="CC8" s="29"/>
      <c r="CD8" s="29">
        <v>0</v>
      </c>
      <c r="CE8" s="29">
        <f>CC8+CD8</f>
        <v>0</v>
      </c>
      <c r="CF8" s="14"/>
      <c r="CG8" s="29"/>
      <c r="CH8" s="29">
        <v>0</v>
      </c>
      <c r="CI8" s="29">
        <f>CG8+CH8</f>
        <v>0</v>
      </c>
      <c r="CJ8" s="14"/>
      <c r="CK8" s="29"/>
      <c r="CL8" s="29">
        <v>0</v>
      </c>
      <c r="CM8" s="29">
        <f>CK8+CL8</f>
        <v>0</v>
      </c>
      <c r="CN8" s="14"/>
      <c r="CO8" s="29"/>
      <c r="CP8" s="29">
        <v>0</v>
      </c>
      <c r="CQ8" s="29">
        <f>CO8+CP8</f>
        <v>0</v>
      </c>
      <c r="CR8" s="14"/>
      <c r="CS8" s="14"/>
      <c r="CT8" s="14">
        <v>0</v>
      </c>
      <c r="CU8" s="14">
        <v>0</v>
      </c>
      <c r="CV8" s="14"/>
      <c r="CW8" s="29"/>
      <c r="CX8" s="29">
        <v>0</v>
      </c>
      <c r="CY8" s="29">
        <f>CW8+CX8</f>
        <v>0</v>
      </c>
      <c r="CZ8" s="14"/>
      <c r="DA8" s="29"/>
      <c r="DB8" s="29">
        <v>1084540</v>
      </c>
      <c r="DC8" s="29">
        <f>DA8+DB8</f>
        <v>1084540</v>
      </c>
      <c r="DE8" s="29"/>
      <c r="DF8" s="29"/>
      <c r="DG8" s="29">
        <f>DE8+DF8</f>
        <v>0</v>
      </c>
    </row>
    <row r="9" spans="1:114" x14ac:dyDescent="0.2">
      <c r="A9" s="12">
        <v>39904</v>
      </c>
      <c r="C9" s="15">
        <v>2300000</v>
      </c>
      <c r="D9" s="15">
        <v>2054918</v>
      </c>
      <c r="I9" s="15">
        <f>C9+E9+G9</f>
        <v>2300000</v>
      </c>
      <c r="J9" s="15">
        <f>D9+F9+H9</f>
        <v>2054918</v>
      </c>
      <c r="K9" s="15">
        <f t="shared" ref="K9:K47" si="1">I9+J9</f>
        <v>4354918</v>
      </c>
      <c r="M9" s="36">
        <v>74148</v>
      </c>
      <c r="N9" s="36">
        <v>66247</v>
      </c>
      <c r="O9" s="36">
        <f>M9+N9</f>
        <v>140395</v>
      </c>
      <c r="Q9" s="36">
        <f>U9+Y9+AC9+AG9+AK9+AO9++AS9+AW9+BA9+BE9+BI9+BM9+BQ9+BU9+BY9+CC9+CG9+CK9+CO9+CS9+CW9+DA9</f>
        <v>2225852</v>
      </c>
      <c r="R9" s="38">
        <f>V9+Z9+AD9+AH9+AL9+AP9+AT9+AX9+BB9+BF9+BJ9+BN9+BR9+BV9+BZ9+CD9+CH9+CL9+CP9+CT9+CX9+DB9</f>
        <v>1988671</v>
      </c>
      <c r="S9" s="36">
        <f t="shared" si="0"/>
        <v>4214523</v>
      </c>
      <c r="U9" s="37">
        <v>281781</v>
      </c>
      <c r="V9" s="37">
        <v>251755</v>
      </c>
      <c r="W9" s="37">
        <f t="shared" ref="W9:W47" si="2">U9+V9</f>
        <v>533536</v>
      </c>
      <c r="Y9" s="37">
        <v>14914</v>
      </c>
      <c r="Z9" s="37">
        <v>13325</v>
      </c>
      <c r="AA9" s="37">
        <f t="shared" ref="AA9:AA47" si="3">Y9+Z9</f>
        <v>28239</v>
      </c>
      <c r="AC9" s="36">
        <v>46062</v>
      </c>
      <c r="AD9" s="36">
        <v>41154</v>
      </c>
      <c r="AE9" s="36">
        <f>AC9+AD9</f>
        <v>87216</v>
      </c>
      <c r="AG9" s="37">
        <v>202</v>
      </c>
      <c r="AH9" s="37">
        <v>181</v>
      </c>
      <c r="AI9" s="37">
        <f t="shared" ref="AI9:AI47" si="4">AG9+AH9</f>
        <v>383</v>
      </c>
      <c r="AK9" s="37">
        <v>248766</v>
      </c>
      <c r="AL9" s="37">
        <v>222259</v>
      </c>
      <c r="AM9" s="37">
        <f t="shared" ref="AM9:AM47" si="5">AK9+AL9</f>
        <v>471025</v>
      </c>
      <c r="AN9" s="14"/>
      <c r="AO9" s="37">
        <v>3099</v>
      </c>
      <c r="AP9" s="37">
        <v>2768</v>
      </c>
      <c r="AQ9" s="37">
        <f t="shared" ref="AQ9:AQ47" si="6">AO9+AP9</f>
        <v>5867</v>
      </c>
      <c r="AR9" s="14"/>
      <c r="AS9" s="36">
        <v>10245</v>
      </c>
      <c r="AT9" s="36">
        <v>9154</v>
      </c>
      <c r="AU9" s="36">
        <f t="shared" ref="AU9:AU47" si="7">AS9+AT9</f>
        <v>19399</v>
      </c>
      <c r="AV9" s="14"/>
      <c r="AW9" s="36">
        <v>0</v>
      </c>
      <c r="AX9" s="36">
        <v>0</v>
      </c>
      <c r="AY9" s="36">
        <f>AW9+AX9</f>
        <v>0</v>
      </c>
      <c r="AZ9" s="14"/>
      <c r="BA9" s="36">
        <v>27585</v>
      </c>
      <c r="BB9" s="36">
        <v>24646</v>
      </c>
      <c r="BC9" s="36">
        <f t="shared" ref="BC9:BC47" si="8">BA9+BB9</f>
        <v>52231</v>
      </c>
      <c r="BD9" s="14"/>
      <c r="BE9" s="36">
        <v>5688</v>
      </c>
      <c r="BF9" s="36">
        <v>5082</v>
      </c>
      <c r="BG9" s="36">
        <f t="shared" ref="BG9:BG47" si="9">BE9+BF9</f>
        <v>10770</v>
      </c>
      <c r="BH9" s="14"/>
      <c r="BI9" s="36">
        <v>111413</v>
      </c>
      <c r="BJ9" s="36">
        <v>99541</v>
      </c>
      <c r="BK9" s="36">
        <f t="shared" ref="BK9:BK47" si="10">BI9+BJ9</f>
        <v>210954</v>
      </c>
      <c r="BL9" s="14"/>
      <c r="BM9" s="36">
        <v>7369</v>
      </c>
      <c r="BN9" s="36">
        <v>6585</v>
      </c>
      <c r="BO9" s="36">
        <f t="shared" ref="BO9:BO47" si="11">BM9+BN9</f>
        <v>13954</v>
      </c>
      <c r="BP9" s="14"/>
      <c r="BQ9" s="36">
        <v>0</v>
      </c>
      <c r="BR9" s="36">
        <v>0</v>
      </c>
      <c r="BS9" s="36">
        <f>BQ9+BR9</f>
        <v>0</v>
      </c>
      <c r="BT9" s="14"/>
      <c r="BU9" s="36">
        <v>5220</v>
      </c>
      <c r="BV9" s="36">
        <v>4664</v>
      </c>
      <c r="BW9" s="36">
        <f t="shared" ref="BW9:BW47" si="12">BU9+BV9</f>
        <v>9884</v>
      </c>
      <c r="BX9" s="14"/>
      <c r="BY9" s="36">
        <v>8248</v>
      </c>
      <c r="BZ9" s="36">
        <v>7369</v>
      </c>
      <c r="CA9" s="36">
        <f t="shared" ref="CA9:CA47" si="13">BY9+BZ9</f>
        <v>15617</v>
      </c>
      <c r="CB9" s="14"/>
      <c r="CC9" s="36">
        <v>9741</v>
      </c>
      <c r="CD9" s="36">
        <v>8704</v>
      </c>
      <c r="CE9" s="36">
        <f t="shared" ref="CE9:CE47" si="14">CC9+CD9</f>
        <v>18445</v>
      </c>
      <c r="CF9" s="14"/>
      <c r="CG9" s="36">
        <v>76523</v>
      </c>
      <c r="CH9" s="36">
        <v>68369</v>
      </c>
      <c r="CI9" s="36">
        <f t="shared" ref="CI9:CI47" si="15">CG9+CH9</f>
        <v>144892</v>
      </c>
      <c r="CJ9" s="14"/>
      <c r="CK9" s="36">
        <v>228</v>
      </c>
      <c r="CL9" s="36">
        <v>204</v>
      </c>
      <c r="CM9" s="36">
        <f t="shared" ref="CM9:CM47" si="16">CK9+CL9</f>
        <v>432</v>
      </c>
      <c r="CN9" s="14"/>
      <c r="CO9" s="36">
        <v>13665</v>
      </c>
      <c r="CP9" s="36">
        <v>12208</v>
      </c>
      <c r="CQ9" s="36">
        <f t="shared" ref="CQ9:CQ47" si="17">CO9+CP9</f>
        <v>25873</v>
      </c>
      <c r="CR9" s="14"/>
      <c r="CS9" s="36">
        <v>19439</v>
      </c>
      <c r="CT9" s="36">
        <v>17368</v>
      </c>
      <c r="CU9" s="36">
        <f>CS9+CT9</f>
        <v>36807</v>
      </c>
      <c r="CV9" s="14"/>
      <c r="CW9" s="36">
        <v>23385</v>
      </c>
      <c r="CX9" s="36">
        <v>20894</v>
      </c>
      <c r="CY9" s="36">
        <f t="shared" ref="CY9:CY47" si="18">CW9+CX9</f>
        <v>44279</v>
      </c>
      <c r="CZ9" s="14"/>
      <c r="DA9" s="36">
        <v>1312279</v>
      </c>
      <c r="DB9" s="36">
        <v>1172441</v>
      </c>
      <c r="DC9" s="36">
        <f>DA9+DB9</f>
        <v>2484720</v>
      </c>
      <c r="DE9" s="36"/>
      <c r="DF9" s="36"/>
      <c r="DG9" s="36">
        <f>DE9+DF9</f>
        <v>0</v>
      </c>
    </row>
    <row r="10" spans="1:114" x14ac:dyDescent="0.2">
      <c r="A10" s="12">
        <v>40087</v>
      </c>
      <c r="D10" s="15">
        <v>2008918</v>
      </c>
      <c r="J10" s="15">
        <f t="shared" ref="J10:J47" si="19">D10+F10+H10</f>
        <v>2008918</v>
      </c>
      <c r="K10" s="15">
        <f t="shared" si="1"/>
        <v>2008918</v>
      </c>
      <c r="N10" s="14">
        <v>203541</v>
      </c>
      <c r="O10" s="14">
        <f>M10+N10</f>
        <v>203541</v>
      </c>
      <c r="Q10" s="14"/>
      <c r="R10" s="15">
        <f t="shared" ref="R10:R47" si="20">V10+Z10+AD10+AH10+AL10+AP10+AT10+AX10+BB10+BF10+BJ10+BN10+BR10+BV10+BZ10+CD10+CH10+CL10+CP10+CT10+CX10+DB10</f>
        <v>1805377.2407251995</v>
      </c>
      <c r="S10" s="14">
        <f t="shared" si="0"/>
        <v>1805377.2407251995</v>
      </c>
      <c r="U10" s="3"/>
      <c r="V10" s="3">
        <f>J10*25.03538/100</f>
        <v>502940.25518839998</v>
      </c>
      <c r="W10" s="3">
        <f t="shared" si="2"/>
        <v>502940.25518839998</v>
      </c>
      <c r="Y10" s="3"/>
      <c r="Z10" s="3">
        <f>J10*1.9316/100</f>
        <v>38804.260088000003</v>
      </c>
      <c r="AA10" s="3">
        <f t="shared" si="3"/>
        <v>38804.260088000003</v>
      </c>
      <c r="AD10" s="14">
        <f>J10*2.3925/100</f>
        <v>48063.363150000005</v>
      </c>
      <c r="AE10" s="14">
        <f>AC10+AD10</f>
        <v>48063.363150000005</v>
      </c>
      <c r="AG10" s="3"/>
      <c r="AH10" s="3">
        <f>J10*1.18541/100</f>
        <v>23813.914863800001</v>
      </c>
      <c r="AI10" s="3">
        <f t="shared" si="4"/>
        <v>23813.914863800001</v>
      </c>
      <c r="AK10" s="3"/>
      <c r="AL10" s="3">
        <f>J10*21.61132/100</f>
        <v>434153.69751759997</v>
      </c>
      <c r="AM10" s="3">
        <f t="shared" si="5"/>
        <v>434153.69751759997</v>
      </c>
      <c r="AN10" s="14"/>
      <c r="AO10" s="3"/>
      <c r="AP10" s="3">
        <f>J10*2.84975/100</f>
        <v>57249.140704999998</v>
      </c>
      <c r="AQ10" s="3">
        <f t="shared" si="6"/>
        <v>57249.140704999998</v>
      </c>
      <c r="AR10" s="14"/>
      <c r="AS10" s="14"/>
      <c r="AT10" s="14">
        <f>J10*0.8453/100</f>
        <v>16981.383854</v>
      </c>
      <c r="AU10" s="14">
        <f t="shared" si="7"/>
        <v>16981.383854</v>
      </c>
      <c r="AV10" s="14"/>
      <c r="AW10" s="14"/>
      <c r="AX10" s="14">
        <f>J10*0.37175/100</f>
        <v>7468.1526650000005</v>
      </c>
      <c r="AY10" s="14">
        <f>AW10+AX10</f>
        <v>7468.1526650000005</v>
      </c>
      <c r="AZ10" s="14"/>
      <c r="BA10" s="14"/>
      <c r="BB10" s="14">
        <f>J10*3.25791/100</f>
        <v>65448.740413799991</v>
      </c>
      <c r="BC10" s="14">
        <f t="shared" si="8"/>
        <v>65448.740413799991</v>
      </c>
      <c r="BD10" s="14"/>
      <c r="BE10" s="14"/>
      <c r="BF10" s="14">
        <f>J10*0.2523/100</f>
        <v>5068.5001140000004</v>
      </c>
      <c r="BG10" s="14">
        <f t="shared" si="9"/>
        <v>5068.5001140000004</v>
      </c>
      <c r="BH10" s="14"/>
      <c r="BI10" s="14"/>
      <c r="BJ10" s="14">
        <f>J10*10.86592/100</f>
        <v>218287.42274559996</v>
      </c>
      <c r="BK10" s="14">
        <f t="shared" si="10"/>
        <v>218287.42274559996</v>
      </c>
      <c r="BL10" s="14"/>
      <c r="BM10" s="14"/>
      <c r="BN10" s="14">
        <f>J10*0.46146/100</f>
        <v>9270.3530028000005</v>
      </c>
      <c r="BO10" s="14">
        <f t="shared" si="11"/>
        <v>9270.3530028000005</v>
      </c>
      <c r="BP10" s="14"/>
      <c r="BQ10" s="14"/>
      <c r="BR10" s="14">
        <f>J10*0.00127/100</f>
        <v>25.513258600000004</v>
      </c>
      <c r="BS10" s="14">
        <f>BQ10+BR10</f>
        <v>25.513258600000004</v>
      </c>
      <c r="BT10" s="14"/>
      <c r="BU10" s="14"/>
      <c r="BV10" s="14">
        <f>J10*0.32049/100</f>
        <v>6438.3812981999999</v>
      </c>
      <c r="BW10" s="14">
        <f t="shared" si="12"/>
        <v>6438.3812981999999</v>
      </c>
      <c r="BX10" s="14"/>
      <c r="BY10" s="14"/>
      <c r="BZ10" s="14">
        <f>J10*0.81883/100</f>
        <v>16449.623259399999</v>
      </c>
      <c r="CA10" s="14">
        <f t="shared" si="13"/>
        <v>16449.623259399999</v>
      </c>
      <c r="CB10" s="14"/>
      <c r="CC10" s="14"/>
      <c r="CD10" s="14">
        <f>J10*1.38394/100</f>
        <v>27802.219769199997</v>
      </c>
      <c r="CE10" s="14">
        <f t="shared" si="14"/>
        <v>27802.219769199997</v>
      </c>
      <c r="CF10" s="14"/>
      <c r="CG10" s="14"/>
      <c r="CH10" s="14">
        <f>J10*11.38442/100</f>
        <v>228703.6625756</v>
      </c>
      <c r="CI10" s="14">
        <f t="shared" si="15"/>
        <v>228703.6625756</v>
      </c>
      <c r="CJ10" s="14"/>
      <c r="CK10" s="14"/>
      <c r="CL10" s="14">
        <f>J10*0.21375/100</f>
        <v>4294.0622249999997</v>
      </c>
      <c r="CM10" s="14">
        <f t="shared" si="16"/>
        <v>4294.0622249999997</v>
      </c>
      <c r="CN10" s="14"/>
      <c r="CO10" s="14"/>
      <c r="CP10" s="14">
        <f>J10*1.01868/100</f>
        <v>20464.445882399999</v>
      </c>
      <c r="CQ10" s="14">
        <f t="shared" si="17"/>
        <v>20464.445882399999</v>
      </c>
      <c r="CR10" s="14"/>
      <c r="CS10" s="14"/>
      <c r="CT10" s="14">
        <f>J10*1.83432/100</f>
        <v>36849.984657599998</v>
      </c>
      <c r="CU10" s="14">
        <f>CS10+CT10</f>
        <v>36849.984657599998</v>
      </c>
      <c r="CV10" s="14"/>
      <c r="CW10" s="14"/>
      <c r="CX10" s="14">
        <f>J10*1.83184/100</f>
        <v>36800.163491200001</v>
      </c>
      <c r="CY10" s="14">
        <f t="shared" si="18"/>
        <v>36800.163491200001</v>
      </c>
      <c r="CZ10" s="14"/>
      <c r="DA10" s="14"/>
      <c r="DB10" s="14"/>
      <c r="DC10" s="14"/>
      <c r="DE10" s="14"/>
      <c r="DF10" s="14"/>
      <c r="DG10" s="14"/>
    </row>
    <row r="11" spans="1:114" x14ac:dyDescent="0.2">
      <c r="A11" s="12">
        <v>40269</v>
      </c>
      <c r="C11" s="15">
        <v>3000000</v>
      </c>
      <c r="D11" s="15">
        <v>2008918</v>
      </c>
      <c r="I11" s="15">
        <f t="shared" ref="I11:I47" si="21">C11+E11+G11</f>
        <v>3000000</v>
      </c>
      <c r="J11" s="15">
        <f t="shared" si="19"/>
        <v>2008918</v>
      </c>
      <c r="K11" s="15">
        <f t="shared" si="1"/>
        <v>5008918</v>
      </c>
      <c r="M11" s="14">
        <v>303956</v>
      </c>
      <c r="N11" s="14">
        <v>203541</v>
      </c>
      <c r="O11" s="14">
        <f>M11+N11</f>
        <v>507497</v>
      </c>
      <c r="Q11" s="14">
        <f t="shared" ref="Q11:Q47" si="22">U11+Y11+AC11+AG11+AK11+AO11++AS11+AW11+BA11+BE11+BI11+BM11+BQ11+BU11+BY11+CC11+CG11+CK11+CO11+CS11+CW11+DA11</f>
        <v>2696044.2000000007</v>
      </c>
      <c r="R11" s="15">
        <f t="shared" si="20"/>
        <v>1805377.2407251995</v>
      </c>
      <c r="S11" s="14">
        <f t="shared" si="0"/>
        <v>4501421.4407251999</v>
      </c>
      <c r="U11" s="3">
        <f>I11*25.03538/100</f>
        <v>751061.4</v>
      </c>
      <c r="V11" s="3">
        <f>J11*25.03538/100</f>
        <v>502940.25518839998</v>
      </c>
      <c r="W11" s="3">
        <f t="shared" si="2"/>
        <v>1254001.6551884001</v>
      </c>
      <c r="Y11" s="3">
        <f>I11*1.9316/100</f>
        <v>57948</v>
      </c>
      <c r="Z11" s="3">
        <f>J11*1.9316/100</f>
        <v>38804.260088000003</v>
      </c>
      <c r="AA11" s="3">
        <f t="shared" si="3"/>
        <v>96752.26008800001</v>
      </c>
      <c r="AC11" s="14">
        <f>I11*2.3925/100</f>
        <v>71775</v>
      </c>
      <c r="AD11" s="14">
        <f>J11*2.3925/100</f>
        <v>48063.363150000005</v>
      </c>
      <c r="AE11" s="14">
        <f>AC11+AD11</f>
        <v>119838.36315</v>
      </c>
      <c r="AG11" s="3">
        <f>I11*1.18541/100</f>
        <v>35562.300000000003</v>
      </c>
      <c r="AH11" s="3">
        <f>J11*1.18541/100</f>
        <v>23813.914863800001</v>
      </c>
      <c r="AI11" s="3">
        <f t="shared" si="4"/>
        <v>59376.214863800007</v>
      </c>
      <c r="AK11" s="3">
        <f>I11*21.61132/100</f>
        <v>648339.6</v>
      </c>
      <c r="AL11" s="3">
        <f>J11*21.61132/100</f>
        <v>434153.69751759997</v>
      </c>
      <c r="AM11" s="3">
        <f t="shared" si="5"/>
        <v>1082493.2975176</v>
      </c>
      <c r="AN11" s="14"/>
      <c r="AO11" s="3">
        <f>I11*2.84975/100</f>
        <v>85492.5</v>
      </c>
      <c r="AP11" s="3">
        <f>J11*2.84975/100</f>
        <v>57249.140704999998</v>
      </c>
      <c r="AQ11" s="3">
        <f t="shared" si="6"/>
        <v>142741.640705</v>
      </c>
      <c r="AR11" s="14"/>
      <c r="AS11" s="14">
        <f>I11*0.8453/100</f>
        <v>25359</v>
      </c>
      <c r="AT11" s="14">
        <f>J11*0.8453/100</f>
        <v>16981.383854</v>
      </c>
      <c r="AU11" s="14">
        <f t="shared" si="7"/>
        <v>42340.383854</v>
      </c>
      <c r="AV11" s="14"/>
      <c r="AW11" s="14">
        <f>I11*0.37175/100</f>
        <v>11152.5</v>
      </c>
      <c r="AX11" s="14">
        <f>J11*0.37175/100</f>
        <v>7468.1526650000005</v>
      </c>
      <c r="AY11" s="14">
        <f>AW11+AX11</f>
        <v>18620.652665000001</v>
      </c>
      <c r="AZ11" s="14"/>
      <c r="BA11" s="14">
        <f>I11*3.25791/100</f>
        <v>97737.3</v>
      </c>
      <c r="BB11" s="14">
        <f>J11*3.25791/100</f>
        <v>65448.740413799991</v>
      </c>
      <c r="BC11" s="14">
        <f t="shared" si="8"/>
        <v>163186.04041379999</v>
      </c>
      <c r="BD11" s="14"/>
      <c r="BE11" s="14">
        <f>I11*0.2523/100</f>
        <v>7569.0000000000009</v>
      </c>
      <c r="BF11" s="14">
        <f>J11*0.2523/100</f>
        <v>5068.5001140000004</v>
      </c>
      <c r="BG11" s="14">
        <f t="shared" si="9"/>
        <v>12637.500114000002</v>
      </c>
      <c r="BH11" s="14"/>
      <c r="BI11" s="14">
        <f>I11*10.86592/100</f>
        <v>325977.59999999998</v>
      </c>
      <c r="BJ11" s="14">
        <f>J11*10.86592/100</f>
        <v>218287.42274559996</v>
      </c>
      <c r="BK11" s="14">
        <f t="shared" si="10"/>
        <v>544265.02274559997</v>
      </c>
      <c r="BL11" s="14"/>
      <c r="BM11" s="14">
        <f>I11*0.46146/100</f>
        <v>13843.8</v>
      </c>
      <c r="BN11" s="14">
        <f>J11*0.46146/100</f>
        <v>9270.3530028000005</v>
      </c>
      <c r="BO11" s="14">
        <f t="shared" si="11"/>
        <v>23114.153002799998</v>
      </c>
      <c r="BP11" s="14"/>
      <c r="BQ11" s="14">
        <f>I11*0.00127/100</f>
        <v>38.1</v>
      </c>
      <c r="BR11" s="14">
        <f>J11*0.00127/100</f>
        <v>25.513258600000004</v>
      </c>
      <c r="BS11" s="14">
        <f>BQ11+BR11</f>
        <v>63.613258600000009</v>
      </c>
      <c r="BT11" s="14"/>
      <c r="BU11" s="14">
        <f>I11*0.32049/100</f>
        <v>9614.7000000000007</v>
      </c>
      <c r="BV11" s="14">
        <f>J11*0.32049/100</f>
        <v>6438.3812981999999</v>
      </c>
      <c r="BW11" s="14">
        <f t="shared" si="12"/>
        <v>16053.081298200001</v>
      </c>
      <c r="BX11" s="14"/>
      <c r="BY11" s="14">
        <f>I11*0.81883/100</f>
        <v>24564.9</v>
      </c>
      <c r="BZ11" s="14">
        <f>J11*0.81883/100</f>
        <v>16449.623259399999</v>
      </c>
      <c r="CA11" s="14">
        <f t="shared" si="13"/>
        <v>41014.523259399997</v>
      </c>
      <c r="CB11" s="14"/>
      <c r="CC11" s="14">
        <f>I11*1.38394/100</f>
        <v>41518.199999999997</v>
      </c>
      <c r="CD11" s="14">
        <f>J11*1.38394/100</f>
        <v>27802.219769199997</v>
      </c>
      <c r="CE11" s="14">
        <f t="shared" si="14"/>
        <v>69320.419769200002</v>
      </c>
      <c r="CF11" s="14"/>
      <c r="CG11" s="14">
        <f>I11*11.38442/100</f>
        <v>341532.6</v>
      </c>
      <c r="CH11" s="14">
        <f>J11*11.38442/100</f>
        <v>228703.6625756</v>
      </c>
      <c r="CI11" s="14">
        <f t="shared" si="15"/>
        <v>570236.26257559995</v>
      </c>
      <c r="CJ11" s="14"/>
      <c r="CK11" s="14">
        <f>I11*0.21375/100</f>
        <v>6412.5</v>
      </c>
      <c r="CL11" s="14">
        <f>J11*0.21375/100</f>
        <v>4294.0622249999997</v>
      </c>
      <c r="CM11" s="14">
        <f t="shared" si="16"/>
        <v>10706.562225</v>
      </c>
      <c r="CN11" s="14"/>
      <c r="CO11" s="14">
        <f>I11*1.01868/100</f>
        <v>30560.400000000001</v>
      </c>
      <c r="CP11" s="14">
        <f>J11*1.01868/100</f>
        <v>20464.445882399999</v>
      </c>
      <c r="CQ11" s="14">
        <f t="shared" si="17"/>
        <v>51024.845882399997</v>
      </c>
      <c r="CR11" s="14"/>
      <c r="CS11" s="14">
        <f>I11*1.83432/100</f>
        <v>55029.599999999999</v>
      </c>
      <c r="CT11" s="14">
        <f>J11*1.83432/100</f>
        <v>36849.984657599998</v>
      </c>
      <c r="CU11" s="14">
        <f>CS11+CT11</f>
        <v>91879.584657600004</v>
      </c>
      <c r="CV11" s="14"/>
      <c r="CW11" s="14">
        <f>I11*1.83184/100</f>
        <v>54955.199999999997</v>
      </c>
      <c r="CX11" s="14">
        <f>J11*1.83184/100</f>
        <v>36800.163491200001</v>
      </c>
      <c r="CY11" s="14">
        <f t="shared" si="18"/>
        <v>91755.363491199998</v>
      </c>
      <c r="CZ11" s="14"/>
      <c r="DA11" s="14"/>
      <c r="DB11" s="14"/>
      <c r="DC11" s="14"/>
      <c r="DE11" s="14"/>
      <c r="DF11" s="14"/>
      <c r="DG11" s="14"/>
    </row>
    <row r="12" spans="1:114" x14ac:dyDescent="0.2">
      <c r="A12" s="12">
        <v>40452</v>
      </c>
      <c r="D12" s="15">
        <v>1941418</v>
      </c>
      <c r="J12" s="15">
        <f t="shared" si="19"/>
        <v>1941418</v>
      </c>
      <c r="K12" s="15">
        <f t="shared" si="1"/>
        <v>1941418</v>
      </c>
      <c r="N12" s="14">
        <v>196702</v>
      </c>
      <c r="O12" s="14">
        <f t="shared" ref="O12:O47" si="23">M12+N12</f>
        <v>196702</v>
      </c>
      <c r="Q12" s="14"/>
      <c r="R12" s="15">
        <f t="shared" si="20"/>
        <v>1744716.2462252004</v>
      </c>
      <c r="S12" s="14">
        <f t="shared" si="0"/>
        <v>1744716.2462252004</v>
      </c>
      <c r="U12" s="3"/>
      <c r="V12" s="3">
        <f t="shared" ref="V12:V47" si="24">J12*25.03538/100</f>
        <v>486041.37368840002</v>
      </c>
      <c r="W12" s="3">
        <f t="shared" si="2"/>
        <v>486041.37368840002</v>
      </c>
      <c r="Y12" s="3"/>
      <c r="Z12" s="3">
        <f t="shared" ref="Z12:Z47" si="25">J12*1.9316/100</f>
        <v>37500.430088000001</v>
      </c>
      <c r="AA12" s="3">
        <f t="shared" si="3"/>
        <v>37500.430088000001</v>
      </c>
      <c r="AD12" s="14">
        <f t="shared" ref="AD12:AD47" si="26">J12*2.3925/100</f>
        <v>46448.425650000005</v>
      </c>
      <c r="AE12" s="14">
        <f>AC12+AD12</f>
        <v>46448.425650000005</v>
      </c>
      <c r="AG12" s="3"/>
      <c r="AH12" s="3">
        <f t="shared" ref="AH12:AH47" si="27">J12*1.18541/100</f>
        <v>23013.763113800003</v>
      </c>
      <c r="AI12" s="3">
        <f t="shared" si="4"/>
        <v>23013.763113800003</v>
      </c>
      <c r="AK12" s="3"/>
      <c r="AL12" s="3">
        <f t="shared" ref="AL12:AL47" si="28">J12*21.61132/100</f>
        <v>419566.05651759997</v>
      </c>
      <c r="AM12" s="3">
        <f t="shared" si="5"/>
        <v>419566.05651759997</v>
      </c>
      <c r="AN12" s="14"/>
      <c r="AO12" s="3"/>
      <c r="AP12" s="3">
        <f t="shared" ref="AP12:AP47" si="29">J12*2.84975/100</f>
        <v>55325.559454999995</v>
      </c>
      <c r="AQ12" s="3">
        <f t="shared" si="6"/>
        <v>55325.559454999995</v>
      </c>
      <c r="AR12" s="14"/>
      <c r="AS12" s="14"/>
      <c r="AT12" s="14">
        <f t="shared" ref="AT12:AT47" si="30">J12*0.8453/100</f>
        <v>16410.806354</v>
      </c>
      <c r="AU12" s="14">
        <f t="shared" si="7"/>
        <v>16410.806354</v>
      </c>
      <c r="AV12" s="14"/>
      <c r="AW12" s="14"/>
      <c r="AX12" s="14">
        <f t="shared" ref="AX12:AX47" si="31">J12*0.37175/100</f>
        <v>7217.221415</v>
      </c>
      <c r="AY12" s="14">
        <f t="shared" ref="AY12:AY47" si="32">AW12+AX12</f>
        <v>7217.221415</v>
      </c>
      <c r="AZ12" s="14"/>
      <c r="BA12" s="14"/>
      <c r="BB12" s="14">
        <f t="shared" ref="BB12:BB47" si="33">J12*3.25791/100</f>
        <v>63249.651163799994</v>
      </c>
      <c r="BC12" s="14">
        <f t="shared" si="8"/>
        <v>63249.651163799994</v>
      </c>
      <c r="BD12" s="14"/>
      <c r="BE12" s="14"/>
      <c r="BF12" s="14">
        <f t="shared" ref="BF12:BF47" si="34">J12*0.2523/100</f>
        <v>4898.1976140000006</v>
      </c>
      <c r="BG12" s="14">
        <f t="shared" si="9"/>
        <v>4898.1976140000006</v>
      </c>
      <c r="BH12" s="14"/>
      <c r="BI12" s="14"/>
      <c r="BJ12" s="14">
        <f t="shared" ref="BJ12:BJ47" si="35">J12*10.86592/100</f>
        <v>210952.92674559998</v>
      </c>
      <c r="BK12" s="14">
        <f t="shared" si="10"/>
        <v>210952.92674559998</v>
      </c>
      <c r="BL12" s="14"/>
      <c r="BM12" s="14"/>
      <c r="BN12" s="14">
        <f t="shared" ref="BN12:BN47" si="36">J12*0.46146/100</f>
        <v>8958.8675027999998</v>
      </c>
      <c r="BO12" s="14">
        <f t="shared" si="11"/>
        <v>8958.8675027999998</v>
      </c>
      <c r="BP12" s="14"/>
      <c r="BQ12" s="14"/>
      <c r="BR12" s="14">
        <f t="shared" ref="BR12:BR47" si="37">J12*0.00127/100</f>
        <v>24.6560086</v>
      </c>
      <c r="BS12" s="14">
        <f t="shared" ref="BS12:BS47" si="38">BQ12+BR12</f>
        <v>24.6560086</v>
      </c>
      <c r="BT12" s="14"/>
      <c r="BU12" s="14"/>
      <c r="BV12" s="14">
        <f t="shared" ref="BV12:BV47" si="39">J12*0.32049/100</f>
        <v>6222.0505481999999</v>
      </c>
      <c r="BW12" s="14">
        <f t="shared" si="12"/>
        <v>6222.0505481999999</v>
      </c>
      <c r="BX12" s="14"/>
      <c r="BY12" s="14"/>
      <c r="BZ12" s="14">
        <f t="shared" ref="BZ12:BZ47" si="40">J12*0.81883/100</f>
        <v>15896.913009399999</v>
      </c>
      <c r="CA12" s="14">
        <f t="shared" si="13"/>
        <v>15896.913009399999</v>
      </c>
      <c r="CB12" s="14"/>
      <c r="CC12" s="14"/>
      <c r="CD12" s="14">
        <f t="shared" ref="CD12:CD47" si="41">J12*1.38394/100</f>
        <v>26868.060269199999</v>
      </c>
      <c r="CE12" s="14">
        <f t="shared" si="14"/>
        <v>26868.060269199999</v>
      </c>
      <c r="CF12" s="14"/>
      <c r="CG12" s="14"/>
      <c r="CH12" s="14">
        <f t="shared" ref="CH12:CH47" si="42">J12*11.38442/100</f>
        <v>221019.17907560003</v>
      </c>
      <c r="CI12" s="14">
        <f t="shared" si="15"/>
        <v>221019.17907560003</v>
      </c>
      <c r="CJ12" s="14"/>
      <c r="CK12" s="14"/>
      <c r="CL12" s="14">
        <f t="shared" ref="CL12:CL47" si="43">J12*0.21375/100</f>
        <v>4149.7809749999997</v>
      </c>
      <c r="CM12" s="14">
        <f t="shared" si="16"/>
        <v>4149.7809749999997</v>
      </c>
      <c r="CN12" s="14"/>
      <c r="CO12" s="14"/>
      <c r="CP12" s="14">
        <f t="shared" ref="CP12:CP47" si="44">J12*1.01868/100</f>
        <v>19776.836882399999</v>
      </c>
      <c r="CQ12" s="14">
        <f t="shared" si="17"/>
        <v>19776.836882399999</v>
      </c>
      <c r="CR12" s="14"/>
      <c r="CS12" s="14"/>
      <c r="CT12" s="14">
        <f t="shared" ref="CT12:CT47" si="45">J12*1.83432/100</f>
        <v>35611.818657600001</v>
      </c>
      <c r="CU12" s="14">
        <f t="shared" ref="CU12:CU47" si="46">CS12+CT12</f>
        <v>35611.818657600001</v>
      </c>
      <c r="CV12" s="14"/>
      <c r="CW12" s="14"/>
      <c r="CX12" s="14">
        <f t="shared" ref="CX12:CX47" si="47">J12*1.83184/100</f>
        <v>35563.671491199995</v>
      </c>
      <c r="CY12" s="14">
        <f t="shared" si="18"/>
        <v>35563.671491199995</v>
      </c>
      <c r="CZ12" s="14"/>
      <c r="DA12" s="14"/>
      <c r="DB12" s="14"/>
      <c r="DC12" s="14"/>
      <c r="DE12" s="14"/>
      <c r="DF12" s="14"/>
      <c r="DG12" s="14"/>
    </row>
    <row r="13" spans="1:114" x14ac:dyDescent="0.2">
      <c r="A13" s="12">
        <v>40634</v>
      </c>
      <c r="C13" s="15">
        <v>3135000</v>
      </c>
      <c r="D13" s="15">
        <v>1941418</v>
      </c>
      <c r="I13" s="15">
        <f t="shared" si="21"/>
        <v>3135000</v>
      </c>
      <c r="J13" s="15">
        <f t="shared" si="19"/>
        <v>1941418</v>
      </c>
      <c r="K13" s="15">
        <f t="shared" si="1"/>
        <v>5076418</v>
      </c>
      <c r="M13" s="14">
        <v>317634</v>
      </c>
      <c r="N13" s="14">
        <v>196702</v>
      </c>
      <c r="O13" s="14">
        <f t="shared" si="23"/>
        <v>514336</v>
      </c>
      <c r="Q13" s="14">
        <f t="shared" si="22"/>
        <v>2817366.1889999998</v>
      </c>
      <c r="R13" s="15">
        <f t="shared" si="20"/>
        <v>1744716.2462252004</v>
      </c>
      <c r="S13" s="14">
        <f t="shared" si="0"/>
        <v>4562082.4352251999</v>
      </c>
      <c r="U13" s="3">
        <f t="shared" ref="U13:U47" si="48">I13*25.03538/100</f>
        <v>784859.16299999994</v>
      </c>
      <c r="V13" s="3">
        <f t="shared" si="24"/>
        <v>486041.37368840002</v>
      </c>
      <c r="W13" s="3">
        <f t="shared" si="2"/>
        <v>1270900.5366884</v>
      </c>
      <c r="Y13" s="3">
        <f t="shared" ref="Y13:Y47" si="49">I13*1.9316/100</f>
        <v>60555.66</v>
      </c>
      <c r="Z13" s="3">
        <f t="shared" si="25"/>
        <v>37500.430088000001</v>
      </c>
      <c r="AA13" s="3">
        <f t="shared" si="3"/>
        <v>98056.090087999997</v>
      </c>
      <c r="AC13" s="14">
        <f t="shared" ref="AC13:AC47" si="50">I13*2.3925/100</f>
        <v>75004.875</v>
      </c>
      <c r="AD13" s="14">
        <f t="shared" si="26"/>
        <v>46448.425650000005</v>
      </c>
      <c r="AE13" s="14">
        <f>AC13+AD13</f>
        <v>121453.30065</v>
      </c>
      <c r="AG13" s="3">
        <f t="shared" ref="AG13:AG47" si="51">I13*1.18541/100</f>
        <v>37162.603499999997</v>
      </c>
      <c r="AH13" s="3">
        <f t="shared" si="27"/>
        <v>23013.763113800003</v>
      </c>
      <c r="AI13" s="3">
        <f t="shared" si="4"/>
        <v>60176.366613799997</v>
      </c>
      <c r="AK13" s="3">
        <f t="shared" ref="AK13:AK47" si="52">I13*21.61132/100</f>
        <v>677514.88199999998</v>
      </c>
      <c r="AL13" s="3">
        <f t="shared" si="28"/>
        <v>419566.05651759997</v>
      </c>
      <c r="AM13" s="3">
        <f t="shared" si="5"/>
        <v>1097080.9385175998</v>
      </c>
      <c r="AN13" s="14"/>
      <c r="AO13" s="3">
        <f t="shared" ref="AO13:AO47" si="53">I13*2.84975/100</f>
        <v>89339.662500000006</v>
      </c>
      <c r="AP13" s="3">
        <f t="shared" si="29"/>
        <v>55325.559454999995</v>
      </c>
      <c r="AQ13" s="3">
        <f t="shared" si="6"/>
        <v>144665.22195500002</v>
      </c>
      <c r="AR13" s="14"/>
      <c r="AS13" s="14">
        <f t="shared" ref="AS13:AS47" si="54">I13*0.8453/100</f>
        <v>26500.154999999999</v>
      </c>
      <c r="AT13" s="14">
        <f t="shared" si="30"/>
        <v>16410.806354</v>
      </c>
      <c r="AU13" s="14">
        <f t="shared" si="7"/>
        <v>42910.961353999999</v>
      </c>
      <c r="AV13" s="14"/>
      <c r="AW13" s="14">
        <f t="shared" ref="AW13:AW47" si="55">I13*0.37175/100</f>
        <v>11654.362499999999</v>
      </c>
      <c r="AX13" s="14">
        <f t="shared" si="31"/>
        <v>7217.221415</v>
      </c>
      <c r="AY13" s="14">
        <f t="shared" si="32"/>
        <v>18871.583914999999</v>
      </c>
      <c r="AZ13" s="14"/>
      <c r="BA13" s="14">
        <f t="shared" ref="BA13:BA47" si="56">I13*3.25791/100</f>
        <v>102135.4785</v>
      </c>
      <c r="BB13" s="14">
        <f t="shared" si="33"/>
        <v>63249.651163799994</v>
      </c>
      <c r="BC13" s="14">
        <f t="shared" si="8"/>
        <v>165385.12966380001</v>
      </c>
      <c r="BD13" s="14"/>
      <c r="BE13" s="14">
        <f t="shared" ref="BE13:BE47" si="57">I13*0.2523/100</f>
        <v>7909.6050000000014</v>
      </c>
      <c r="BF13" s="14">
        <f t="shared" si="34"/>
        <v>4898.1976140000006</v>
      </c>
      <c r="BG13" s="14">
        <f t="shared" si="9"/>
        <v>12807.802614000002</v>
      </c>
      <c r="BH13" s="14"/>
      <c r="BI13" s="14">
        <f t="shared" ref="BI13:BI47" si="58">I13*10.86592/100</f>
        <v>340646.59199999995</v>
      </c>
      <c r="BJ13" s="14">
        <f t="shared" si="35"/>
        <v>210952.92674559998</v>
      </c>
      <c r="BK13" s="14">
        <f t="shared" si="10"/>
        <v>551599.5187455999</v>
      </c>
      <c r="BL13" s="14"/>
      <c r="BM13" s="14">
        <f t="shared" ref="BM13:BM47" si="59">I13*0.46146/100</f>
        <v>14466.770999999999</v>
      </c>
      <c r="BN13" s="14">
        <f t="shared" si="36"/>
        <v>8958.8675027999998</v>
      </c>
      <c r="BO13" s="14">
        <f t="shared" si="11"/>
        <v>23425.6385028</v>
      </c>
      <c r="BP13" s="14"/>
      <c r="BQ13" s="14">
        <f t="shared" ref="BQ13:BQ47" si="60">I13*0.00127/100</f>
        <v>39.814500000000002</v>
      </c>
      <c r="BR13" s="14">
        <f t="shared" si="37"/>
        <v>24.6560086</v>
      </c>
      <c r="BS13" s="14">
        <f t="shared" si="38"/>
        <v>64.470508600000002</v>
      </c>
      <c r="BT13" s="14"/>
      <c r="BU13" s="14">
        <f t="shared" ref="BU13:BU47" si="61">I13*0.32049/100</f>
        <v>10047.361500000001</v>
      </c>
      <c r="BV13" s="14">
        <f t="shared" si="39"/>
        <v>6222.0505481999999</v>
      </c>
      <c r="BW13" s="14">
        <f t="shared" si="12"/>
        <v>16269.4120482</v>
      </c>
      <c r="BX13" s="14"/>
      <c r="BY13" s="14">
        <f t="shared" ref="BY13:BY47" si="62">I13*0.81883/100</f>
        <v>25670.320499999998</v>
      </c>
      <c r="BZ13" s="14">
        <f t="shared" si="40"/>
        <v>15896.913009399999</v>
      </c>
      <c r="CA13" s="14">
        <f t="shared" si="13"/>
        <v>41567.233509400001</v>
      </c>
      <c r="CB13" s="14"/>
      <c r="CC13" s="14">
        <f t="shared" ref="CC13:CC47" si="63">I13*1.38394/100</f>
        <v>43386.518999999993</v>
      </c>
      <c r="CD13" s="14">
        <f t="shared" si="41"/>
        <v>26868.060269199999</v>
      </c>
      <c r="CE13" s="14">
        <f t="shared" si="14"/>
        <v>70254.579269199996</v>
      </c>
      <c r="CF13" s="14"/>
      <c r="CG13" s="14">
        <f t="shared" ref="CG13:CG47" si="64">I13*11.38442/100</f>
        <v>356901.56700000004</v>
      </c>
      <c r="CH13" s="14">
        <f t="shared" si="42"/>
        <v>221019.17907560003</v>
      </c>
      <c r="CI13" s="14">
        <f t="shared" si="15"/>
        <v>577920.74607560004</v>
      </c>
      <c r="CJ13" s="14"/>
      <c r="CK13" s="14">
        <f t="shared" ref="CK13:CK47" si="65">I13*0.21375/100</f>
        <v>6701.0625</v>
      </c>
      <c r="CL13" s="14">
        <f t="shared" si="43"/>
        <v>4149.7809749999997</v>
      </c>
      <c r="CM13" s="14">
        <f t="shared" si="16"/>
        <v>10850.843475</v>
      </c>
      <c r="CN13" s="14"/>
      <c r="CO13" s="14">
        <f t="shared" ref="CO13:CO47" si="66">I13*1.01868/100</f>
        <v>31935.618000000002</v>
      </c>
      <c r="CP13" s="14">
        <f t="shared" si="44"/>
        <v>19776.836882399999</v>
      </c>
      <c r="CQ13" s="14">
        <f t="shared" si="17"/>
        <v>51712.454882400001</v>
      </c>
      <c r="CR13" s="14"/>
      <c r="CS13" s="14">
        <f t="shared" ref="CS13:CS47" si="67">I13*1.83432/100</f>
        <v>57505.932000000001</v>
      </c>
      <c r="CT13" s="14">
        <f t="shared" si="45"/>
        <v>35611.818657600001</v>
      </c>
      <c r="CU13" s="14">
        <f t="shared" si="46"/>
        <v>93117.750657600001</v>
      </c>
      <c r="CV13" s="14"/>
      <c r="CW13" s="14">
        <f t="shared" ref="CW13:CW47" si="68">I13*1.83184/100</f>
        <v>57428.183999999994</v>
      </c>
      <c r="CX13" s="14">
        <f t="shared" si="47"/>
        <v>35563.671491199995</v>
      </c>
      <c r="CY13" s="14">
        <f t="shared" si="18"/>
        <v>92991.855491199996</v>
      </c>
      <c r="CZ13" s="14"/>
      <c r="DA13" s="14"/>
      <c r="DB13" s="14"/>
      <c r="DC13" s="14"/>
      <c r="DE13" s="14"/>
      <c r="DF13" s="14"/>
      <c r="DG13" s="14"/>
    </row>
    <row r="14" spans="1:114" x14ac:dyDescent="0.2">
      <c r="A14" s="12">
        <v>40817</v>
      </c>
      <c r="D14" s="15">
        <v>1863043</v>
      </c>
      <c r="J14" s="15">
        <f t="shared" si="19"/>
        <v>1863043</v>
      </c>
      <c r="K14" s="15">
        <f t="shared" si="1"/>
        <v>1863043</v>
      </c>
      <c r="N14" s="14">
        <v>188761</v>
      </c>
      <c r="O14" s="14">
        <f t="shared" si="23"/>
        <v>188761</v>
      </c>
      <c r="Q14" s="14"/>
      <c r="R14" s="15">
        <f t="shared" si="20"/>
        <v>1674282.0915001999</v>
      </c>
      <c r="S14" s="14">
        <f t="shared" si="0"/>
        <v>1674282.0915001999</v>
      </c>
      <c r="U14" s="3"/>
      <c r="V14" s="3">
        <f t="shared" si="24"/>
        <v>466419.89461340004</v>
      </c>
      <c r="W14" s="3">
        <f t="shared" si="2"/>
        <v>466419.89461340004</v>
      </c>
      <c r="Y14" s="3"/>
      <c r="Z14" s="3">
        <f t="shared" si="25"/>
        <v>35986.538588000003</v>
      </c>
      <c r="AA14" s="3">
        <f t="shared" si="3"/>
        <v>35986.538588000003</v>
      </c>
      <c r="AD14" s="14">
        <f t="shared" si="26"/>
        <v>44573.303775000008</v>
      </c>
      <c r="AE14" s="14">
        <f t="shared" ref="AE14:AE47" si="69">AC14+AD14</f>
        <v>44573.303775000008</v>
      </c>
      <c r="AG14" s="3"/>
      <c r="AH14" s="3">
        <f t="shared" si="27"/>
        <v>22084.698026300004</v>
      </c>
      <c r="AI14" s="3">
        <f t="shared" si="4"/>
        <v>22084.698026300004</v>
      </c>
      <c r="AK14" s="3"/>
      <c r="AL14" s="3">
        <f t="shared" si="28"/>
        <v>402628.18446759996</v>
      </c>
      <c r="AM14" s="3">
        <f t="shared" si="5"/>
        <v>402628.18446759996</v>
      </c>
      <c r="AN14" s="14"/>
      <c r="AO14" s="3"/>
      <c r="AP14" s="3">
        <f t="shared" si="29"/>
        <v>53092.067892499996</v>
      </c>
      <c r="AQ14" s="3">
        <f t="shared" si="6"/>
        <v>53092.067892499996</v>
      </c>
      <c r="AR14" s="14"/>
      <c r="AS14" s="14"/>
      <c r="AT14" s="14">
        <f t="shared" si="30"/>
        <v>15748.302479</v>
      </c>
      <c r="AU14" s="14">
        <f t="shared" si="7"/>
        <v>15748.302479</v>
      </c>
      <c r="AV14" s="14"/>
      <c r="AW14" s="14"/>
      <c r="AX14" s="14">
        <f t="shared" si="31"/>
        <v>6925.8623525000003</v>
      </c>
      <c r="AY14" s="14">
        <f t="shared" si="32"/>
        <v>6925.8623525000003</v>
      </c>
      <c r="AZ14" s="14"/>
      <c r="BA14" s="14"/>
      <c r="BB14" s="14">
        <f t="shared" si="33"/>
        <v>60696.264201299993</v>
      </c>
      <c r="BC14" s="14">
        <f t="shared" si="8"/>
        <v>60696.264201299993</v>
      </c>
      <c r="BD14" s="14"/>
      <c r="BE14" s="14"/>
      <c r="BF14" s="14">
        <f t="shared" si="34"/>
        <v>4700.4574890000004</v>
      </c>
      <c r="BG14" s="14">
        <f t="shared" si="9"/>
        <v>4700.4574890000004</v>
      </c>
      <c r="BH14" s="14"/>
      <c r="BI14" s="14"/>
      <c r="BJ14" s="14">
        <f t="shared" si="35"/>
        <v>202436.76194559998</v>
      </c>
      <c r="BK14" s="14">
        <f t="shared" si="10"/>
        <v>202436.76194559998</v>
      </c>
      <c r="BL14" s="14"/>
      <c r="BM14" s="14"/>
      <c r="BN14" s="14">
        <f t="shared" si="36"/>
        <v>8597.1982277999996</v>
      </c>
      <c r="BO14" s="14">
        <f t="shared" si="11"/>
        <v>8597.1982277999996</v>
      </c>
      <c r="BP14" s="14"/>
      <c r="BQ14" s="14"/>
      <c r="BR14" s="14">
        <f t="shared" si="37"/>
        <v>23.660646100000005</v>
      </c>
      <c r="BS14" s="14">
        <f t="shared" si="38"/>
        <v>23.660646100000005</v>
      </c>
      <c r="BT14" s="14"/>
      <c r="BU14" s="14"/>
      <c r="BV14" s="14">
        <f t="shared" si="39"/>
        <v>5970.8665107000006</v>
      </c>
      <c r="BW14" s="14">
        <f t="shared" si="12"/>
        <v>5970.8665107000006</v>
      </c>
      <c r="BX14" s="14"/>
      <c r="BY14" s="14"/>
      <c r="BZ14" s="14">
        <f t="shared" si="40"/>
        <v>15255.154996899999</v>
      </c>
      <c r="CA14" s="14">
        <f t="shared" si="13"/>
        <v>15255.154996899999</v>
      </c>
      <c r="CB14" s="14"/>
      <c r="CC14" s="14"/>
      <c r="CD14" s="14">
        <f t="shared" si="41"/>
        <v>25783.397294199996</v>
      </c>
      <c r="CE14" s="14">
        <f t="shared" si="14"/>
        <v>25783.397294199996</v>
      </c>
      <c r="CF14" s="14"/>
      <c r="CG14" s="14"/>
      <c r="CH14" s="14">
        <f t="shared" si="42"/>
        <v>212096.63990060001</v>
      </c>
      <c r="CI14" s="14">
        <f t="shared" si="15"/>
        <v>212096.63990060001</v>
      </c>
      <c r="CJ14" s="14"/>
      <c r="CK14" s="14"/>
      <c r="CL14" s="14">
        <f t="shared" si="43"/>
        <v>3982.2544124999999</v>
      </c>
      <c r="CM14" s="14">
        <f t="shared" si="16"/>
        <v>3982.2544124999999</v>
      </c>
      <c r="CN14" s="14"/>
      <c r="CO14" s="14"/>
      <c r="CP14" s="14">
        <f t="shared" si="44"/>
        <v>18978.4464324</v>
      </c>
      <c r="CQ14" s="14">
        <f t="shared" si="17"/>
        <v>18978.4464324</v>
      </c>
      <c r="CR14" s="14"/>
      <c r="CS14" s="14"/>
      <c r="CT14" s="14">
        <f t="shared" si="45"/>
        <v>34174.1703576</v>
      </c>
      <c r="CU14" s="14">
        <f t="shared" si="46"/>
        <v>34174.1703576</v>
      </c>
      <c r="CV14" s="14"/>
      <c r="CW14" s="14"/>
      <c r="CX14" s="14">
        <f t="shared" si="47"/>
        <v>34127.966891199998</v>
      </c>
      <c r="CY14" s="14">
        <f t="shared" si="18"/>
        <v>34127.966891199998</v>
      </c>
      <c r="CZ14" s="14"/>
      <c r="DA14" s="14"/>
      <c r="DB14" s="14"/>
      <c r="DC14" s="14"/>
      <c r="DE14" s="14"/>
      <c r="DF14" s="14"/>
      <c r="DG14" s="14"/>
    </row>
    <row r="15" spans="1:114" x14ac:dyDescent="0.2">
      <c r="A15" s="12">
        <v>41000</v>
      </c>
      <c r="C15" s="15">
        <v>3290000</v>
      </c>
      <c r="D15" s="15">
        <v>1863043</v>
      </c>
      <c r="I15" s="15">
        <f t="shared" si="21"/>
        <v>3290000</v>
      </c>
      <c r="J15" s="15">
        <f t="shared" si="19"/>
        <v>1863043</v>
      </c>
      <c r="K15" s="15">
        <f t="shared" si="1"/>
        <v>5153043</v>
      </c>
      <c r="M15" s="14">
        <v>333338</v>
      </c>
      <c r="N15" s="14">
        <v>188761</v>
      </c>
      <c r="O15" s="14">
        <f t="shared" si="23"/>
        <v>522099</v>
      </c>
      <c r="Q15" s="14">
        <f t="shared" si="22"/>
        <v>2956661.8059999999</v>
      </c>
      <c r="R15" s="15">
        <f t="shared" si="20"/>
        <v>1674282.0915001999</v>
      </c>
      <c r="S15" s="14">
        <f t="shared" si="0"/>
        <v>4630943.8975002002</v>
      </c>
      <c r="U15" s="3">
        <f t="shared" si="48"/>
        <v>823664.00199999998</v>
      </c>
      <c r="V15" s="3">
        <f t="shared" si="24"/>
        <v>466419.89461340004</v>
      </c>
      <c r="W15" s="3">
        <f t="shared" si="2"/>
        <v>1290083.8966134</v>
      </c>
      <c r="Y15" s="3">
        <f t="shared" si="49"/>
        <v>63549.64</v>
      </c>
      <c r="Z15" s="3">
        <f t="shared" si="25"/>
        <v>35986.538588000003</v>
      </c>
      <c r="AA15" s="3">
        <f t="shared" si="3"/>
        <v>99536.17858800001</v>
      </c>
      <c r="AC15" s="14">
        <f t="shared" si="50"/>
        <v>78713.25</v>
      </c>
      <c r="AD15" s="14">
        <f t="shared" si="26"/>
        <v>44573.303775000008</v>
      </c>
      <c r="AE15" s="14">
        <f t="shared" si="69"/>
        <v>123286.55377500001</v>
      </c>
      <c r="AG15" s="3">
        <f t="shared" si="51"/>
        <v>38999.989000000001</v>
      </c>
      <c r="AH15" s="3">
        <f t="shared" si="27"/>
        <v>22084.698026300004</v>
      </c>
      <c r="AI15" s="3">
        <f t="shared" si="4"/>
        <v>61084.687026300002</v>
      </c>
      <c r="AK15" s="3">
        <f t="shared" si="52"/>
        <v>711012.42799999996</v>
      </c>
      <c r="AL15" s="3">
        <f t="shared" si="28"/>
        <v>402628.18446759996</v>
      </c>
      <c r="AM15" s="3">
        <f t="shared" si="5"/>
        <v>1113640.6124676</v>
      </c>
      <c r="AN15" s="14"/>
      <c r="AO15" s="3">
        <f t="shared" si="53"/>
        <v>93756.774999999994</v>
      </c>
      <c r="AP15" s="3">
        <f t="shared" si="29"/>
        <v>53092.067892499996</v>
      </c>
      <c r="AQ15" s="3">
        <f t="shared" si="6"/>
        <v>146848.84289249999</v>
      </c>
      <c r="AR15" s="14"/>
      <c r="AS15" s="14">
        <f t="shared" si="54"/>
        <v>27810.37</v>
      </c>
      <c r="AT15" s="14">
        <f t="shared" si="30"/>
        <v>15748.302479</v>
      </c>
      <c r="AU15" s="14">
        <f t="shared" si="7"/>
        <v>43558.672479000001</v>
      </c>
      <c r="AV15" s="14"/>
      <c r="AW15" s="14">
        <f t="shared" si="55"/>
        <v>12230.575000000001</v>
      </c>
      <c r="AX15" s="14">
        <f t="shared" si="31"/>
        <v>6925.8623525000003</v>
      </c>
      <c r="AY15" s="14">
        <f t="shared" si="32"/>
        <v>19156.437352500001</v>
      </c>
      <c r="AZ15" s="14"/>
      <c r="BA15" s="14">
        <f t="shared" si="56"/>
        <v>107185.239</v>
      </c>
      <c r="BB15" s="14">
        <f t="shared" si="33"/>
        <v>60696.264201299993</v>
      </c>
      <c r="BC15" s="14">
        <f t="shared" si="8"/>
        <v>167881.50320129999</v>
      </c>
      <c r="BD15" s="14"/>
      <c r="BE15" s="14">
        <f t="shared" si="57"/>
        <v>8300.6700000000019</v>
      </c>
      <c r="BF15" s="14">
        <f t="shared" si="34"/>
        <v>4700.4574890000004</v>
      </c>
      <c r="BG15" s="14">
        <f t="shared" si="9"/>
        <v>13001.127489000002</v>
      </c>
      <c r="BH15" s="14"/>
      <c r="BI15" s="14">
        <f t="shared" si="58"/>
        <v>357488.76799999998</v>
      </c>
      <c r="BJ15" s="14">
        <f t="shared" si="35"/>
        <v>202436.76194559998</v>
      </c>
      <c r="BK15" s="14">
        <f t="shared" si="10"/>
        <v>559925.52994559996</v>
      </c>
      <c r="BL15" s="14"/>
      <c r="BM15" s="14">
        <f t="shared" si="59"/>
        <v>15182.034</v>
      </c>
      <c r="BN15" s="14">
        <f t="shared" si="36"/>
        <v>8597.1982277999996</v>
      </c>
      <c r="BO15" s="14">
        <f t="shared" si="11"/>
        <v>23779.232227799999</v>
      </c>
      <c r="BP15" s="14"/>
      <c r="BQ15" s="14">
        <f t="shared" si="60"/>
        <v>41.783000000000001</v>
      </c>
      <c r="BR15" s="14">
        <f t="shared" si="37"/>
        <v>23.660646100000005</v>
      </c>
      <c r="BS15" s="14">
        <f t="shared" si="38"/>
        <v>65.443646100000009</v>
      </c>
      <c r="BT15" s="14"/>
      <c r="BU15" s="14">
        <f t="shared" si="61"/>
        <v>10544.121000000001</v>
      </c>
      <c r="BV15" s="14">
        <f t="shared" si="39"/>
        <v>5970.8665107000006</v>
      </c>
      <c r="BW15" s="14">
        <f t="shared" si="12"/>
        <v>16514.987510700001</v>
      </c>
      <c r="BX15" s="14"/>
      <c r="BY15" s="14">
        <f t="shared" si="62"/>
        <v>26939.506999999998</v>
      </c>
      <c r="BZ15" s="14">
        <f t="shared" si="40"/>
        <v>15255.154996899999</v>
      </c>
      <c r="CA15" s="14">
        <f t="shared" si="13"/>
        <v>42194.661996899995</v>
      </c>
      <c r="CB15" s="14"/>
      <c r="CC15" s="14">
        <f t="shared" si="63"/>
        <v>45531.625999999997</v>
      </c>
      <c r="CD15" s="14">
        <f t="shared" si="41"/>
        <v>25783.397294199996</v>
      </c>
      <c r="CE15" s="14">
        <f t="shared" si="14"/>
        <v>71315.023294199986</v>
      </c>
      <c r="CF15" s="14"/>
      <c r="CG15" s="14">
        <f t="shared" si="64"/>
        <v>374547.41800000006</v>
      </c>
      <c r="CH15" s="14">
        <f t="shared" si="42"/>
        <v>212096.63990060001</v>
      </c>
      <c r="CI15" s="14">
        <f t="shared" si="15"/>
        <v>586644.05790060014</v>
      </c>
      <c r="CJ15" s="14"/>
      <c r="CK15" s="14">
        <f t="shared" si="65"/>
        <v>7032.375</v>
      </c>
      <c r="CL15" s="14">
        <f t="shared" si="43"/>
        <v>3982.2544124999999</v>
      </c>
      <c r="CM15" s="14">
        <f t="shared" si="16"/>
        <v>11014.6294125</v>
      </c>
      <c r="CN15" s="14"/>
      <c r="CO15" s="14">
        <f t="shared" si="66"/>
        <v>33514.572</v>
      </c>
      <c r="CP15" s="14">
        <f t="shared" si="44"/>
        <v>18978.4464324</v>
      </c>
      <c r="CQ15" s="14">
        <f t="shared" si="17"/>
        <v>52493.0184324</v>
      </c>
      <c r="CR15" s="14"/>
      <c r="CS15" s="14">
        <f t="shared" si="67"/>
        <v>60349.127999999997</v>
      </c>
      <c r="CT15" s="14">
        <f t="shared" si="45"/>
        <v>34174.1703576</v>
      </c>
      <c r="CU15" s="14">
        <f t="shared" si="46"/>
        <v>94523.298357599997</v>
      </c>
      <c r="CV15" s="14"/>
      <c r="CW15" s="14">
        <f t="shared" si="68"/>
        <v>60267.535999999993</v>
      </c>
      <c r="CX15" s="14">
        <f t="shared" si="47"/>
        <v>34127.966891199998</v>
      </c>
      <c r="CY15" s="14">
        <f t="shared" si="18"/>
        <v>94395.502891199983</v>
      </c>
      <c r="CZ15" s="14"/>
      <c r="DA15" s="14"/>
      <c r="DB15" s="14"/>
      <c r="DC15" s="14"/>
      <c r="DE15" s="14"/>
      <c r="DF15" s="14"/>
      <c r="DG15" s="14"/>
    </row>
    <row r="16" spans="1:114" x14ac:dyDescent="0.2">
      <c r="A16" s="12">
        <v>41183</v>
      </c>
      <c r="D16" s="15">
        <v>1797243</v>
      </c>
      <c r="J16" s="15">
        <f t="shared" si="19"/>
        <v>1797243</v>
      </c>
      <c r="K16" s="15">
        <f t="shared" si="1"/>
        <v>1797243</v>
      </c>
      <c r="N16" s="14">
        <v>182094</v>
      </c>
      <c r="O16" s="14">
        <f t="shared" si="23"/>
        <v>182094</v>
      </c>
      <c r="Q16" s="14"/>
      <c r="R16" s="15">
        <f t="shared" si="20"/>
        <v>1615148.8553801998</v>
      </c>
      <c r="S16" s="14">
        <f t="shared" si="0"/>
        <v>1615148.8553801998</v>
      </c>
      <c r="U16" s="3"/>
      <c r="V16" s="3">
        <f t="shared" si="24"/>
        <v>449946.6145734</v>
      </c>
      <c r="W16" s="3">
        <f t="shared" si="2"/>
        <v>449946.6145734</v>
      </c>
      <c r="Y16" s="3"/>
      <c r="Z16" s="3">
        <f t="shared" si="25"/>
        <v>34715.545787999996</v>
      </c>
      <c r="AA16" s="3">
        <f t="shared" si="3"/>
        <v>34715.545787999996</v>
      </c>
      <c r="AD16" s="14">
        <f t="shared" si="26"/>
        <v>42999.038775000001</v>
      </c>
      <c r="AE16" s="14">
        <f t="shared" si="69"/>
        <v>42999.038775000001</v>
      </c>
      <c r="AG16" s="3"/>
      <c r="AH16" s="3">
        <f t="shared" si="27"/>
        <v>21304.698246300002</v>
      </c>
      <c r="AI16" s="3">
        <f t="shared" si="4"/>
        <v>21304.698246300002</v>
      </c>
      <c r="AK16" s="3"/>
      <c r="AL16" s="3">
        <f t="shared" si="28"/>
        <v>388407.93590759998</v>
      </c>
      <c r="AM16" s="3">
        <f t="shared" si="5"/>
        <v>388407.93590759998</v>
      </c>
      <c r="AN16" s="14"/>
      <c r="AO16" s="3"/>
      <c r="AP16" s="3">
        <f t="shared" si="29"/>
        <v>51216.932392499999</v>
      </c>
      <c r="AQ16" s="3">
        <f t="shared" si="6"/>
        <v>51216.932392499999</v>
      </c>
      <c r="AR16" s="14"/>
      <c r="AS16" s="14"/>
      <c r="AT16" s="14">
        <f t="shared" si="30"/>
        <v>15192.095079000001</v>
      </c>
      <c r="AU16" s="14">
        <f t="shared" si="7"/>
        <v>15192.095079000001</v>
      </c>
      <c r="AV16" s="14"/>
      <c r="AW16" s="14"/>
      <c r="AX16" s="14">
        <f t="shared" si="31"/>
        <v>6681.2508525000003</v>
      </c>
      <c r="AY16" s="14">
        <f t="shared" si="32"/>
        <v>6681.2508525000003</v>
      </c>
      <c r="AZ16" s="14"/>
      <c r="BA16" s="14"/>
      <c r="BB16" s="14">
        <f t="shared" si="33"/>
        <v>58552.559421299993</v>
      </c>
      <c r="BC16" s="14">
        <f t="shared" si="8"/>
        <v>58552.559421299993</v>
      </c>
      <c r="BD16" s="14"/>
      <c r="BE16" s="14"/>
      <c r="BF16" s="14">
        <f t="shared" si="34"/>
        <v>4534.4440890000005</v>
      </c>
      <c r="BG16" s="14">
        <f t="shared" si="9"/>
        <v>4534.4440890000005</v>
      </c>
      <c r="BH16" s="14"/>
      <c r="BI16" s="14"/>
      <c r="BJ16" s="14">
        <f t="shared" si="35"/>
        <v>195286.98658559995</v>
      </c>
      <c r="BK16" s="14">
        <f t="shared" si="10"/>
        <v>195286.98658559995</v>
      </c>
      <c r="BL16" s="14"/>
      <c r="BM16" s="14"/>
      <c r="BN16" s="14">
        <f t="shared" si="36"/>
        <v>8293.5575477999992</v>
      </c>
      <c r="BO16" s="14">
        <f t="shared" si="11"/>
        <v>8293.5575477999992</v>
      </c>
      <c r="BP16" s="14"/>
      <c r="BQ16" s="14"/>
      <c r="BR16" s="14">
        <f t="shared" si="37"/>
        <v>22.8249861</v>
      </c>
      <c r="BS16" s="14">
        <f t="shared" si="38"/>
        <v>22.8249861</v>
      </c>
      <c r="BT16" s="14"/>
      <c r="BU16" s="14"/>
      <c r="BV16" s="14">
        <f t="shared" si="39"/>
        <v>5759.9840907000007</v>
      </c>
      <c r="BW16" s="14">
        <f t="shared" si="12"/>
        <v>5759.9840907000007</v>
      </c>
      <c r="BX16" s="14"/>
      <c r="BY16" s="14"/>
      <c r="BZ16" s="14">
        <f t="shared" si="40"/>
        <v>14716.3648569</v>
      </c>
      <c r="CA16" s="14">
        <f t="shared" si="13"/>
        <v>14716.3648569</v>
      </c>
      <c r="CB16" s="14"/>
      <c r="CC16" s="14"/>
      <c r="CD16" s="14">
        <f t="shared" si="41"/>
        <v>24872.764774199997</v>
      </c>
      <c r="CE16" s="14">
        <f t="shared" si="14"/>
        <v>24872.764774199997</v>
      </c>
      <c r="CF16" s="14"/>
      <c r="CG16" s="14"/>
      <c r="CH16" s="14">
        <f t="shared" si="42"/>
        <v>204605.69154060003</v>
      </c>
      <c r="CI16" s="14">
        <f t="shared" si="15"/>
        <v>204605.69154060003</v>
      </c>
      <c r="CJ16" s="14"/>
      <c r="CK16" s="14"/>
      <c r="CL16" s="14">
        <f t="shared" si="43"/>
        <v>3841.6069124999999</v>
      </c>
      <c r="CM16" s="14">
        <f t="shared" si="16"/>
        <v>3841.6069124999999</v>
      </c>
      <c r="CN16" s="14"/>
      <c r="CO16" s="14"/>
      <c r="CP16" s="14">
        <f t="shared" si="44"/>
        <v>18308.154992399999</v>
      </c>
      <c r="CQ16" s="14">
        <f t="shared" si="17"/>
        <v>18308.154992399999</v>
      </c>
      <c r="CR16" s="14"/>
      <c r="CS16" s="14"/>
      <c r="CT16" s="14">
        <f t="shared" si="45"/>
        <v>32967.187797599996</v>
      </c>
      <c r="CU16" s="14">
        <f t="shared" si="46"/>
        <v>32967.187797599996</v>
      </c>
      <c r="CV16" s="14"/>
      <c r="CW16" s="14"/>
      <c r="CX16" s="14">
        <f t="shared" si="47"/>
        <v>32922.616171200003</v>
      </c>
      <c r="CY16" s="14">
        <f t="shared" si="18"/>
        <v>32922.616171200003</v>
      </c>
      <c r="CZ16" s="14"/>
      <c r="DA16" s="14"/>
      <c r="DB16" s="14"/>
      <c r="DC16" s="14"/>
      <c r="DE16" s="14"/>
      <c r="DF16" s="14"/>
      <c r="DG16" s="14"/>
    </row>
    <row r="17" spans="1:112" x14ac:dyDescent="0.2">
      <c r="A17" s="12">
        <v>41365</v>
      </c>
      <c r="B17" t="s">
        <v>9</v>
      </c>
      <c r="C17" s="15">
        <v>3420000</v>
      </c>
      <c r="D17" s="15">
        <v>1797243</v>
      </c>
      <c r="I17" s="15">
        <f t="shared" si="21"/>
        <v>3420000</v>
      </c>
      <c r="J17" s="15">
        <f t="shared" si="19"/>
        <v>1797243</v>
      </c>
      <c r="K17" s="15">
        <f t="shared" si="1"/>
        <v>5217243</v>
      </c>
      <c r="M17" s="14">
        <v>346510</v>
      </c>
      <c r="N17" s="14">
        <v>182094</v>
      </c>
      <c r="O17" s="14">
        <f t="shared" si="23"/>
        <v>528604</v>
      </c>
      <c r="Q17" s="14">
        <f t="shared" si="22"/>
        <v>3073490.3879999993</v>
      </c>
      <c r="R17" s="15">
        <f t="shared" si="20"/>
        <v>1615148.8553801998</v>
      </c>
      <c r="S17" s="14">
        <f t="shared" si="0"/>
        <v>4688639.2433801992</v>
      </c>
      <c r="U17" s="3">
        <f t="shared" si="48"/>
        <v>856209.99599999993</v>
      </c>
      <c r="V17" s="3">
        <f t="shared" si="24"/>
        <v>449946.6145734</v>
      </c>
      <c r="W17" s="3">
        <f t="shared" si="2"/>
        <v>1306156.6105733998</v>
      </c>
      <c r="Y17" s="3">
        <f t="shared" si="49"/>
        <v>66060.72</v>
      </c>
      <c r="Z17" s="3">
        <f t="shared" si="25"/>
        <v>34715.545787999996</v>
      </c>
      <c r="AA17" s="3">
        <f t="shared" si="3"/>
        <v>100776.26578799999</v>
      </c>
      <c r="AC17" s="14">
        <f t="shared" si="50"/>
        <v>81823.5</v>
      </c>
      <c r="AD17" s="14">
        <f t="shared" si="26"/>
        <v>42999.038775000001</v>
      </c>
      <c r="AE17" s="14">
        <f t="shared" si="69"/>
        <v>124822.53877499999</v>
      </c>
      <c r="AG17" s="3">
        <f t="shared" si="51"/>
        <v>40541.022000000004</v>
      </c>
      <c r="AH17" s="3">
        <f t="shared" si="27"/>
        <v>21304.698246300002</v>
      </c>
      <c r="AI17" s="3">
        <f t="shared" si="4"/>
        <v>61845.720246300007</v>
      </c>
      <c r="AK17" s="3">
        <f t="shared" si="52"/>
        <v>739107.14399999985</v>
      </c>
      <c r="AL17" s="3">
        <f t="shared" si="28"/>
        <v>388407.93590759998</v>
      </c>
      <c r="AM17" s="3">
        <f t="shared" si="5"/>
        <v>1127515.0799075998</v>
      </c>
      <c r="AN17" s="14"/>
      <c r="AO17" s="3">
        <f t="shared" si="53"/>
        <v>97461.45</v>
      </c>
      <c r="AP17" s="3">
        <f t="shared" si="29"/>
        <v>51216.932392499999</v>
      </c>
      <c r="AQ17" s="3">
        <f t="shared" si="6"/>
        <v>148678.3823925</v>
      </c>
      <c r="AR17" s="14"/>
      <c r="AS17" s="14">
        <f t="shared" si="54"/>
        <v>28909.26</v>
      </c>
      <c r="AT17" s="14">
        <f t="shared" si="30"/>
        <v>15192.095079000001</v>
      </c>
      <c r="AU17" s="14">
        <f t="shared" si="7"/>
        <v>44101.355079000001</v>
      </c>
      <c r="AV17" s="14"/>
      <c r="AW17" s="14">
        <f t="shared" si="55"/>
        <v>12713.85</v>
      </c>
      <c r="AX17" s="14">
        <f t="shared" si="31"/>
        <v>6681.2508525000003</v>
      </c>
      <c r="AY17" s="14">
        <f t="shared" si="32"/>
        <v>19395.1008525</v>
      </c>
      <c r="AZ17" s="14"/>
      <c r="BA17" s="14">
        <f t="shared" si="56"/>
        <v>111420.522</v>
      </c>
      <c r="BB17" s="14">
        <f t="shared" si="33"/>
        <v>58552.559421299993</v>
      </c>
      <c r="BC17" s="14">
        <f t="shared" si="8"/>
        <v>169973.08142129998</v>
      </c>
      <c r="BD17" s="14"/>
      <c r="BE17" s="14">
        <f t="shared" si="57"/>
        <v>8628.6600000000017</v>
      </c>
      <c r="BF17" s="14">
        <f t="shared" si="34"/>
        <v>4534.4440890000005</v>
      </c>
      <c r="BG17" s="14">
        <f t="shared" si="9"/>
        <v>13163.104089000002</v>
      </c>
      <c r="BH17" s="14"/>
      <c r="BI17" s="14">
        <f t="shared" si="58"/>
        <v>371614.46399999998</v>
      </c>
      <c r="BJ17" s="14">
        <f t="shared" si="35"/>
        <v>195286.98658559995</v>
      </c>
      <c r="BK17" s="14">
        <f t="shared" si="10"/>
        <v>566901.45058559999</v>
      </c>
      <c r="BL17" s="14"/>
      <c r="BM17" s="14">
        <f t="shared" si="59"/>
        <v>15781.931999999999</v>
      </c>
      <c r="BN17" s="14">
        <f t="shared" si="36"/>
        <v>8293.5575477999992</v>
      </c>
      <c r="BO17" s="14">
        <f t="shared" si="11"/>
        <v>24075.489547799996</v>
      </c>
      <c r="BP17" s="14"/>
      <c r="BQ17" s="14">
        <f t="shared" si="60"/>
        <v>43.434000000000005</v>
      </c>
      <c r="BR17" s="14">
        <f t="shared" si="37"/>
        <v>22.8249861</v>
      </c>
      <c r="BS17" s="14">
        <f t="shared" si="38"/>
        <v>66.258986100000001</v>
      </c>
      <c r="BT17" s="14"/>
      <c r="BU17" s="14">
        <f t="shared" si="61"/>
        <v>10960.758</v>
      </c>
      <c r="BV17" s="14">
        <f t="shared" si="39"/>
        <v>5759.9840907000007</v>
      </c>
      <c r="BW17" s="14">
        <f t="shared" si="12"/>
        <v>16720.742090700001</v>
      </c>
      <c r="BX17" s="14"/>
      <c r="BY17" s="14">
        <f t="shared" si="62"/>
        <v>28003.985999999997</v>
      </c>
      <c r="BZ17" s="14">
        <f t="shared" si="40"/>
        <v>14716.3648569</v>
      </c>
      <c r="CA17" s="14">
        <f t="shared" si="13"/>
        <v>42720.350856899997</v>
      </c>
      <c r="CB17" s="14"/>
      <c r="CC17" s="14">
        <f t="shared" si="63"/>
        <v>47330.748</v>
      </c>
      <c r="CD17" s="14">
        <f t="shared" si="41"/>
        <v>24872.764774199997</v>
      </c>
      <c r="CE17" s="14">
        <f t="shared" si="14"/>
        <v>72203.512774200004</v>
      </c>
      <c r="CF17" s="14"/>
      <c r="CG17" s="14">
        <f t="shared" si="64"/>
        <v>389347.16399999999</v>
      </c>
      <c r="CH17" s="14">
        <f t="shared" si="42"/>
        <v>204605.69154060003</v>
      </c>
      <c r="CI17" s="14">
        <f t="shared" si="15"/>
        <v>593952.85554060002</v>
      </c>
      <c r="CJ17" s="14"/>
      <c r="CK17" s="14">
        <f t="shared" si="65"/>
        <v>7310.25</v>
      </c>
      <c r="CL17" s="14">
        <f t="shared" si="43"/>
        <v>3841.6069124999999</v>
      </c>
      <c r="CM17" s="14">
        <f t="shared" si="16"/>
        <v>11151.856912499999</v>
      </c>
      <c r="CN17" s="14"/>
      <c r="CO17" s="14">
        <f t="shared" si="66"/>
        <v>34838.856</v>
      </c>
      <c r="CP17" s="14">
        <f t="shared" si="44"/>
        <v>18308.154992399999</v>
      </c>
      <c r="CQ17" s="14">
        <f t="shared" si="17"/>
        <v>53147.010992399999</v>
      </c>
      <c r="CR17" s="14"/>
      <c r="CS17" s="14">
        <f t="shared" si="67"/>
        <v>62733.743999999992</v>
      </c>
      <c r="CT17" s="14">
        <f t="shared" si="45"/>
        <v>32967.187797599996</v>
      </c>
      <c r="CU17" s="14">
        <f t="shared" si="46"/>
        <v>95700.931797599987</v>
      </c>
      <c r="CV17" s="14"/>
      <c r="CW17" s="14">
        <f t="shared" si="68"/>
        <v>62648.928</v>
      </c>
      <c r="CX17" s="14">
        <f t="shared" si="47"/>
        <v>32922.616171200003</v>
      </c>
      <c r="CY17" s="14">
        <f t="shared" si="18"/>
        <v>95571.544171200003</v>
      </c>
      <c r="CZ17" s="14"/>
      <c r="DA17" s="14"/>
      <c r="DB17" s="14"/>
      <c r="DC17" s="14"/>
      <c r="DE17" s="14"/>
      <c r="DF17" s="14"/>
      <c r="DG17" s="14"/>
    </row>
    <row r="18" spans="1:112" x14ac:dyDescent="0.2">
      <c r="A18" s="12">
        <v>41548</v>
      </c>
      <c r="D18" s="15">
        <v>1728843</v>
      </c>
      <c r="J18" s="15">
        <f t="shared" si="19"/>
        <v>1728843</v>
      </c>
      <c r="K18" s="15">
        <f t="shared" si="1"/>
        <v>1728843</v>
      </c>
      <c r="N18" s="14">
        <v>175164</v>
      </c>
      <c r="O18" s="14">
        <f t="shared" si="23"/>
        <v>175164</v>
      </c>
      <c r="Q18" s="14"/>
      <c r="R18" s="15">
        <f t="shared" si="20"/>
        <v>1553679.0476201996</v>
      </c>
      <c r="S18" s="14">
        <f t="shared" si="0"/>
        <v>1553679.0476201996</v>
      </c>
      <c r="U18" s="3"/>
      <c r="V18" s="3">
        <f t="shared" si="24"/>
        <v>432822.41465340002</v>
      </c>
      <c r="W18" s="3">
        <f t="shared" si="2"/>
        <v>432822.41465340002</v>
      </c>
      <c r="Y18" s="3"/>
      <c r="Z18" s="3">
        <f t="shared" si="25"/>
        <v>33394.331387999999</v>
      </c>
      <c r="AA18" s="3">
        <f t="shared" si="3"/>
        <v>33394.331387999999</v>
      </c>
      <c r="AD18" s="14">
        <f t="shared" si="26"/>
        <v>41362.568775</v>
      </c>
      <c r="AE18" s="14">
        <f t="shared" si="69"/>
        <v>41362.568775</v>
      </c>
      <c r="AG18" s="3"/>
      <c r="AH18" s="3">
        <f t="shared" si="27"/>
        <v>20493.877806300003</v>
      </c>
      <c r="AI18" s="3">
        <f t="shared" si="4"/>
        <v>20493.877806300003</v>
      </c>
      <c r="AK18" s="3"/>
      <c r="AL18" s="3">
        <f t="shared" si="28"/>
        <v>373625.79302759998</v>
      </c>
      <c r="AM18" s="3">
        <f t="shared" si="5"/>
        <v>373625.79302759998</v>
      </c>
      <c r="AN18" s="14"/>
      <c r="AO18" s="3"/>
      <c r="AP18" s="3">
        <f t="shared" si="29"/>
        <v>49267.703392499992</v>
      </c>
      <c r="AQ18" s="3">
        <f t="shared" si="6"/>
        <v>49267.703392499992</v>
      </c>
      <c r="AR18" s="14"/>
      <c r="AS18" s="14"/>
      <c r="AT18" s="14">
        <f t="shared" si="30"/>
        <v>14613.909879000001</v>
      </c>
      <c r="AU18" s="14">
        <f t="shared" si="7"/>
        <v>14613.909879000001</v>
      </c>
      <c r="AV18" s="14"/>
      <c r="AW18" s="14"/>
      <c r="AX18" s="14">
        <f t="shared" si="31"/>
        <v>6426.9738525000002</v>
      </c>
      <c r="AY18" s="14">
        <f t="shared" si="32"/>
        <v>6426.9738525000002</v>
      </c>
      <c r="AZ18" s="14"/>
      <c r="BA18" s="14"/>
      <c r="BB18" s="14">
        <f t="shared" si="33"/>
        <v>56324.148981299993</v>
      </c>
      <c r="BC18" s="14">
        <f t="shared" si="8"/>
        <v>56324.148981299993</v>
      </c>
      <c r="BD18" s="14"/>
      <c r="BE18" s="14"/>
      <c r="BF18" s="14">
        <f t="shared" si="34"/>
        <v>4361.8708890000007</v>
      </c>
      <c r="BG18" s="14">
        <f t="shared" si="9"/>
        <v>4361.8708890000007</v>
      </c>
      <c r="BH18" s="14"/>
      <c r="BI18" s="14"/>
      <c r="BJ18" s="14">
        <f t="shared" si="35"/>
        <v>187854.69730559998</v>
      </c>
      <c r="BK18" s="14">
        <f t="shared" si="10"/>
        <v>187854.69730559998</v>
      </c>
      <c r="BL18" s="14"/>
      <c r="BM18" s="14"/>
      <c r="BN18" s="14">
        <f t="shared" si="36"/>
        <v>7977.9189077999999</v>
      </c>
      <c r="BO18" s="14">
        <f t="shared" si="11"/>
        <v>7977.9189077999999</v>
      </c>
      <c r="BP18" s="14"/>
      <c r="BQ18" s="14"/>
      <c r="BR18" s="14">
        <f t="shared" si="37"/>
        <v>21.956306100000003</v>
      </c>
      <c r="BS18" s="14">
        <f t="shared" si="38"/>
        <v>21.956306100000003</v>
      </c>
      <c r="BT18" s="14"/>
      <c r="BU18" s="14"/>
      <c r="BV18" s="14">
        <f t="shared" si="39"/>
        <v>5540.7689307000001</v>
      </c>
      <c r="BW18" s="14">
        <f t="shared" si="12"/>
        <v>5540.7689307000001</v>
      </c>
      <c r="BX18" s="14"/>
      <c r="BY18" s="14"/>
      <c r="BZ18" s="14">
        <f t="shared" si="40"/>
        <v>14156.2851369</v>
      </c>
      <c r="CA18" s="14">
        <f t="shared" si="13"/>
        <v>14156.2851369</v>
      </c>
      <c r="CB18" s="14"/>
      <c r="CC18" s="14"/>
      <c r="CD18" s="14">
        <f t="shared" si="41"/>
        <v>23926.149814200002</v>
      </c>
      <c r="CE18" s="14">
        <f t="shared" si="14"/>
        <v>23926.149814200002</v>
      </c>
      <c r="CF18" s="14"/>
      <c r="CG18" s="14"/>
      <c r="CH18" s="14">
        <f t="shared" si="42"/>
        <v>196818.7482606</v>
      </c>
      <c r="CI18" s="14">
        <f t="shared" si="15"/>
        <v>196818.7482606</v>
      </c>
      <c r="CJ18" s="14"/>
      <c r="CK18" s="14"/>
      <c r="CL18" s="14">
        <f t="shared" si="43"/>
        <v>3695.4019124999995</v>
      </c>
      <c r="CM18" s="14">
        <f t="shared" si="16"/>
        <v>3695.4019124999995</v>
      </c>
      <c r="CN18" s="14"/>
      <c r="CO18" s="14"/>
      <c r="CP18" s="14">
        <f t="shared" si="44"/>
        <v>17611.3778724</v>
      </c>
      <c r="CQ18" s="14">
        <f t="shared" si="17"/>
        <v>17611.3778724</v>
      </c>
      <c r="CR18" s="14"/>
      <c r="CS18" s="14"/>
      <c r="CT18" s="14">
        <f t="shared" si="45"/>
        <v>31712.512917600001</v>
      </c>
      <c r="CU18" s="14">
        <f t="shared" si="46"/>
        <v>31712.512917600001</v>
      </c>
      <c r="CV18" s="14"/>
      <c r="CW18" s="14"/>
      <c r="CX18" s="14">
        <f t="shared" si="47"/>
        <v>31669.6376112</v>
      </c>
      <c r="CY18" s="14">
        <f t="shared" si="18"/>
        <v>31669.6376112</v>
      </c>
      <c r="CZ18" s="14"/>
      <c r="DA18" s="14"/>
      <c r="DB18" s="14"/>
      <c r="DC18" s="14"/>
      <c r="DE18" s="14"/>
      <c r="DF18" s="14"/>
      <c r="DG18" s="14"/>
    </row>
    <row r="19" spans="1:112" x14ac:dyDescent="0.2">
      <c r="A19" s="12">
        <v>41730</v>
      </c>
      <c r="C19" s="15">
        <v>3555000</v>
      </c>
      <c r="D19" s="15">
        <v>1728843</v>
      </c>
      <c r="I19" s="15">
        <f t="shared" si="21"/>
        <v>3555000</v>
      </c>
      <c r="J19" s="15">
        <f t="shared" si="19"/>
        <v>1728843</v>
      </c>
      <c r="K19" s="15">
        <f t="shared" si="1"/>
        <v>5283843</v>
      </c>
      <c r="M19" s="14">
        <v>360188</v>
      </c>
      <c r="N19" s="14">
        <v>175164</v>
      </c>
      <c r="O19" s="14">
        <f t="shared" si="23"/>
        <v>535352</v>
      </c>
      <c r="Q19" s="14">
        <f t="shared" si="22"/>
        <v>3194812.3769999994</v>
      </c>
      <c r="R19" s="15">
        <f t="shared" si="20"/>
        <v>1553679.0476201996</v>
      </c>
      <c r="S19" s="14">
        <f t="shared" si="0"/>
        <v>4748491.424620199</v>
      </c>
      <c r="U19" s="3">
        <f t="shared" si="48"/>
        <v>890007.75900000008</v>
      </c>
      <c r="V19" s="3">
        <f t="shared" si="24"/>
        <v>432822.41465340002</v>
      </c>
      <c r="W19" s="3">
        <f t="shared" si="2"/>
        <v>1322830.1736534</v>
      </c>
      <c r="Y19" s="3">
        <f t="shared" si="49"/>
        <v>68668.38</v>
      </c>
      <c r="Z19" s="3">
        <f t="shared" si="25"/>
        <v>33394.331387999999</v>
      </c>
      <c r="AA19" s="3">
        <f t="shared" si="3"/>
        <v>102062.711388</v>
      </c>
      <c r="AC19" s="14">
        <f t="shared" si="50"/>
        <v>85053.375</v>
      </c>
      <c r="AD19" s="14">
        <f t="shared" si="26"/>
        <v>41362.568775</v>
      </c>
      <c r="AE19" s="14">
        <f t="shared" si="69"/>
        <v>126415.94377499999</v>
      </c>
      <c r="AG19" s="3">
        <f t="shared" si="51"/>
        <v>42141.325499999999</v>
      </c>
      <c r="AH19" s="3">
        <f t="shared" si="27"/>
        <v>20493.877806300003</v>
      </c>
      <c r="AI19" s="3">
        <f t="shared" si="4"/>
        <v>62635.203306299998</v>
      </c>
      <c r="AK19" s="3">
        <f t="shared" si="52"/>
        <v>768282.42599999998</v>
      </c>
      <c r="AL19" s="3">
        <f t="shared" si="28"/>
        <v>373625.79302759998</v>
      </c>
      <c r="AM19" s="3">
        <f t="shared" si="5"/>
        <v>1141908.2190276</v>
      </c>
      <c r="AN19" s="14"/>
      <c r="AO19" s="3">
        <f t="shared" si="53"/>
        <v>101308.6125</v>
      </c>
      <c r="AP19" s="3">
        <f t="shared" si="29"/>
        <v>49267.703392499992</v>
      </c>
      <c r="AQ19" s="3">
        <f t="shared" si="6"/>
        <v>150576.31589249999</v>
      </c>
      <c r="AR19" s="14"/>
      <c r="AS19" s="14">
        <f t="shared" si="54"/>
        <v>30050.415000000001</v>
      </c>
      <c r="AT19" s="14">
        <f t="shared" si="30"/>
        <v>14613.909879000001</v>
      </c>
      <c r="AU19" s="14">
        <f t="shared" si="7"/>
        <v>44664.324879</v>
      </c>
      <c r="AV19" s="14"/>
      <c r="AW19" s="14">
        <f t="shared" si="55"/>
        <v>13215.7125</v>
      </c>
      <c r="AX19" s="14">
        <f t="shared" si="31"/>
        <v>6426.9738525000002</v>
      </c>
      <c r="AY19" s="14">
        <f t="shared" si="32"/>
        <v>19642.686352500001</v>
      </c>
      <c r="AZ19" s="14"/>
      <c r="BA19" s="14">
        <f t="shared" si="56"/>
        <v>115818.70049999999</v>
      </c>
      <c r="BB19" s="14">
        <f t="shared" si="33"/>
        <v>56324.148981299993</v>
      </c>
      <c r="BC19" s="14">
        <f t="shared" si="8"/>
        <v>172142.84948129999</v>
      </c>
      <c r="BD19" s="14"/>
      <c r="BE19" s="14">
        <f t="shared" si="57"/>
        <v>8969.2650000000012</v>
      </c>
      <c r="BF19" s="14">
        <f t="shared" si="34"/>
        <v>4361.8708890000007</v>
      </c>
      <c r="BG19" s="14">
        <f t="shared" si="9"/>
        <v>13331.135889000001</v>
      </c>
      <c r="BH19" s="14"/>
      <c r="BI19" s="14">
        <f t="shared" si="58"/>
        <v>386283.45599999995</v>
      </c>
      <c r="BJ19" s="14">
        <f t="shared" si="35"/>
        <v>187854.69730559998</v>
      </c>
      <c r="BK19" s="14">
        <f t="shared" si="10"/>
        <v>574138.15330559993</v>
      </c>
      <c r="BL19" s="14"/>
      <c r="BM19" s="14">
        <f t="shared" si="59"/>
        <v>16404.903000000002</v>
      </c>
      <c r="BN19" s="14">
        <f t="shared" si="36"/>
        <v>7977.9189077999999</v>
      </c>
      <c r="BO19" s="14">
        <f t="shared" si="11"/>
        <v>24382.821907800004</v>
      </c>
      <c r="BP19" s="14"/>
      <c r="BQ19" s="14">
        <f t="shared" si="60"/>
        <v>45.148500000000006</v>
      </c>
      <c r="BR19" s="14">
        <f t="shared" si="37"/>
        <v>21.956306100000003</v>
      </c>
      <c r="BS19" s="14">
        <f t="shared" si="38"/>
        <v>67.104806100000005</v>
      </c>
      <c r="BT19" s="14"/>
      <c r="BU19" s="14">
        <f t="shared" si="61"/>
        <v>11393.4195</v>
      </c>
      <c r="BV19" s="14">
        <f t="shared" si="39"/>
        <v>5540.7689307000001</v>
      </c>
      <c r="BW19" s="14">
        <f t="shared" si="12"/>
        <v>16934.1884307</v>
      </c>
      <c r="BX19" s="14"/>
      <c r="BY19" s="14">
        <f t="shared" si="62"/>
        <v>29109.406499999997</v>
      </c>
      <c r="BZ19" s="14">
        <f t="shared" si="40"/>
        <v>14156.2851369</v>
      </c>
      <c r="CA19" s="14">
        <f t="shared" si="13"/>
        <v>43265.691636899996</v>
      </c>
      <c r="CB19" s="14"/>
      <c r="CC19" s="14">
        <f t="shared" si="63"/>
        <v>49199.067000000003</v>
      </c>
      <c r="CD19" s="14">
        <f t="shared" si="41"/>
        <v>23926.149814200002</v>
      </c>
      <c r="CE19" s="14">
        <f t="shared" si="14"/>
        <v>73125.216814200001</v>
      </c>
      <c r="CF19" s="14"/>
      <c r="CG19" s="14">
        <f t="shared" si="64"/>
        <v>404716.13099999999</v>
      </c>
      <c r="CH19" s="14">
        <f t="shared" si="42"/>
        <v>196818.7482606</v>
      </c>
      <c r="CI19" s="14">
        <f t="shared" si="15"/>
        <v>601534.87926059996</v>
      </c>
      <c r="CJ19" s="14"/>
      <c r="CK19" s="14">
        <f t="shared" si="65"/>
        <v>7598.8125</v>
      </c>
      <c r="CL19" s="14">
        <f t="shared" si="43"/>
        <v>3695.4019124999995</v>
      </c>
      <c r="CM19" s="14">
        <f t="shared" si="16"/>
        <v>11294.2144125</v>
      </c>
      <c r="CN19" s="14"/>
      <c r="CO19" s="14">
        <f t="shared" si="66"/>
        <v>36214.074000000001</v>
      </c>
      <c r="CP19" s="14">
        <f t="shared" si="44"/>
        <v>17611.3778724</v>
      </c>
      <c r="CQ19" s="14">
        <f t="shared" si="17"/>
        <v>53825.451872400001</v>
      </c>
      <c r="CR19" s="14"/>
      <c r="CS19" s="14">
        <f t="shared" si="67"/>
        <v>65210.075999999994</v>
      </c>
      <c r="CT19" s="14">
        <f t="shared" si="45"/>
        <v>31712.512917600001</v>
      </c>
      <c r="CU19" s="14">
        <f t="shared" si="46"/>
        <v>96922.588917599991</v>
      </c>
      <c r="CV19" s="14"/>
      <c r="CW19" s="14">
        <f t="shared" si="68"/>
        <v>65121.911999999989</v>
      </c>
      <c r="CX19" s="14">
        <f t="shared" si="47"/>
        <v>31669.6376112</v>
      </c>
      <c r="CY19" s="14">
        <f t="shared" si="18"/>
        <v>96791.549611199996</v>
      </c>
      <c r="CZ19" s="14"/>
      <c r="DA19" s="14"/>
      <c r="DB19" s="14"/>
      <c r="DC19" s="14"/>
      <c r="DE19" s="14"/>
      <c r="DF19" s="14"/>
      <c r="DG19" s="14"/>
    </row>
    <row r="20" spans="1:112" x14ac:dyDescent="0.2">
      <c r="A20" s="12">
        <v>41913</v>
      </c>
      <c r="D20" s="15">
        <v>1657743</v>
      </c>
      <c r="J20" s="15">
        <f t="shared" si="19"/>
        <v>1657743</v>
      </c>
      <c r="K20" s="15">
        <f t="shared" si="1"/>
        <v>1657743</v>
      </c>
      <c r="N20" s="14">
        <v>167960</v>
      </c>
      <c r="O20" s="14">
        <f t="shared" si="23"/>
        <v>167960</v>
      </c>
      <c r="Q20" s="14"/>
      <c r="R20" s="15">
        <f t="shared" si="20"/>
        <v>1489782.8000802002</v>
      </c>
      <c r="S20" s="14">
        <f t="shared" si="0"/>
        <v>1489782.8000802002</v>
      </c>
      <c r="U20" s="3"/>
      <c r="V20" s="3">
        <f t="shared" si="24"/>
        <v>415022.25947339996</v>
      </c>
      <c r="W20" s="3">
        <f t="shared" si="2"/>
        <v>415022.25947339996</v>
      </c>
      <c r="Y20" s="3"/>
      <c r="Z20" s="3">
        <f t="shared" si="25"/>
        <v>32020.963788000001</v>
      </c>
      <c r="AA20" s="3">
        <f t="shared" si="3"/>
        <v>32020.963788000001</v>
      </c>
      <c r="AD20" s="14">
        <f t="shared" si="26"/>
        <v>39661.501275000002</v>
      </c>
      <c r="AE20" s="14">
        <f t="shared" si="69"/>
        <v>39661.501275000002</v>
      </c>
      <c r="AG20" s="3"/>
      <c r="AH20" s="3">
        <f t="shared" si="27"/>
        <v>19651.0512963</v>
      </c>
      <c r="AI20" s="3">
        <f t="shared" si="4"/>
        <v>19651.0512963</v>
      </c>
      <c r="AK20" s="3"/>
      <c r="AL20" s="3">
        <f t="shared" si="28"/>
        <v>358260.14450759999</v>
      </c>
      <c r="AM20" s="3">
        <f t="shared" si="5"/>
        <v>358260.14450759999</v>
      </c>
      <c r="AN20" s="14"/>
      <c r="AO20" s="3"/>
      <c r="AP20" s="3">
        <f t="shared" si="29"/>
        <v>47241.531142499996</v>
      </c>
      <c r="AQ20" s="3">
        <f t="shared" si="6"/>
        <v>47241.531142499996</v>
      </c>
      <c r="AR20" s="14"/>
      <c r="AS20" s="14"/>
      <c r="AT20" s="14">
        <f t="shared" si="30"/>
        <v>14012.901578999999</v>
      </c>
      <c r="AU20" s="14">
        <f t="shared" si="7"/>
        <v>14012.901578999999</v>
      </c>
      <c r="AV20" s="14"/>
      <c r="AW20" s="14"/>
      <c r="AX20" s="14">
        <f t="shared" si="31"/>
        <v>6162.6596024999999</v>
      </c>
      <c r="AY20" s="14">
        <f t="shared" si="32"/>
        <v>6162.6596024999999</v>
      </c>
      <c r="AZ20" s="14"/>
      <c r="BA20" s="14"/>
      <c r="BB20" s="14">
        <f t="shared" si="33"/>
        <v>54007.774971300001</v>
      </c>
      <c r="BC20" s="14">
        <f t="shared" si="8"/>
        <v>54007.774971300001</v>
      </c>
      <c r="BD20" s="14"/>
      <c r="BE20" s="14"/>
      <c r="BF20" s="14">
        <f t="shared" si="34"/>
        <v>4182.4855890000008</v>
      </c>
      <c r="BG20" s="14">
        <f t="shared" si="9"/>
        <v>4182.4855890000008</v>
      </c>
      <c r="BH20" s="14"/>
      <c r="BI20" s="14"/>
      <c r="BJ20" s="14">
        <f t="shared" si="35"/>
        <v>180129.02818559998</v>
      </c>
      <c r="BK20" s="14">
        <f t="shared" si="10"/>
        <v>180129.02818559998</v>
      </c>
      <c r="BL20" s="14"/>
      <c r="BM20" s="14"/>
      <c r="BN20" s="14">
        <f t="shared" si="36"/>
        <v>7649.8208477999988</v>
      </c>
      <c r="BO20" s="14">
        <f t="shared" si="11"/>
        <v>7649.8208477999988</v>
      </c>
      <c r="BP20" s="14"/>
      <c r="BQ20" s="14"/>
      <c r="BR20" s="14">
        <f t="shared" si="37"/>
        <v>21.053336100000003</v>
      </c>
      <c r="BS20" s="14">
        <f t="shared" si="38"/>
        <v>21.053336100000003</v>
      </c>
      <c r="BT20" s="14"/>
      <c r="BU20" s="14"/>
      <c r="BV20" s="14">
        <f t="shared" si="39"/>
        <v>5312.9005406999995</v>
      </c>
      <c r="BW20" s="14">
        <f t="shared" si="12"/>
        <v>5312.9005406999995</v>
      </c>
      <c r="BX20" s="14"/>
      <c r="BY20" s="14"/>
      <c r="BZ20" s="14">
        <f t="shared" si="40"/>
        <v>13574.097006899998</v>
      </c>
      <c r="CA20" s="14">
        <f t="shared" si="13"/>
        <v>13574.097006899998</v>
      </c>
      <c r="CB20" s="14"/>
      <c r="CC20" s="14"/>
      <c r="CD20" s="14">
        <f t="shared" si="41"/>
        <v>22942.1684742</v>
      </c>
      <c r="CE20" s="14">
        <f t="shared" si="14"/>
        <v>22942.1684742</v>
      </c>
      <c r="CF20" s="14"/>
      <c r="CG20" s="14"/>
      <c r="CH20" s="14">
        <f t="shared" si="42"/>
        <v>188724.42564060003</v>
      </c>
      <c r="CI20" s="14">
        <f t="shared" si="15"/>
        <v>188724.42564060003</v>
      </c>
      <c r="CJ20" s="14"/>
      <c r="CK20" s="14"/>
      <c r="CL20" s="14">
        <f t="shared" si="43"/>
        <v>3543.4256624999998</v>
      </c>
      <c r="CM20" s="14">
        <f t="shared" si="16"/>
        <v>3543.4256624999998</v>
      </c>
      <c r="CN20" s="14"/>
      <c r="CO20" s="14"/>
      <c r="CP20" s="14">
        <f t="shared" si="44"/>
        <v>16887.096392400003</v>
      </c>
      <c r="CQ20" s="14">
        <f t="shared" si="17"/>
        <v>16887.096392400003</v>
      </c>
      <c r="CR20" s="14"/>
      <c r="CS20" s="14"/>
      <c r="CT20" s="14">
        <f t="shared" si="45"/>
        <v>30408.311397599999</v>
      </c>
      <c r="CU20" s="14">
        <f t="shared" si="46"/>
        <v>30408.311397599999</v>
      </c>
      <c r="CV20" s="14"/>
      <c r="CW20" s="14"/>
      <c r="CX20" s="14">
        <f t="shared" si="47"/>
        <v>30367.1993712</v>
      </c>
      <c r="CY20" s="14">
        <f t="shared" si="18"/>
        <v>30367.1993712</v>
      </c>
      <c r="CZ20" s="14"/>
      <c r="DA20" s="14"/>
      <c r="DB20" s="14"/>
      <c r="DC20" s="14"/>
      <c r="DE20" s="14"/>
      <c r="DF20" s="14"/>
      <c r="DG20" s="14"/>
    </row>
    <row r="21" spans="1:112" x14ac:dyDescent="0.2">
      <c r="A21" s="12">
        <v>42095</v>
      </c>
      <c r="C21" s="15">
        <v>3700000</v>
      </c>
      <c r="D21" s="15">
        <v>1657743</v>
      </c>
      <c r="I21" s="15">
        <f t="shared" si="21"/>
        <v>3700000</v>
      </c>
      <c r="J21" s="15">
        <f t="shared" si="19"/>
        <v>1657743</v>
      </c>
      <c r="K21" s="15">
        <f t="shared" si="1"/>
        <v>5357743</v>
      </c>
      <c r="M21" s="14">
        <v>374879</v>
      </c>
      <c r="N21" s="14">
        <v>167960</v>
      </c>
      <c r="O21" s="14">
        <f t="shared" si="23"/>
        <v>542839</v>
      </c>
      <c r="Q21" s="14">
        <f t="shared" si="22"/>
        <v>3325121.18</v>
      </c>
      <c r="R21" s="15">
        <f t="shared" si="20"/>
        <v>1489782.8000802002</v>
      </c>
      <c r="S21" s="14">
        <f t="shared" si="0"/>
        <v>4814903.9800802004</v>
      </c>
      <c r="U21" s="3">
        <f t="shared" si="48"/>
        <v>926309.06</v>
      </c>
      <c r="V21" s="3">
        <f t="shared" si="24"/>
        <v>415022.25947339996</v>
      </c>
      <c r="W21" s="3">
        <f t="shared" si="2"/>
        <v>1341331.3194734</v>
      </c>
      <c r="Y21" s="3">
        <f t="shared" si="49"/>
        <v>71469.2</v>
      </c>
      <c r="Z21" s="3">
        <f t="shared" si="25"/>
        <v>32020.963788000001</v>
      </c>
      <c r="AA21" s="3">
        <f t="shared" si="3"/>
        <v>103490.16378800001</v>
      </c>
      <c r="AC21" s="14">
        <f t="shared" si="50"/>
        <v>88522.5</v>
      </c>
      <c r="AD21" s="14">
        <f t="shared" si="26"/>
        <v>39661.501275000002</v>
      </c>
      <c r="AE21" s="14">
        <f t="shared" si="69"/>
        <v>128184.001275</v>
      </c>
      <c r="AG21" s="3">
        <f t="shared" si="51"/>
        <v>43860.17</v>
      </c>
      <c r="AH21" s="3">
        <f t="shared" si="27"/>
        <v>19651.0512963</v>
      </c>
      <c r="AI21" s="3">
        <f t="shared" si="4"/>
        <v>63511.221296299998</v>
      </c>
      <c r="AK21" s="3">
        <f t="shared" si="52"/>
        <v>799618.84</v>
      </c>
      <c r="AL21" s="3">
        <f t="shared" si="28"/>
        <v>358260.14450759999</v>
      </c>
      <c r="AM21" s="3">
        <f t="shared" si="5"/>
        <v>1157878.9845075998</v>
      </c>
      <c r="AN21" s="14"/>
      <c r="AO21" s="3">
        <f t="shared" si="53"/>
        <v>105440.75</v>
      </c>
      <c r="AP21" s="3">
        <f t="shared" si="29"/>
        <v>47241.531142499996</v>
      </c>
      <c r="AQ21" s="3">
        <f t="shared" si="6"/>
        <v>152682.2811425</v>
      </c>
      <c r="AR21" s="14"/>
      <c r="AS21" s="14">
        <f t="shared" si="54"/>
        <v>31276.1</v>
      </c>
      <c r="AT21" s="14">
        <f t="shared" si="30"/>
        <v>14012.901578999999</v>
      </c>
      <c r="AU21" s="14">
        <f t="shared" si="7"/>
        <v>45289.001578999996</v>
      </c>
      <c r="AV21" s="14"/>
      <c r="AW21" s="14">
        <f t="shared" si="55"/>
        <v>13754.75</v>
      </c>
      <c r="AX21" s="14">
        <f t="shared" si="31"/>
        <v>6162.6596024999999</v>
      </c>
      <c r="AY21" s="14">
        <f t="shared" si="32"/>
        <v>19917.4096025</v>
      </c>
      <c r="AZ21" s="14"/>
      <c r="BA21" s="14">
        <f t="shared" si="56"/>
        <v>120542.67</v>
      </c>
      <c r="BB21" s="14">
        <f t="shared" si="33"/>
        <v>54007.774971300001</v>
      </c>
      <c r="BC21" s="14">
        <f t="shared" si="8"/>
        <v>174550.44497129999</v>
      </c>
      <c r="BD21" s="14"/>
      <c r="BE21" s="14">
        <f t="shared" si="57"/>
        <v>9335.1</v>
      </c>
      <c r="BF21" s="14">
        <f t="shared" si="34"/>
        <v>4182.4855890000008</v>
      </c>
      <c r="BG21" s="14">
        <f t="shared" si="9"/>
        <v>13517.585589000002</v>
      </c>
      <c r="BH21" s="14"/>
      <c r="BI21" s="14">
        <f t="shared" si="58"/>
        <v>402039.03999999998</v>
      </c>
      <c r="BJ21" s="14">
        <f t="shared" si="35"/>
        <v>180129.02818559998</v>
      </c>
      <c r="BK21" s="14">
        <f t="shared" si="10"/>
        <v>582168.06818559999</v>
      </c>
      <c r="BL21" s="14"/>
      <c r="BM21" s="14">
        <f t="shared" si="59"/>
        <v>17074.02</v>
      </c>
      <c r="BN21" s="14">
        <f t="shared" si="36"/>
        <v>7649.8208477999988</v>
      </c>
      <c r="BO21" s="14">
        <f t="shared" si="11"/>
        <v>24723.840847799998</v>
      </c>
      <c r="BP21" s="14"/>
      <c r="BQ21" s="14">
        <f t="shared" si="60"/>
        <v>46.99</v>
      </c>
      <c r="BR21" s="14">
        <f t="shared" si="37"/>
        <v>21.053336100000003</v>
      </c>
      <c r="BS21" s="14">
        <f t="shared" si="38"/>
        <v>68.043336100000005</v>
      </c>
      <c r="BT21" s="14"/>
      <c r="BU21" s="14">
        <f t="shared" si="61"/>
        <v>11858.13</v>
      </c>
      <c r="BV21" s="14">
        <f t="shared" si="39"/>
        <v>5312.9005406999995</v>
      </c>
      <c r="BW21" s="14">
        <f t="shared" si="12"/>
        <v>17171.030540699998</v>
      </c>
      <c r="BX21" s="14"/>
      <c r="BY21" s="14">
        <f t="shared" si="62"/>
        <v>30296.71</v>
      </c>
      <c r="BZ21" s="14">
        <f t="shared" si="40"/>
        <v>13574.097006899998</v>
      </c>
      <c r="CA21" s="14">
        <f t="shared" si="13"/>
        <v>43870.807006899995</v>
      </c>
      <c r="CB21" s="14"/>
      <c r="CC21" s="14">
        <f t="shared" si="63"/>
        <v>51205.78</v>
      </c>
      <c r="CD21" s="14">
        <f t="shared" si="41"/>
        <v>22942.1684742</v>
      </c>
      <c r="CE21" s="14">
        <f t="shared" si="14"/>
        <v>74147.948474200006</v>
      </c>
      <c r="CF21" s="14"/>
      <c r="CG21" s="14">
        <f t="shared" si="64"/>
        <v>421223.54</v>
      </c>
      <c r="CH21" s="14">
        <f t="shared" si="42"/>
        <v>188724.42564060003</v>
      </c>
      <c r="CI21" s="14">
        <f t="shared" si="15"/>
        <v>609947.96564060007</v>
      </c>
      <c r="CJ21" s="14"/>
      <c r="CK21" s="14">
        <f t="shared" si="65"/>
        <v>7908.75</v>
      </c>
      <c r="CL21" s="14">
        <f t="shared" si="43"/>
        <v>3543.4256624999998</v>
      </c>
      <c r="CM21" s="14">
        <f t="shared" si="16"/>
        <v>11452.1756625</v>
      </c>
      <c r="CN21" s="14"/>
      <c r="CO21" s="14">
        <f t="shared" si="66"/>
        <v>37691.160000000003</v>
      </c>
      <c r="CP21" s="14">
        <f t="shared" si="44"/>
        <v>16887.096392400003</v>
      </c>
      <c r="CQ21" s="14">
        <f t="shared" si="17"/>
        <v>54578.256392400006</v>
      </c>
      <c r="CR21" s="14"/>
      <c r="CS21" s="14">
        <f t="shared" si="67"/>
        <v>67869.84</v>
      </c>
      <c r="CT21" s="14">
        <f t="shared" si="45"/>
        <v>30408.311397599999</v>
      </c>
      <c r="CU21" s="14">
        <f t="shared" si="46"/>
        <v>98278.151397599999</v>
      </c>
      <c r="CV21" s="14"/>
      <c r="CW21" s="14">
        <f t="shared" si="68"/>
        <v>67778.080000000002</v>
      </c>
      <c r="CX21" s="14">
        <f t="shared" si="47"/>
        <v>30367.1993712</v>
      </c>
      <c r="CY21" s="14">
        <f t="shared" si="18"/>
        <v>98145.279371199998</v>
      </c>
      <c r="CZ21" s="14"/>
      <c r="DA21" s="14"/>
      <c r="DB21" s="14"/>
      <c r="DC21" s="14"/>
      <c r="DE21" s="14"/>
      <c r="DF21" s="14"/>
      <c r="DG21" s="14"/>
    </row>
    <row r="22" spans="1:112" x14ac:dyDescent="0.2">
      <c r="A22" s="12">
        <v>42278</v>
      </c>
      <c r="D22" s="15">
        <v>513025</v>
      </c>
      <c r="F22" s="15">
        <v>1095605</v>
      </c>
      <c r="J22" s="15">
        <f t="shared" si="19"/>
        <v>1608630</v>
      </c>
      <c r="K22" s="15">
        <f t="shared" si="1"/>
        <v>1608630</v>
      </c>
      <c r="N22" s="14">
        <v>162984</v>
      </c>
      <c r="O22" s="14">
        <f t="shared" si="23"/>
        <v>162984</v>
      </c>
      <c r="Q22" s="14"/>
      <c r="R22" s="15">
        <f t="shared" si="20"/>
        <v>1445645.8604820005</v>
      </c>
      <c r="S22" s="14">
        <f t="shared" si="0"/>
        <v>1445645.8604820005</v>
      </c>
      <c r="U22" s="3"/>
      <c r="V22" s="3">
        <f t="shared" si="24"/>
        <v>402726.63329400006</v>
      </c>
      <c r="W22" s="3">
        <f t="shared" si="2"/>
        <v>402726.63329400006</v>
      </c>
      <c r="Y22" s="3"/>
      <c r="Z22" s="3">
        <f t="shared" si="25"/>
        <v>31072.29708</v>
      </c>
      <c r="AA22" s="3">
        <f t="shared" si="3"/>
        <v>31072.29708</v>
      </c>
      <c r="AD22" s="14">
        <f t="shared" si="26"/>
        <v>38486.472750000001</v>
      </c>
      <c r="AE22" s="14">
        <f t="shared" si="69"/>
        <v>38486.472750000001</v>
      </c>
      <c r="AG22" s="3"/>
      <c r="AH22" s="3">
        <f t="shared" si="27"/>
        <v>19068.860883000001</v>
      </c>
      <c r="AI22" s="3">
        <f t="shared" si="4"/>
        <v>19068.860883000001</v>
      </c>
      <c r="AK22" s="3"/>
      <c r="AL22" s="3">
        <f t="shared" si="28"/>
        <v>347646.17691600003</v>
      </c>
      <c r="AM22" s="3">
        <f t="shared" si="5"/>
        <v>347646.17691600003</v>
      </c>
      <c r="AN22" s="14"/>
      <c r="AO22" s="3"/>
      <c r="AP22" s="3">
        <f t="shared" si="29"/>
        <v>45841.933424999996</v>
      </c>
      <c r="AQ22" s="3">
        <f t="shared" si="6"/>
        <v>45841.933424999996</v>
      </c>
      <c r="AR22" s="14"/>
      <c r="AS22" s="14"/>
      <c r="AT22" s="14">
        <f t="shared" si="30"/>
        <v>13597.749390000001</v>
      </c>
      <c r="AU22" s="14">
        <f t="shared" si="7"/>
        <v>13597.749390000001</v>
      </c>
      <c r="AV22" s="14"/>
      <c r="AW22" s="14"/>
      <c r="AX22" s="14">
        <f t="shared" si="31"/>
        <v>5980.0820249999997</v>
      </c>
      <c r="AY22" s="14">
        <f t="shared" si="32"/>
        <v>5980.0820249999997</v>
      </c>
      <c r="AZ22" s="14"/>
      <c r="BA22" s="14"/>
      <c r="BB22" s="14">
        <f t="shared" si="33"/>
        <v>52407.717633</v>
      </c>
      <c r="BC22" s="14">
        <f t="shared" si="8"/>
        <v>52407.717633</v>
      </c>
      <c r="BD22" s="14"/>
      <c r="BE22" s="14"/>
      <c r="BF22" s="14">
        <f t="shared" si="34"/>
        <v>4058.5734900000007</v>
      </c>
      <c r="BG22" s="14">
        <f t="shared" si="9"/>
        <v>4058.5734900000007</v>
      </c>
      <c r="BH22" s="14"/>
      <c r="BI22" s="14"/>
      <c r="BJ22" s="14">
        <f t="shared" si="35"/>
        <v>174792.44889599999</v>
      </c>
      <c r="BK22" s="14">
        <f t="shared" si="10"/>
        <v>174792.44889599999</v>
      </c>
      <c r="BL22" s="14"/>
      <c r="BM22" s="14"/>
      <c r="BN22" s="14">
        <f t="shared" si="36"/>
        <v>7423.1839980000004</v>
      </c>
      <c r="BO22" s="14">
        <f t="shared" si="11"/>
        <v>7423.1839980000004</v>
      </c>
      <c r="BP22" s="14"/>
      <c r="BQ22" s="14"/>
      <c r="BR22" s="14">
        <f t="shared" si="37"/>
        <v>20.429601000000002</v>
      </c>
      <c r="BS22" s="14">
        <f t="shared" si="38"/>
        <v>20.429601000000002</v>
      </c>
      <c r="BT22" s="14"/>
      <c r="BU22" s="14"/>
      <c r="BV22" s="14">
        <f t="shared" si="39"/>
        <v>5155.4982870000003</v>
      </c>
      <c r="BW22" s="14">
        <f t="shared" si="12"/>
        <v>5155.4982870000003</v>
      </c>
      <c r="BX22" s="14"/>
      <c r="BY22" s="14"/>
      <c r="BZ22" s="14">
        <f t="shared" si="40"/>
        <v>13171.945029</v>
      </c>
      <c r="CA22" s="14">
        <f t="shared" si="13"/>
        <v>13171.945029</v>
      </c>
      <c r="CB22" s="14"/>
      <c r="CC22" s="14"/>
      <c r="CD22" s="14">
        <f t="shared" si="41"/>
        <v>22262.474021999999</v>
      </c>
      <c r="CE22" s="14">
        <f t="shared" si="14"/>
        <v>22262.474021999999</v>
      </c>
      <c r="CF22" s="14"/>
      <c r="CG22" s="14"/>
      <c r="CH22" s="14">
        <f t="shared" si="42"/>
        <v>183133.19544600003</v>
      </c>
      <c r="CI22" s="14">
        <f t="shared" si="15"/>
        <v>183133.19544600003</v>
      </c>
      <c r="CJ22" s="14"/>
      <c r="CK22" s="14"/>
      <c r="CL22" s="14">
        <f t="shared" si="43"/>
        <v>3438.4466249999996</v>
      </c>
      <c r="CM22" s="14">
        <f t="shared" si="16"/>
        <v>3438.4466249999996</v>
      </c>
      <c r="CN22" s="14"/>
      <c r="CO22" s="14"/>
      <c r="CP22" s="14">
        <f t="shared" si="44"/>
        <v>16386.792084000001</v>
      </c>
      <c r="CQ22" s="14">
        <f t="shared" si="17"/>
        <v>16386.792084000001</v>
      </c>
      <c r="CR22" s="14"/>
      <c r="CS22" s="14"/>
      <c r="CT22" s="14">
        <f t="shared" si="45"/>
        <v>29507.421815999998</v>
      </c>
      <c r="CU22" s="14">
        <f t="shared" si="46"/>
        <v>29507.421815999998</v>
      </c>
      <c r="CV22" s="14"/>
      <c r="CW22" s="14"/>
      <c r="CX22" s="14">
        <f t="shared" si="47"/>
        <v>29467.527791999997</v>
      </c>
      <c r="CY22" s="14">
        <f t="shared" si="18"/>
        <v>29467.527791999997</v>
      </c>
      <c r="CZ22" s="14"/>
      <c r="DA22" s="14"/>
      <c r="DB22" s="14"/>
      <c r="DC22" s="14"/>
      <c r="DE22" s="14"/>
      <c r="DF22" s="14"/>
      <c r="DG22" s="14"/>
    </row>
    <row r="23" spans="1:112" x14ac:dyDescent="0.2">
      <c r="A23" s="12">
        <v>42461</v>
      </c>
      <c r="C23" s="38">
        <v>3885000</v>
      </c>
      <c r="D23" s="38">
        <v>513025</v>
      </c>
      <c r="E23" s="38"/>
      <c r="F23" s="38">
        <v>952700</v>
      </c>
      <c r="G23" s="38"/>
      <c r="H23" s="38"/>
      <c r="I23" s="38">
        <f t="shared" si="21"/>
        <v>3885000</v>
      </c>
      <c r="J23" s="38">
        <f t="shared" si="19"/>
        <v>1465725</v>
      </c>
      <c r="K23" s="38">
        <f t="shared" si="1"/>
        <v>5350725</v>
      </c>
      <c r="M23" s="36">
        <v>393623</v>
      </c>
      <c r="N23" s="36">
        <v>148505</v>
      </c>
      <c r="O23" s="36">
        <f t="shared" si="23"/>
        <v>542128</v>
      </c>
      <c r="Q23" s="36">
        <f t="shared" si="22"/>
        <v>3491377.2389999996</v>
      </c>
      <c r="R23" s="38">
        <f t="shared" si="20"/>
        <v>1317219.7950150003</v>
      </c>
      <c r="S23" s="36">
        <f t="shared" si="0"/>
        <v>4808597.0340149999</v>
      </c>
      <c r="U23" s="37">
        <f t="shared" si="48"/>
        <v>972624.51299999992</v>
      </c>
      <c r="V23" s="37">
        <f t="shared" si="24"/>
        <v>366949.82350500004</v>
      </c>
      <c r="W23" s="37">
        <f t="shared" si="2"/>
        <v>1339574.336505</v>
      </c>
      <c r="Y23" s="37">
        <f t="shared" si="49"/>
        <v>75042.66</v>
      </c>
      <c r="Z23" s="37">
        <f t="shared" si="25"/>
        <v>28311.944100000001</v>
      </c>
      <c r="AA23" s="37">
        <f t="shared" si="3"/>
        <v>103354.6041</v>
      </c>
      <c r="AC23" s="36">
        <f t="shared" si="50"/>
        <v>92948.625</v>
      </c>
      <c r="AD23" s="36">
        <f t="shared" si="26"/>
        <v>35067.470625000002</v>
      </c>
      <c r="AE23" s="36">
        <f t="shared" si="69"/>
        <v>128016.095625</v>
      </c>
      <c r="AG23" s="37">
        <f t="shared" si="51"/>
        <v>46053.178500000009</v>
      </c>
      <c r="AH23" s="37">
        <f t="shared" si="27"/>
        <v>17374.850722500003</v>
      </c>
      <c r="AI23" s="37">
        <f t="shared" si="4"/>
        <v>63428.029222500016</v>
      </c>
      <c r="AK23" s="37">
        <f t="shared" si="52"/>
        <v>839599.78200000001</v>
      </c>
      <c r="AL23" s="37">
        <f t="shared" si="28"/>
        <v>316762.52006999997</v>
      </c>
      <c r="AM23" s="37">
        <f t="shared" si="5"/>
        <v>1156362.30207</v>
      </c>
      <c r="AN23" s="14"/>
      <c r="AO23" s="37">
        <f t="shared" si="53"/>
        <v>110712.78750000001</v>
      </c>
      <c r="AP23" s="37">
        <f t="shared" si="29"/>
        <v>41769.498187499994</v>
      </c>
      <c r="AQ23" s="37">
        <f t="shared" si="6"/>
        <v>152482.2856875</v>
      </c>
      <c r="AR23" s="14"/>
      <c r="AS23" s="36">
        <f t="shared" si="54"/>
        <v>32839.904999999999</v>
      </c>
      <c r="AT23" s="36">
        <f t="shared" si="30"/>
        <v>12389.773424999999</v>
      </c>
      <c r="AU23" s="36">
        <f t="shared" si="7"/>
        <v>45229.678424999998</v>
      </c>
      <c r="AV23" s="14"/>
      <c r="AW23" s="36">
        <f t="shared" si="55"/>
        <v>14442.487499999999</v>
      </c>
      <c r="AX23" s="36">
        <f t="shared" si="31"/>
        <v>5448.8326875000002</v>
      </c>
      <c r="AY23" s="36">
        <f t="shared" si="32"/>
        <v>19891.320187500001</v>
      </c>
      <c r="AZ23" s="14"/>
      <c r="BA23" s="36">
        <f t="shared" si="56"/>
        <v>126569.80349999999</v>
      </c>
      <c r="BB23" s="36">
        <f t="shared" si="33"/>
        <v>47752.001347500001</v>
      </c>
      <c r="BC23" s="36">
        <f t="shared" si="8"/>
        <v>174321.8048475</v>
      </c>
      <c r="BD23" s="14"/>
      <c r="BE23" s="36">
        <f t="shared" si="57"/>
        <v>9801.8550000000014</v>
      </c>
      <c r="BF23" s="36">
        <f t="shared" si="34"/>
        <v>3698.0241750000005</v>
      </c>
      <c r="BG23" s="36">
        <f t="shared" si="9"/>
        <v>13499.879175000002</v>
      </c>
      <c r="BH23" s="14"/>
      <c r="BI23" s="36">
        <f t="shared" si="58"/>
        <v>422140.99199999997</v>
      </c>
      <c r="BJ23" s="36">
        <f t="shared" si="35"/>
        <v>159264.50592</v>
      </c>
      <c r="BK23" s="36">
        <f t="shared" si="10"/>
        <v>581405.49791999999</v>
      </c>
      <c r="BL23" s="14"/>
      <c r="BM23" s="36">
        <f t="shared" si="59"/>
        <v>17927.720999999998</v>
      </c>
      <c r="BN23" s="36">
        <f t="shared" si="36"/>
        <v>6763.7345849999992</v>
      </c>
      <c r="BO23" s="36">
        <f t="shared" si="11"/>
        <v>24691.455584999996</v>
      </c>
      <c r="BP23" s="14"/>
      <c r="BQ23" s="36">
        <f t="shared" si="60"/>
        <v>49.339500000000008</v>
      </c>
      <c r="BR23" s="36">
        <f t="shared" si="37"/>
        <v>18.614707500000002</v>
      </c>
      <c r="BS23" s="36">
        <f t="shared" si="38"/>
        <v>67.95420750000001</v>
      </c>
      <c r="BT23" s="14"/>
      <c r="BU23" s="36">
        <f t="shared" si="61"/>
        <v>12451.036499999998</v>
      </c>
      <c r="BV23" s="36">
        <f t="shared" si="39"/>
        <v>4697.5020525</v>
      </c>
      <c r="BW23" s="36">
        <f t="shared" si="12"/>
        <v>17148.538552499998</v>
      </c>
      <c r="BX23" s="14"/>
      <c r="BY23" s="36">
        <f t="shared" si="62"/>
        <v>31811.545499999997</v>
      </c>
      <c r="BZ23" s="36">
        <f t="shared" si="40"/>
        <v>12001.796017499999</v>
      </c>
      <c r="CA23" s="36">
        <f t="shared" si="13"/>
        <v>43813.341517499997</v>
      </c>
      <c r="CB23" s="14"/>
      <c r="CC23" s="36">
        <f t="shared" si="63"/>
        <v>53766.068999999996</v>
      </c>
      <c r="CD23" s="36">
        <f t="shared" si="41"/>
        <v>20284.754564999999</v>
      </c>
      <c r="CE23" s="36">
        <f t="shared" si="14"/>
        <v>74050.823564999999</v>
      </c>
      <c r="CF23" s="14"/>
      <c r="CG23" s="36">
        <f t="shared" si="64"/>
        <v>442284.717</v>
      </c>
      <c r="CH23" s="36">
        <f t="shared" si="42"/>
        <v>166864.290045</v>
      </c>
      <c r="CI23" s="36">
        <f t="shared" si="15"/>
        <v>609149.00704499998</v>
      </c>
      <c r="CJ23" s="14"/>
      <c r="CK23" s="36">
        <f t="shared" si="65"/>
        <v>8304.1875</v>
      </c>
      <c r="CL23" s="36">
        <f t="shared" si="43"/>
        <v>3132.9871874999999</v>
      </c>
      <c r="CM23" s="36">
        <f t="shared" si="16"/>
        <v>11437.174687499999</v>
      </c>
      <c r="CN23" s="14"/>
      <c r="CO23" s="36">
        <f t="shared" si="66"/>
        <v>39575.718000000001</v>
      </c>
      <c r="CP23" s="36">
        <f t="shared" si="44"/>
        <v>14931.047430000001</v>
      </c>
      <c r="CQ23" s="36">
        <f t="shared" si="17"/>
        <v>54506.765429999999</v>
      </c>
      <c r="CR23" s="14"/>
      <c r="CS23" s="36">
        <f t="shared" si="67"/>
        <v>71263.331999999995</v>
      </c>
      <c r="CT23" s="36">
        <f t="shared" si="45"/>
        <v>26886.08682</v>
      </c>
      <c r="CU23" s="36">
        <f t="shared" si="46"/>
        <v>98149.418819999992</v>
      </c>
      <c r="CV23" s="14"/>
      <c r="CW23" s="36">
        <f t="shared" si="68"/>
        <v>71166.983999999997</v>
      </c>
      <c r="CX23" s="36">
        <f t="shared" si="47"/>
        <v>26849.736839999998</v>
      </c>
      <c r="CY23" s="36">
        <f t="shared" si="18"/>
        <v>98016.720839999994</v>
      </c>
      <c r="CZ23" s="14"/>
      <c r="DA23" s="36"/>
      <c r="DB23" s="36"/>
      <c r="DC23" s="36"/>
      <c r="DE23" s="36"/>
      <c r="DF23" s="36"/>
      <c r="DG23" s="36"/>
    </row>
    <row r="24" spans="1:112" x14ac:dyDescent="0.2">
      <c r="A24" s="43">
        <v>42644</v>
      </c>
      <c r="D24" s="15">
        <v>321500</v>
      </c>
      <c r="F24" s="15">
        <v>952700</v>
      </c>
      <c r="H24" s="15">
        <v>134884</v>
      </c>
      <c r="J24" s="15">
        <f t="shared" si="19"/>
        <v>1409084</v>
      </c>
      <c r="K24" s="15">
        <f t="shared" si="1"/>
        <v>1409084</v>
      </c>
      <c r="N24" s="14">
        <v>142766</v>
      </c>
      <c r="O24" s="14">
        <f t="shared" si="23"/>
        <v>142766</v>
      </c>
      <c r="Q24" s="14"/>
      <c r="R24" s="15">
        <f t="shared" si="20"/>
        <v>1266322</v>
      </c>
      <c r="S24" s="14">
        <f t="shared" si="0"/>
        <v>1266322</v>
      </c>
      <c r="U24" s="3"/>
      <c r="V24" s="3">
        <v>342634</v>
      </c>
      <c r="W24" s="3">
        <f t="shared" si="2"/>
        <v>342634</v>
      </c>
      <c r="Y24" s="3"/>
      <c r="Z24" s="3">
        <v>26436</v>
      </c>
      <c r="AA24" s="3">
        <f t="shared" si="3"/>
        <v>26436</v>
      </c>
      <c r="AD24" s="14">
        <v>32744</v>
      </c>
      <c r="AE24" s="14">
        <f t="shared" si="69"/>
        <v>32744</v>
      </c>
      <c r="AG24" s="3"/>
      <c r="AH24" s="3">
        <v>16224</v>
      </c>
      <c r="AI24" s="3">
        <f t="shared" si="4"/>
        <v>16224</v>
      </c>
      <c r="AK24" s="3"/>
      <c r="AL24" s="3">
        <v>295773</v>
      </c>
      <c r="AM24" s="3">
        <f t="shared" si="5"/>
        <v>295773</v>
      </c>
      <c r="AN24" s="14"/>
      <c r="AO24" s="3"/>
      <c r="AP24" s="3">
        <v>39002</v>
      </c>
      <c r="AQ24" s="3">
        <f t="shared" si="6"/>
        <v>39002</v>
      </c>
      <c r="AR24" s="14"/>
      <c r="AS24" s="14"/>
      <c r="AT24" s="14">
        <v>11569</v>
      </c>
      <c r="AU24" s="14">
        <f t="shared" si="7"/>
        <v>11569</v>
      </c>
      <c r="AV24" s="14"/>
      <c r="AW24" s="14"/>
      <c r="AX24" s="14">
        <v>5088</v>
      </c>
      <c r="AY24" s="14">
        <f t="shared" si="32"/>
        <v>5088</v>
      </c>
      <c r="AZ24" s="14"/>
      <c r="BA24" s="14"/>
      <c r="BB24" s="14">
        <v>44588</v>
      </c>
      <c r="BC24" s="14">
        <f t="shared" si="8"/>
        <v>44588</v>
      </c>
      <c r="BD24" s="14"/>
      <c r="BE24" s="14"/>
      <c r="BF24" s="14">
        <v>3453</v>
      </c>
      <c r="BG24" s="14">
        <f t="shared" si="9"/>
        <v>3453</v>
      </c>
      <c r="BH24" s="14"/>
      <c r="BI24" s="14"/>
      <c r="BJ24" s="14">
        <v>148711</v>
      </c>
      <c r="BK24" s="14">
        <f t="shared" si="10"/>
        <v>148711</v>
      </c>
      <c r="BL24" s="14"/>
      <c r="BM24" s="14"/>
      <c r="BN24" s="14">
        <v>6316</v>
      </c>
      <c r="BO24" s="14">
        <f t="shared" si="11"/>
        <v>6316</v>
      </c>
      <c r="BP24" s="14"/>
      <c r="BQ24" s="14"/>
      <c r="BR24" s="14">
        <v>17</v>
      </c>
      <c r="BS24" s="14">
        <f t="shared" si="38"/>
        <v>17</v>
      </c>
      <c r="BT24" s="14"/>
      <c r="BU24" s="14"/>
      <c r="BV24" s="14">
        <v>4386</v>
      </c>
      <c r="BW24" s="14">
        <f t="shared" si="12"/>
        <v>4386</v>
      </c>
      <c r="BX24" s="14"/>
      <c r="BY24" s="14"/>
      <c r="BZ24" s="14">
        <v>11207</v>
      </c>
      <c r="CA24" s="14">
        <f t="shared" si="13"/>
        <v>11207</v>
      </c>
      <c r="CB24" s="14"/>
      <c r="CC24" s="14"/>
      <c r="CD24" s="14">
        <v>18941</v>
      </c>
      <c r="CE24" s="14">
        <f t="shared" si="14"/>
        <v>18941</v>
      </c>
      <c r="CF24" s="14"/>
      <c r="CG24" s="14"/>
      <c r="CH24" s="14">
        <v>155807</v>
      </c>
      <c r="CI24" s="14">
        <f t="shared" si="15"/>
        <v>155807</v>
      </c>
      <c r="CJ24" s="14"/>
      <c r="CK24" s="14"/>
      <c r="CL24" s="14">
        <v>2925</v>
      </c>
      <c r="CM24" s="14">
        <f t="shared" si="16"/>
        <v>2925</v>
      </c>
      <c r="CN24" s="14"/>
      <c r="CO24" s="14"/>
      <c r="CP24" s="14">
        <v>13942</v>
      </c>
      <c r="CQ24" s="14">
        <f t="shared" si="17"/>
        <v>13942</v>
      </c>
      <c r="CR24" s="14"/>
      <c r="CS24" s="14"/>
      <c r="CT24" s="14">
        <v>25105</v>
      </c>
      <c r="CU24" s="14">
        <f t="shared" si="46"/>
        <v>25105</v>
      </c>
      <c r="CV24" s="14"/>
      <c r="CW24" s="14"/>
      <c r="CX24" s="14">
        <v>25071</v>
      </c>
      <c r="CY24" s="14">
        <f t="shared" si="18"/>
        <v>25071</v>
      </c>
      <c r="CZ24" s="14"/>
      <c r="DA24" s="14"/>
      <c r="DB24" s="14">
        <f>1266318-1229935</f>
        <v>36383</v>
      </c>
      <c r="DC24" s="14">
        <f>DA24+DB24</f>
        <v>36383</v>
      </c>
      <c r="DE24" s="14"/>
      <c r="DF24" s="14">
        <f>142766-138665</f>
        <v>4101</v>
      </c>
      <c r="DG24" s="14">
        <f>DE24+DF24</f>
        <v>4101</v>
      </c>
    </row>
    <row r="25" spans="1:112" x14ac:dyDescent="0.2">
      <c r="A25" s="43">
        <v>42826</v>
      </c>
      <c r="C25" s="15">
        <v>4080000</v>
      </c>
      <c r="D25" s="15">
        <v>321500</v>
      </c>
      <c r="F25" s="15">
        <v>952700</v>
      </c>
      <c r="H25" s="15">
        <v>108875</v>
      </c>
      <c r="I25" s="15">
        <f t="shared" si="21"/>
        <v>4080000</v>
      </c>
      <c r="J25" s="15">
        <f t="shared" si="19"/>
        <v>1383075</v>
      </c>
      <c r="K25" s="15">
        <f t="shared" si="1"/>
        <v>5463075</v>
      </c>
      <c r="M25" s="14">
        <v>413380</v>
      </c>
      <c r="N25" s="14">
        <v>140131</v>
      </c>
      <c r="O25" s="14">
        <f t="shared" si="23"/>
        <v>553511</v>
      </c>
      <c r="Q25" s="14">
        <f t="shared" si="22"/>
        <v>3666620.1119999997</v>
      </c>
      <c r="R25" s="15">
        <f t="shared" si="20"/>
        <v>1242948</v>
      </c>
      <c r="S25" s="14">
        <f t="shared" si="0"/>
        <v>4909568.1119999997</v>
      </c>
      <c r="U25" s="3">
        <f t="shared" si="48"/>
        <v>1021443.5040000001</v>
      </c>
      <c r="V25" s="3">
        <v>342634</v>
      </c>
      <c r="W25" s="3">
        <f t="shared" si="2"/>
        <v>1364077.5040000002</v>
      </c>
      <c r="Y25" s="3">
        <f t="shared" si="49"/>
        <v>78809.279999999999</v>
      </c>
      <c r="Z25" s="3">
        <v>26436</v>
      </c>
      <c r="AA25" s="3">
        <f t="shared" si="3"/>
        <v>105245.28</v>
      </c>
      <c r="AC25" s="14">
        <f t="shared" si="50"/>
        <v>97614</v>
      </c>
      <c r="AD25" s="14">
        <v>32744</v>
      </c>
      <c r="AE25" s="14">
        <f t="shared" si="69"/>
        <v>130358</v>
      </c>
      <c r="AG25" s="3">
        <f t="shared" si="51"/>
        <v>48364.72800000001</v>
      </c>
      <c r="AH25" s="3">
        <v>16224</v>
      </c>
      <c r="AI25" s="3">
        <f t="shared" si="4"/>
        <v>64588.72800000001</v>
      </c>
      <c r="AK25" s="3">
        <f t="shared" si="52"/>
        <v>881741.85599999991</v>
      </c>
      <c r="AL25" s="3">
        <v>295773</v>
      </c>
      <c r="AM25" s="3">
        <f t="shared" si="5"/>
        <v>1177514.8559999999</v>
      </c>
      <c r="AN25" s="14"/>
      <c r="AO25" s="3">
        <f t="shared" si="53"/>
        <v>116269.8</v>
      </c>
      <c r="AP25" s="3">
        <v>39002</v>
      </c>
      <c r="AQ25" s="3">
        <f t="shared" si="6"/>
        <v>155271.79999999999</v>
      </c>
      <c r="AR25" s="14"/>
      <c r="AS25" s="14">
        <f t="shared" si="54"/>
        <v>34488.239999999998</v>
      </c>
      <c r="AT25" s="14">
        <v>11569</v>
      </c>
      <c r="AU25" s="14">
        <f t="shared" si="7"/>
        <v>46057.24</v>
      </c>
      <c r="AV25" s="14"/>
      <c r="AW25" s="14">
        <f t="shared" si="55"/>
        <v>15167.4</v>
      </c>
      <c r="AX25" s="14">
        <v>5088</v>
      </c>
      <c r="AY25" s="14">
        <f t="shared" si="32"/>
        <v>20255.400000000001</v>
      </c>
      <c r="AZ25" s="14"/>
      <c r="BA25" s="14">
        <f t="shared" si="56"/>
        <v>132922.728</v>
      </c>
      <c r="BB25" s="14">
        <v>44588</v>
      </c>
      <c r="BC25" s="14">
        <f t="shared" si="8"/>
        <v>177510.728</v>
      </c>
      <c r="BD25" s="14"/>
      <c r="BE25" s="14">
        <f t="shared" si="57"/>
        <v>10293.840000000002</v>
      </c>
      <c r="BF25" s="14">
        <v>3453</v>
      </c>
      <c r="BG25" s="14">
        <f t="shared" si="9"/>
        <v>13746.840000000002</v>
      </c>
      <c r="BH25" s="14"/>
      <c r="BI25" s="14">
        <f t="shared" si="58"/>
        <v>443329.53599999996</v>
      </c>
      <c r="BJ25" s="14">
        <v>148711</v>
      </c>
      <c r="BK25" s="14">
        <f t="shared" si="10"/>
        <v>592040.53599999996</v>
      </c>
      <c r="BL25" s="14"/>
      <c r="BM25" s="14">
        <f t="shared" si="59"/>
        <v>18827.567999999999</v>
      </c>
      <c r="BN25" s="14">
        <v>6316</v>
      </c>
      <c r="BO25" s="14">
        <f t="shared" si="11"/>
        <v>25143.567999999999</v>
      </c>
      <c r="BP25" s="14"/>
      <c r="BQ25" s="14">
        <f t="shared" si="60"/>
        <v>51.816000000000003</v>
      </c>
      <c r="BR25" s="14">
        <v>17</v>
      </c>
      <c r="BS25" s="14">
        <f t="shared" si="38"/>
        <v>68.816000000000003</v>
      </c>
      <c r="BT25" s="14"/>
      <c r="BU25" s="14">
        <f t="shared" si="61"/>
        <v>13075.992</v>
      </c>
      <c r="BV25" s="14">
        <v>4386</v>
      </c>
      <c r="BW25" s="14">
        <f t="shared" si="12"/>
        <v>17461.991999999998</v>
      </c>
      <c r="BX25" s="14"/>
      <c r="BY25" s="14">
        <f t="shared" si="62"/>
        <v>33408.263999999996</v>
      </c>
      <c r="BZ25" s="14">
        <v>11207</v>
      </c>
      <c r="CA25" s="14">
        <f t="shared" si="13"/>
        <v>44615.263999999996</v>
      </c>
      <c r="CB25" s="14"/>
      <c r="CC25" s="14">
        <f t="shared" si="63"/>
        <v>56464.752</v>
      </c>
      <c r="CD25" s="14">
        <v>18941</v>
      </c>
      <c r="CE25" s="14">
        <f t="shared" si="14"/>
        <v>75405.752000000008</v>
      </c>
      <c r="CF25" s="14"/>
      <c r="CG25" s="14">
        <f t="shared" si="64"/>
        <v>464484.33600000001</v>
      </c>
      <c r="CH25" s="14">
        <v>155807</v>
      </c>
      <c r="CI25" s="14">
        <f t="shared" si="15"/>
        <v>620291.33600000001</v>
      </c>
      <c r="CJ25" s="14"/>
      <c r="CK25" s="14">
        <f t="shared" si="65"/>
        <v>8721</v>
      </c>
      <c r="CL25" s="14">
        <v>2925</v>
      </c>
      <c r="CM25" s="14">
        <f t="shared" si="16"/>
        <v>11646</v>
      </c>
      <c r="CN25" s="14"/>
      <c r="CO25" s="14">
        <f t="shared" si="66"/>
        <v>41562.144</v>
      </c>
      <c r="CP25" s="14">
        <v>13942</v>
      </c>
      <c r="CQ25" s="14">
        <f t="shared" si="17"/>
        <v>55504.144</v>
      </c>
      <c r="CR25" s="14"/>
      <c r="CS25" s="14">
        <f t="shared" si="67"/>
        <v>74840.255999999994</v>
      </c>
      <c r="CT25" s="14">
        <v>25105</v>
      </c>
      <c r="CU25" s="14">
        <f t="shared" si="46"/>
        <v>99945.255999999994</v>
      </c>
      <c r="CV25" s="14"/>
      <c r="CW25" s="14">
        <f t="shared" si="68"/>
        <v>74739.071999999986</v>
      </c>
      <c r="CX25" s="14">
        <v>25071</v>
      </c>
      <c r="CY25" s="14">
        <f t="shared" si="18"/>
        <v>99810.071999999986</v>
      </c>
      <c r="CZ25" s="14"/>
      <c r="DA25" s="14">
        <f>3666620-3666620</f>
        <v>0</v>
      </c>
      <c r="DB25" s="14">
        <f>1242944-1229935</f>
        <v>13009</v>
      </c>
      <c r="DC25" s="14">
        <f t="shared" ref="DC25:DC31" si="70">DA25+DB25</f>
        <v>13009</v>
      </c>
      <c r="DE25" s="14">
        <f>413380-413380</f>
        <v>0</v>
      </c>
      <c r="DF25" s="14">
        <f>140131-138665</f>
        <v>1466</v>
      </c>
      <c r="DG25" s="14">
        <f t="shared" ref="DG25:DG31" si="71">DE25+DF25</f>
        <v>1466</v>
      </c>
      <c r="DH25" s="14"/>
    </row>
    <row r="26" spans="1:112" x14ac:dyDescent="0.2">
      <c r="A26" s="43">
        <v>43009</v>
      </c>
      <c r="B26" s="10"/>
      <c r="D26" s="15">
        <v>219500</v>
      </c>
      <c r="F26" s="15">
        <v>952700</v>
      </c>
      <c r="H26" s="15">
        <v>108875</v>
      </c>
      <c r="J26" s="15">
        <f t="shared" si="19"/>
        <v>1281075</v>
      </c>
      <c r="K26" s="15">
        <f t="shared" si="1"/>
        <v>1281075</v>
      </c>
      <c r="N26" s="14">
        <v>129796</v>
      </c>
      <c r="O26" s="14">
        <f t="shared" si="23"/>
        <v>129796</v>
      </c>
      <c r="Q26" s="14"/>
      <c r="R26" s="15">
        <f t="shared" si="20"/>
        <v>1151278</v>
      </c>
      <c r="S26" s="14">
        <f t="shared" si="0"/>
        <v>1151278</v>
      </c>
      <c r="U26" s="3"/>
      <c r="V26" s="3">
        <v>317098</v>
      </c>
      <c r="W26" s="3">
        <f t="shared" si="2"/>
        <v>317098</v>
      </c>
      <c r="Y26" s="3"/>
      <c r="Z26" s="3">
        <v>24466</v>
      </c>
      <c r="AA26" s="3">
        <f t="shared" si="3"/>
        <v>24466</v>
      </c>
      <c r="AD26" s="14">
        <v>30303</v>
      </c>
      <c r="AE26" s="14">
        <f t="shared" si="69"/>
        <v>30303</v>
      </c>
      <c r="AG26" s="3"/>
      <c r="AH26" s="3">
        <v>15014</v>
      </c>
      <c r="AI26" s="3">
        <f t="shared" si="4"/>
        <v>15014</v>
      </c>
      <c r="AK26" s="3"/>
      <c r="AL26" s="3">
        <v>273729</v>
      </c>
      <c r="AM26" s="3">
        <f t="shared" si="5"/>
        <v>273729</v>
      </c>
      <c r="AN26" s="14"/>
      <c r="AO26" s="3"/>
      <c r="AP26" s="3">
        <v>36095</v>
      </c>
      <c r="AQ26" s="3">
        <f t="shared" si="6"/>
        <v>36095</v>
      </c>
      <c r="AR26" s="14"/>
      <c r="AS26" s="14"/>
      <c r="AT26" s="14">
        <v>10707</v>
      </c>
      <c r="AU26" s="14">
        <f t="shared" si="7"/>
        <v>10707</v>
      </c>
      <c r="AV26" s="14"/>
      <c r="AW26" s="14"/>
      <c r="AX26" s="14">
        <v>4709</v>
      </c>
      <c r="AY26" s="14">
        <f t="shared" si="32"/>
        <v>4709</v>
      </c>
      <c r="AZ26" s="14"/>
      <c r="BA26" s="14"/>
      <c r="BB26" s="14">
        <v>41265</v>
      </c>
      <c r="BC26" s="14">
        <f t="shared" si="8"/>
        <v>41265</v>
      </c>
      <c r="BD26" s="14"/>
      <c r="BE26" s="14"/>
      <c r="BF26" s="14">
        <v>3196</v>
      </c>
      <c r="BG26" s="14">
        <f t="shared" si="9"/>
        <v>3196</v>
      </c>
      <c r="BH26" s="14"/>
      <c r="BI26" s="14"/>
      <c r="BJ26" s="14">
        <v>137628</v>
      </c>
      <c r="BK26" s="14">
        <f t="shared" si="10"/>
        <v>137628</v>
      </c>
      <c r="BL26" s="14"/>
      <c r="BM26" s="14"/>
      <c r="BN26" s="14">
        <v>5845</v>
      </c>
      <c r="BO26" s="14">
        <f t="shared" si="11"/>
        <v>5845</v>
      </c>
      <c r="BP26" s="14"/>
      <c r="BQ26" s="14"/>
      <c r="BR26" s="14">
        <v>16</v>
      </c>
      <c r="BS26" s="14">
        <f t="shared" si="38"/>
        <v>16</v>
      </c>
      <c r="BT26" s="14"/>
      <c r="BU26" s="14"/>
      <c r="BV26" s="14">
        <v>4059</v>
      </c>
      <c r="BW26" s="14">
        <f t="shared" si="12"/>
        <v>4059</v>
      </c>
      <c r="BX26" s="14"/>
      <c r="BY26" s="14"/>
      <c r="BZ26" s="14">
        <v>10371</v>
      </c>
      <c r="CA26" s="14">
        <f t="shared" si="13"/>
        <v>10371</v>
      </c>
      <c r="CB26" s="14"/>
      <c r="CC26" s="14"/>
      <c r="CD26" s="14">
        <v>17529</v>
      </c>
      <c r="CE26" s="14">
        <f t="shared" si="14"/>
        <v>17529</v>
      </c>
      <c r="CF26" s="14"/>
      <c r="CG26" s="14"/>
      <c r="CH26" s="14">
        <v>144195</v>
      </c>
      <c r="CI26" s="14">
        <f t="shared" si="15"/>
        <v>144195</v>
      </c>
      <c r="CJ26" s="14"/>
      <c r="CK26" s="14"/>
      <c r="CL26" s="14">
        <v>2707</v>
      </c>
      <c r="CM26" s="14">
        <f t="shared" si="16"/>
        <v>2707</v>
      </c>
      <c r="CN26" s="14"/>
      <c r="CO26" s="14"/>
      <c r="CP26" s="14">
        <v>12903</v>
      </c>
      <c r="CQ26" s="14">
        <f t="shared" si="17"/>
        <v>12903</v>
      </c>
      <c r="CR26" s="14"/>
      <c r="CS26" s="14"/>
      <c r="CT26" s="14">
        <v>23233</v>
      </c>
      <c r="CU26" s="14">
        <f t="shared" si="46"/>
        <v>23233</v>
      </c>
      <c r="CV26" s="14"/>
      <c r="CW26" s="14"/>
      <c r="CX26" s="14">
        <v>23202</v>
      </c>
      <c r="CY26" s="14">
        <f t="shared" si="18"/>
        <v>23202</v>
      </c>
      <c r="CZ26" s="14"/>
      <c r="DA26" s="14"/>
      <c r="DB26" s="14">
        <f>1151278-1138270</f>
        <v>13008</v>
      </c>
      <c r="DC26" s="14">
        <f t="shared" si="70"/>
        <v>13008</v>
      </c>
      <c r="DE26" s="14"/>
      <c r="DF26" s="14">
        <f>129797-128330</f>
        <v>1467</v>
      </c>
      <c r="DG26" s="14">
        <f t="shared" si="71"/>
        <v>1467</v>
      </c>
    </row>
    <row r="27" spans="1:112" x14ac:dyDescent="0.2">
      <c r="A27" s="43">
        <v>43191</v>
      </c>
      <c r="C27" s="15">
        <v>4285000</v>
      </c>
      <c r="D27" s="15">
        <v>219500</v>
      </c>
      <c r="F27" s="15">
        <v>952700</v>
      </c>
      <c r="H27" s="15">
        <v>108875</v>
      </c>
      <c r="I27" s="15">
        <f t="shared" si="21"/>
        <v>4285000</v>
      </c>
      <c r="J27" s="15">
        <f t="shared" si="19"/>
        <v>1281075</v>
      </c>
      <c r="K27" s="15">
        <f t="shared" si="1"/>
        <v>5566075</v>
      </c>
      <c r="M27" s="14">
        <v>434150</v>
      </c>
      <c r="N27" s="14">
        <v>129796</v>
      </c>
      <c r="O27" s="14">
        <f t="shared" si="23"/>
        <v>563946</v>
      </c>
      <c r="Q27" s="14">
        <f t="shared" si="22"/>
        <v>3850849.7990000001</v>
      </c>
      <c r="R27" s="15">
        <f t="shared" si="20"/>
        <v>1151278</v>
      </c>
      <c r="S27" s="14">
        <f t="shared" si="0"/>
        <v>5002127.7990000006</v>
      </c>
      <c r="U27" s="3">
        <f t="shared" si="48"/>
        <v>1072766.0330000001</v>
      </c>
      <c r="V27" s="3">
        <v>317098</v>
      </c>
      <c r="W27" s="3">
        <f t="shared" si="2"/>
        <v>1389864.0330000001</v>
      </c>
      <c r="Y27" s="3">
        <f t="shared" si="49"/>
        <v>82769.06</v>
      </c>
      <c r="Z27" s="3">
        <v>24466</v>
      </c>
      <c r="AA27" s="3">
        <f t="shared" si="3"/>
        <v>107235.06</v>
      </c>
      <c r="AC27" s="14">
        <f t="shared" si="50"/>
        <v>102518.625</v>
      </c>
      <c r="AD27" s="14">
        <v>30303</v>
      </c>
      <c r="AE27" s="14">
        <f t="shared" si="69"/>
        <v>132821.625</v>
      </c>
      <c r="AG27" s="3">
        <f t="shared" si="51"/>
        <v>50794.818500000008</v>
      </c>
      <c r="AH27" s="3">
        <v>15014</v>
      </c>
      <c r="AI27" s="3">
        <f t="shared" si="4"/>
        <v>65808.818500000008</v>
      </c>
      <c r="AK27" s="3">
        <f t="shared" si="52"/>
        <v>926045.06200000003</v>
      </c>
      <c r="AL27" s="3">
        <v>273729</v>
      </c>
      <c r="AM27" s="3">
        <f t="shared" si="5"/>
        <v>1199774.0619999999</v>
      </c>
      <c r="AN27" s="14"/>
      <c r="AO27" s="3">
        <f t="shared" si="53"/>
        <v>122111.78750000001</v>
      </c>
      <c r="AP27" s="3">
        <v>36095</v>
      </c>
      <c r="AQ27" s="3">
        <f t="shared" si="6"/>
        <v>158206.78750000001</v>
      </c>
      <c r="AR27" s="14"/>
      <c r="AS27" s="14">
        <f t="shared" si="54"/>
        <v>36221.105000000003</v>
      </c>
      <c r="AT27" s="14">
        <v>10707</v>
      </c>
      <c r="AU27" s="14">
        <f t="shared" si="7"/>
        <v>46928.105000000003</v>
      </c>
      <c r="AV27" s="14"/>
      <c r="AW27" s="14">
        <f t="shared" si="55"/>
        <v>15929.487499999999</v>
      </c>
      <c r="AX27" s="14">
        <v>4709</v>
      </c>
      <c r="AY27" s="14">
        <f t="shared" si="32"/>
        <v>20638.487499999999</v>
      </c>
      <c r="AZ27" s="14"/>
      <c r="BA27" s="14">
        <f t="shared" si="56"/>
        <v>139601.44349999999</v>
      </c>
      <c r="BB27" s="14">
        <v>41265</v>
      </c>
      <c r="BC27" s="14">
        <f t="shared" si="8"/>
        <v>180866.44349999999</v>
      </c>
      <c r="BD27" s="14"/>
      <c r="BE27" s="14">
        <f t="shared" si="57"/>
        <v>10811.055</v>
      </c>
      <c r="BF27" s="14">
        <v>3196</v>
      </c>
      <c r="BG27" s="14">
        <f t="shared" si="9"/>
        <v>14007.055</v>
      </c>
      <c r="BH27" s="14"/>
      <c r="BI27" s="14">
        <f t="shared" si="58"/>
        <v>465604.67199999996</v>
      </c>
      <c r="BJ27" s="14">
        <v>137628</v>
      </c>
      <c r="BK27" s="14">
        <f t="shared" si="10"/>
        <v>603232.67200000002</v>
      </c>
      <c r="BL27" s="14"/>
      <c r="BM27" s="14">
        <f t="shared" si="59"/>
        <v>19773.560999999998</v>
      </c>
      <c r="BN27" s="14">
        <v>5845</v>
      </c>
      <c r="BO27" s="14">
        <f t="shared" si="11"/>
        <v>25618.560999999998</v>
      </c>
      <c r="BP27" s="14"/>
      <c r="BQ27" s="14">
        <f t="shared" si="60"/>
        <v>54.419500000000006</v>
      </c>
      <c r="BR27" s="14">
        <v>16</v>
      </c>
      <c r="BS27" s="14">
        <f t="shared" si="38"/>
        <v>70.419499999999999</v>
      </c>
      <c r="BT27" s="14"/>
      <c r="BU27" s="14">
        <f t="shared" si="61"/>
        <v>13732.996499999999</v>
      </c>
      <c r="BV27" s="14">
        <v>4059</v>
      </c>
      <c r="BW27" s="14">
        <f t="shared" si="12"/>
        <v>17791.996500000001</v>
      </c>
      <c r="BX27" s="14"/>
      <c r="BY27" s="14">
        <f t="shared" si="62"/>
        <v>35086.8655</v>
      </c>
      <c r="BZ27" s="14">
        <v>10371</v>
      </c>
      <c r="CA27" s="14">
        <f t="shared" si="13"/>
        <v>45457.8655</v>
      </c>
      <c r="CB27" s="14"/>
      <c r="CC27" s="14">
        <f t="shared" si="63"/>
        <v>59301.828999999998</v>
      </c>
      <c r="CD27" s="14">
        <v>17529</v>
      </c>
      <c r="CE27" s="14">
        <f t="shared" si="14"/>
        <v>76830.828999999998</v>
      </c>
      <c r="CF27" s="14"/>
      <c r="CG27" s="14">
        <f t="shared" si="64"/>
        <v>487822.39700000006</v>
      </c>
      <c r="CH27" s="14">
        <v>144195</v>
      </c>
      <c r="CI27" s="14">
        <f t="shared" si="15"/>
        <v>632017.39700000011</v>
      </c>
      <c r="CJ27" s="14"/>
      <c r="CK27" s="14">
        <f t="shared" si="65"/>
        <v>9159.1875</v>
      </c>
      <c r="CL27" s="14">
        <v>2707</v>
      </c>
      <c r="CM27" s="14">
        <f t="shared" si="16"/>
        <v>11866.1875</v>
      </c>
      <c r="CN27" s="14"/>
      <c r="CO27" s="14">
        <f t="shared" si="66"/>
        <v>43650.437999999995</v>
      </c>
      <c r="CP27" s="14">
        <v>12903</v>
      </c>
      <c r="CQ27" s="14">
        <f t="shared" si="17"/>
        <v>56553.437999999995</v>
      </c>
      <c r="CR27" s="14"/>
      <c r="CS27" s="14">
        <f t="shared" si="67"/>
        <v>78600.612000000008</v>
      </c>
      <c r="CT27" s="14">
        <v>23233</v>
      </c>
      <c r="CU27" s="14">
        <f t="shared" si="46"/>
        <v>101833.61200000001</v>
      </c>
      <c r="CV27" s="14"/>
      <c r="CW27" s="14">
        <f t="shared" si="68"/>
        <v>78494.343999999997</v>
      </c>
      <c r="CX27" s="14">
        <v>23202</v>
      </c>
      <c r="CY27" s="14">
        <f t="shared" si="18"/>
        <v>101696.344</v>
      </c>
      <c r="CZ27" s="14"/>
      <c r="DA27" s="14">
        <f>3850850-3850850</f>
        <v>0</v>
      </c>
      <c r="DB27" s="14">
        <f>1151278-1138270</f>
        <v>13008</v>
      </c>
      <c r="DC27" s="14">
        <f t="shared" si="70"/>
        <v>13008</v>
      </c>
      <c r="DE27" s="14">
        <f>434150-434150</f>
        <v>0</v>
      </c>
      <c r="DF27" s="14">
        <f>129797-128330</f>
        <v>1467</v>
      </c>
      <c r="DG27" s="14">
        <f t="shared" si="71"/>
        <v>1467</v>
      </c>
      <c r="DH27" s="14"/>
    </row>
    <row r="28" spans="1:112" x14ac:dyDescent="0.2">
      <c r="A28" s="43">
        <v>43374</v>
      </c>
      <c r="D28" s="15">
        <v>112375</v>
      </c>
      <c r="F28" s="15">
        <v>952700</v>
      </c>
      <c r="H28" s="15">
        <v>108875</v>
      </c>
      <c r="J28" s="15">
        <f t="shared" si="19"/>
        <v>1173950</v>
      </c>
      <c r="K28" s="15">
        <f t="shared" si="1"/>
        <v>1173950</v>
      </c>
      <c r="N28" s="14">
        <v>118942</v>
      </c>
      <c r="O28" s="14">
        <f t="shared" si="23"/>
        <v>118942</v>
      </c>
      <c r="Q28" s="14"/>
      <c r="R28" s="15">
        <f t="shared" si="20"/>
        <v>1055006</v>
      </c>
      <c r="S28" s="14">
        <f t="shared" si="0"/>
        <v>1055006</v>
      </c>
      <c r="U28" s="3"/>
      <c r="V28" s="3">
        <v>290279</v>
      </c>
      <c r="W28" s="3">
        <f t="shared" si="2"/>
        <v>290279</v>
      </c>
      <c r="Y28" s="3"/>
      <c r="Z28" s="3">
        <v>22396</v>
      </c>
      <c r="AA28" s="3">
        <f t="shared" si="3"/>
        <v>22396</v>
      </c>
      <c r="AD28" s="14">
        <v>27740</v>
      </c>
      <c r="AE28" s="14">
        <f t="shared" si="69"/>
        <v>27740</v>
      </c>
      <c r="AG28" s="3"/>
      <c r="AH28" s="3">
        <v>13745</v>
      </c>
      <c r="AI28" s="3">
        <f t="shared" si="4"/>
        <v>13745</v>
      </c>
      <c r="AK28" s="3"/>
      <c r="AL28" s="3">
        <v>250578</v>
      </c>
      <c r="AM28" s="3">
        <f t="shared" si="5"/>
        <v>250578</v>
      </c>
      <c r="AN28" s="14"/>
      <c r="AO28" s="3"/>
      <c r="AP28" s="3">
        <v>33042</v>
      </c>
      <c r="AQ28" s="3">
        <f t="shared" si="6"/>
        <v>33042</v>
      </c>
      <c r="AR28" s="14"/>
      <c r="AS28" s="14"/>
      <c r="AT28" s="14">
        <v>9801</v>
      </c>
      <c r="AU28" s="14">
        <f t="shared" si="7"/>
        <v>9801</v>
      </c>
      <c r="AV28" s="14"/>
      <c r="AW28" s="14"/>
      <c r="AX28" s="14">
        <v>4310</v>
      </c>
      <c r="AY28" s="14">
        <f t="shared" si="32"/>
        <v>4310</v>
      </c>
      <c r="AZ28" s="14"/>
      <c r="BA28" s="14"/>
      <c r="BB28" s="14">
        <v>37775</v>
      </c>
      <c r="BC28" s="14">
        <f t="shared" si="8"/>
        <v>37775</v>
      </c>
      <c r="BD28" s="14"/>
      <c r="BE28" s="14"/>
      <c r="BF28" s="14">
        <v>2925</v>
      </c>
      <c r="BG28" s="14">
        <f t="shared" si="9"/>
        <v>2925</v>
      </c>
      <c r="BH28" s="14"/>
      <c r="BI28" s="14"/>
      <c r="BJ28" s="14">
        <v>125988</v>
      </c>
      <c r="BK28" s="14">
        <f t="shared" si="10"/>
        <v>125988</v>
      </c>
      <c r="BL28" s="14"/>
      <c r="BM28" s="14"/>
      <c r="BN28" s="14">
        <v>5351</v>
      </c>
      <c r="BO28" s="14">
        <f t="shared" si="11"/>
        <v>5351</v>
      </c>
      <c r="BP28" s="14"/>
      <c r="BQ28" s="14"/>
      <c r="BR28" s="14">
        <v>15</v>
      </c>
      <c r="BS28" s="14">
        <f t="shared" si="38"/>
        <v>15</v>
      </c>
      <c r="BT28" s="14"/>
      <c r="BU28" s="14"/>
      <c r="BV28" s="14">
        <v>3716</v>
      </c>
      <c r="BW28" s="14">
        <f t="shared" si="12"/>
        <v>3716</v>
      </c>
      <c r="BX28" s="14"/>
      <c r="BY28" s="14"/>
      <c r="BZ28" s="14">
        <v>9494</v>
      </c>
      <c r="CA28" s="14">
        <f t="shared" si="13"/>
        <v>9494</v>
      </c>
      <c r="CB28" s="14"/>
      <c r="CC28" s="14"/>
      <c r="CD28" s="14">
        <v>16046</v>
      </c>
      <c r="CE28" s="14">
        <f t="shared" si="14"/>
        <v>16046</v>
      </c>
      <c r="CF28" s="14"/>
      <c r="CG28" s="14"/>
      <c r="CH28" s="14">
        <v>132000</v>
      </c>
      <c r="CI28" s="14">
        <f t="shared" si="15"/>
        <v>132000</v>
      </c>
      <c r="CJ28" s="14"/>
      <c r="CK28" s="14"/>
      <c r="CL28" s="14">
        <v>2478</v>
      </c>
      <c r="CM28" s="14">
        <f t="shared" si="16"/>
        <v>2478</v>
      </c>
      <c r="CN28" s="14"/>
      <c r="CO28" s="14"/>
      <c r="CP28" s="14">
        <v>11811</v>
      </c>
      <c r="CQ28" s="14">
        <f t="shared" si="17"/>
        <v>11811</v>
      </c>
      <c r="CR28" s="14"/>
      <c r="CS28" s="14"/>
      <c r="CT28" s="14">
        <v>21268</v>
      </c>
      <c r="CU28" s="14">
        <f t="shared" si="46"/>
        <v>21268</v>
      </c>
      <c r="CV28" s="14"/>
      <c r="CW28" s="14"/>
      <c r="CX28" s="14">
        <v>21240</v>
      </c>
      <c r="CY28" s="14">
        <f t="shared" si="18"/>
        <v>21240</v>
      </c>
      <c r="CZ28" s="14"/>
      <c r="DA28" s="14"/>
      <c r="DB28" s="14">
        <f>1055007-1041999</f>
        <v>13008</v>
      </c>
      <c r="DC28" s="14">
        <f t="shared" si="70"/>
        <v>13008</v>
      </c>
      <c r="DE28" s="14"/>
      <c r="DF28" s="14">
        <f>118943-117476</f>
        <v>1467</v>
      </c>
      <c r="DG28" s="14">
        <f t="shared" si="71"/>
        <v>1467</v>
      </c>
    </row>
    <row r="29" spans="1:112" x14ac:dyDescent="0.2">
      <c r="A29" s="43">
        <v>43556</v>
      </c>
      <c r="C29" s="15">
        <v>4495000</v>
      </c>
      <c r="D29" s="15">
        <v>112375</v>
      </c>
      <c r="F29" s="15">
        <v>952700</v>
      </c>
      <c r="H29" s="15">
        <v>108875</v>
      </c>
      <c r="I29" s="15">
        <f t="shared" si="21"/>
        <v>4495000</v>
      </c>
      <c r="J29" s="15">
        <f t="shared" si="19"/>
        <v>1173950</v>
      </c>
      <c r="K29" s="15">
        <f t="shared" si="1"/>
        <v>5668950</v>
      </c>
      <c r="M29" s="14">
        <v>455427</v>
      </c>
      <c r="N29" s="14">
        <v>118942</v>
      </c>
      <c r="O29" s="14">
        <f t="shared" si="23"/>
        <v>574369</v>
      </c>
      <c r="Q29" s="14">
        <f t="shared" si="22"/>
        <v>4039572.8930000002</v>
      </c>
      <c r="R29" s="15">
        <f t="shared" si="20"/>
        <v>1055006</v>
      </c>
      <c r="S29" s="14">
        <f t="shared" si="0"/>
        <v>5094578.8930000002</v>
      </c>
      <c r="U29" s="3">
        <f t="shared" si="48"/>
        <v>1125340.331</v>
      </c>
      <c r="V29" s="3">
        <v>290279</v>
      </c>
      <c r="W29" s="3">
        <f t="shared" si="2"/>
        <v>1415619.331</v>
      </c>
      <c r="Y29" s="3">
        <f t="shared" si="49"/>
        <v>86825.42</v>
      </c>
      <c r="Z29" s="3">
        <v>22396</v>
      </c>
      <c r="AA29" s="3">
        <f t="shared" si="3"/>
        <v>109221.42</v>
      </c>
      <c r="AC29" s="14">
        <f t="shared" si="50"/>
        <v>107542.875</v>
      </c>
      <c r="AD29" s="14">
        <v>27740</v>
      </c>
      <c r="AE29" s="14">
        <f t="shared" si="69"/>
        <v>135282.875</v>
      </c>
      <c r="AG29" s="3">
        <f t="shared" si="51"/>
        <v>53284.179499999998</v>
      </c>
      <c r="AH29" s="3">
        <v>13745</v>
      </c>
      <c r="AI29" s="3">
        <f t="shared" si="4"/>
        <v>67029.179499999998</v>
      </c>
      <c r="AK29" s="3">
        <f t="shared" si="52"/>
        <v>971428.83399999992</v>
      </c>
      <c r="AL29" s="3">
        <v>250578</v>
      </c>
      <c r="AM29" s="3">
        <f t="shared" si="5"/>
        <v>1222006.8339999998</v>
      </c>
      <c r="AN29" s="14"/>
      <c r="AO29" s="3">
        <f t="shared" si="53"/>
        <v>128096.26249999998</v>
      </c>
      <c r="AP29" s="3">
        <v>33042</v>
      </c>
      <c r="AQ29" s="3">
        <f t="shared" si="6"/>
        <v>161138.26249999998</v>
      </c>
      <c r="AR29" s="14"/>
      <c r="AS29" s="14">
        <f t="shared" si="54"/>
        <v>37996.235000000001</v>
      </c>
      <c r="AT29" s="14">
        <v>9801</v>
      </c>
      <c r="AU29" s="14">
        <f t="shared" si="7"/>
        <v>47797.235000000001</v>
      </c>
      <c r="AV29" s="14"/>
      <c r="AW29" s="14">
        <f t="shared" si="55"/>
        <v>16710.162499999999</v>
      </c>
      <c r="AX29" s="14">
        <v>4310</v>
      </c>
      <c r="AY29" s="14">
        <f t="shared" si="32"/>
        <v>21020.162499999999</v>
      </c>
      <c r="AZ29" s="14"/>
      <c r="BA29" s="14">
        <f t="shared" si="56"/>
        <v>146443.0545</v>
      </c>
      <c r="BB29" s="14">
        <v>37775</v>
      </c>
      <c r="BC29" s="14">
        <f t="shared" si="8"/>
        <v>184218.0545</v>
      </c>
      <c r="BD29" s="14"/>
      <c r="BE29" s="14">
        <f t="shared" si="57"/>
        <v>11340.885</v>
      </c>
      <c r="BF29" s="14">
        <v>2925</v>
      </c>
      <c r="BG29" s="14">
        <f t="shared" si="9"/>
        <v>14265.885</v>
      </c>
      <c r="BH29" s="14"/>
      <c r="BI29" s="14">
        <f t="shared" si="58"/>
        <v>488423.10399999999</v>
      </c>
      <c r="BJ29" s="14">
        <v>125988</v>
      </c>
      <c r="BK29" s="14">
        <f t="shared" si="10"/>
        <v>614411.10400000005</v>
      </c>
      <c r="BL29" s="14"/>
      <c r="BM29" s="14">
        <f t="shared" si="59"/>
        <v>20742.627</v>
      </c>
      <c r="BN29" s="14">
        <v>5351</v>
      </c>
      <c r="BO29" s="14">
        <f t="shared" si="11"/>
        <v>26093.627</v>
      </c>
      <c r="BP29" s="14"/>
      <c r="BQ29" s="14">
        <f t="shared" si="60"/>
        <v>57.086500000000008</v>
      </c>
      <c r="BR29" s="14">
        <v>15</v>
      </c>
      <c r="BS29" s="14">
        <f t="shared" si="38"/>
        <v>72.086500000000001</v>
      </c>
      <c r="BT29" s="14"/>
      <c r="BU29" s="14">
        <f t="shared" si="61"/>
        <v>14406.0255</v>
      </c>
      <c r="BV29" s="14">
        <v>3716</v>
      </c>
      <c r="BW29" s="14">
        <f t="shared" si="12"/>
        <v>18122.0255</v>
      </c>
      <c r="BX29" s="14"/>
      <c r="BY29" s="14">
        <f t="shared" si="62"/>
        <v>36806.408499999998</v>
      </c>
      <c r="BZ29" s="14">
        <v>9494</v>
      </c>
      <c r="CA29" s="14">
        <f t="shared" si="13"/>
        <v>46300.408499999998</v>
      </c>
      <c r="CB29" s="14"/>
      <c r="CC29" s="14">
        <f t="shared" si="63"/>
        <v>62208.102999999996</v>
      </c>
      <c r="CD29" s="14">
        <v>16046</v>
      </c>
      <c r="CE29" s="14">
        <f t="shared" si="14"/>
        <v>78254.103000000003</v>
      </c>
      <c r="CF29" s="14"/>
      <c r="CG29" s="14">
        <f t="shared" si="64"/>
        <v>511729.679</v>
      </c>
      <c r="CH29" s="14">
        <v>132000</v>
      </c>
      <c r="CI29" s="14">
        <f t="shared" si="15"/>
        <v>643729.679</v>
      </c>
      <c r="CJ29" s="14"/>
      <c r="CK29" s="14">
        <f t="shared" si="65"/>
        <v>9608.0625</v>
      </c>
      <c r="CL29" s="14">
        <v>2478</v>
      </c>
      <c r="CM29" s="14">
        <f t="shared" si="16"/>
        <v>12086.0625</v>
      </c>
      <c r="CN29" s="14"/>
      <c r="CO29" s="14">
        <f t="shared" si="66"/>
        <v>45789.666000000005</v>
      </c>
      <c r="CP29" s="14">
        <v>11811</v>
      </c>
      <c r="CQ29" s="14">
        <f t="shared" si="17"/>
        <v>57600.666000000005</v>
      </c>
      <c r="CR29" s="14"/>
      <c r="CS29" s="14">
        <f t="shared" si="67"/>
        <v>82452.683999999994</v>
      </c>
      <c r="CT29" s="14">
        <v>21268</v>
      </c>
      <c r="CU29" s="14">
        <f t="shared" si="46"/>
        <v>103720.68399999999</v>
      </c>
      <c r="CV29" s="14"/>
      <c r="CW29" s="14">
        <f t="shared" si="68"/>
        <v>82341.207999999999</v>
      </c>
      <c r="CX29" s="14">
        <v>21240</v>
      </c>
      <c r="CY29" s="14">
        <f t="shared" si="18"/>
        <v>103581.208</v>
      </c>
      <c r="CZ29" s="14"/>
      <c r="DA29" s="14">
        <f>4039573-4039573</f>
        <v>0</v>
      </c>
      <c r="DB29" s="14">
        <f>1055007-1041999</f>
        <v>13008</v>
      </c>
      <c r="DC29" s="14">
        <f t="shared" si="70"/>
        <v>13008</v>
      </c>
      <c r="DE29" s="14">
        <f>455427-455427</f>
        <v>0</v>
      </c>
      <c r="DF29" s="14">
        <f>118943-117476</f>
        <v>1467</v>
      </c>
      <c r="DG29" s="14">
        <f t="shared" si="71"/>
        <v>1467</v>
      </c>
      <c r="DH29" s="14"/>
    </row>
    <row r="30" spans="1:112" x14ac:dyDescent="0.2">
      <c r="A30" s="43">
        <v>43739</v>
      </c>
      <c r="D30" s="15">
        <v>0</v>
      </c>
      <c r="F30" s="15">
        <v>952700</v>
      </c>
      <c r="H30" s="15">
        <v>108875</v>
      </c>
      <c r="J30" s="15">
        <f t="shared" si="19"/>
        <v>1061575</v>
      </c>
      <c r="K30" s="15">
        <f t="shared" si="1"/>
        <v>1061575</v>
      </c>
      <c r="N30" s="14">
        <v>107558</v>
      </c>
      <c r="O30" s="14">
        <f t="shared" si="23"/>
        <v>107558</v>
      </c>
      <c r="Q30" s="14"/>
      <c r="R30" s="15">
        <f t="shared" si="20"/>
        <v>954018</v>
      </c>
      <c r="S30" s="14">
        <f t="shared" si="0"/>
        <v>954018</v>
      </c>
      <c r="U30" s="3"/>
      <c r="V30" s="3">
        <v>262145</v>
      </c>
      <c r="W30" s="3">
        <f t="shared" si="2"/>
        <v>262145</v>
      </c>
      <c r="Y30" s="3"/>
      <c r="Z30" s="3">
        <v>20226</v>
      </c>
      <c r="AA30" s="3">
        <f t="shared" si="3"/>
        <v>20226</v>
      </c>
      <c r="AD30" s="14">
        <v>25052</v>
      </c>
      <c r="AE30" s="14">
        <f t="shared" si="69"/>
        <v>25052</v>
      </c>
      <c r="AG30" s="3"/>
      <c r="AH30" s="3">
        <v>12412</v>
      </c>
      <c r="AI30" s="3">
        <f t="shared" si="4"/>
        <v>12412</v>
      </c>
      <c r="AK30" s="3"/>
      <c r="AL30" s="3">
        <v>226292</v>
      </c>
      <c r="AM30" s="3">
        <f t="shared" si="5"/>
        <v>226292</v>
      </c>
      <c r="AN30" s="14"/>
      <c r="AO30" s="3"/>
      <c r="AP30" s="3">
        <v>29840</v>
      </c>
      <c r="AQ30" s="3">
        <f t="shared" si="6"/>
        <v>29840</v>
      </c>
      <c r="AR30" s="14"/>
      <c r="AS30" s="14"/>
      <c r="AT30" s="14">
        <v>8851</v>
      </c>
      <c r="AU30" s="14">
        <f t="shared" si="7"/>
        <v>8851</v>
      </c>
      <c r="AV30" s="14"/>
      <c r="AW30" s="14"/>
      <c r="AX30" s="14">
        <v>3893</v>
      </c>
      <c r="AY30" s="14">
        <f t="shared" si="32"/>
        <v>3893</v>
      </c>
      <c r="AZ30" s="14"/>
      <c r="BA30" s="14"/>
      <c r="BB30" s="14">
        <v>34114</v>
      </c>
      <c r="BC30" s="14">
        <f t="shared" si="8"/>
        <v>34114</v>
      </c>
      <c r="BD30" s="14"/>
      <c r="BE30" s="14"/>
      <c r="BF30" s="14">
        <v>2642</v>
      </c>
      <c r="BG30" s="14">
        <f t="shared" si="9"/>
        <v>2642</v>
      </c>
      <c r="BH30" s="14"/>
      <c r="BI30" s="14"/>
      <c r="BJ30" s="14">
        <v>113777</v>
      </c>
      <c r="BK30" s="14">
        <f t="shared" si="10"/>
        <v>113777</v>
      </c>
      <c r="BL30" s="14"/>
      <c r="BM30" s="14"/>
      <c r="BN30" s="14">
        <v>4832</v>
      </c>
      <c r="BO30" s="14">
        <f t="shared" si="11"/>
        <v>4832</v>
      </c>
      <c r="BP30" s="14"/>
      <c r="BQ30" s="14"/>
      <c r="BR30" s="14">
        <v>13</v>
      </c>
      <c r="BS30" s="14">
        <f t="shared" si="38"/>
        <v>13</v>
      </c>
      <c r="BT30" s="14"/>
      <c r="BU30" s="14"/>
      <c r="BV30" s="14">
        <v>3356</v>
      </c>
      <c r="BW30" s="14">
        <f t="shared" si="12"/>
        <v>3356</v>
      </c>
      <c r="BX30" s="14"/>
      <c r="BY30" s="14"/>
      <c r="BZ30" s="14">
        <v>8574</v>
      </c>
      <c r="CA30" s="14">
        <f t="shared" si="13"/>
        <v>8574</v>
      </c>
      <c r="CB30" s="14"/>
      <c r="CC30" s="14"/>
      <c r="CD30" s="14">
        <v>14491</v>
      </c>
      <c r="CE30" s="14">
        <f t="shared" si="14"/>
        <v>14491</v>
      </c>
      <c r="CF30" s="14"/>
      <c r="CG30" s="14"/>
      <c r="CH30" s="14">
        <v>119206</v>
      </c>
      <c r="CI30" s="14">
        <f t="shared" si="15"/>
        <v>119206</v>
      </c>
      <c r="CJ30" s="14"/>
      <c r="CK30" s="14"/>
      <c r="CL30" s="14">
        <v>2238</v>
      </c>
      <c r="CM30" s="14">
        <f t="shared" si="16"/>
        <v>2238</v>
      </c>
      <c r="CN30" s="14"/>
      <c r="CO30" s="14"/>
      <c r="CP30" s="14">
        <v>10667</v>
      </c>
      <c r="CQ30" s="14">
        <f t="shared" si="17"/>
        <v>10667</v>
      </c>
      <c r="CR30" s="14"/>
      <c r="CS30" s="14"/>
      <c r="CT30" s="14">
        <v>19207</v>
      </c>
      <c r="CU30" s="14">
        <f t="shared" si="46"/>
        <v>19207</v>
      </c>
      <c r="CV30" s="14"/>
      <c r="CW30" s="14"/>
      <c r="CX30" s="14">
        <v>19181</v>
      </c>
      <c r="CY30" s="14">
        <f t="shared" si="18"/>
        <v>19181</v>
      </c>
      <c r="CZ30" s="14"/>
      <c r="DA30" s="14"/>
      <c r="DB30" s="14">
        <f>954018-941009</f>
        <v>13009</v>
      </c>
      <c r="DC30" s="14">
        <f t="shared" si="70"/>
        <v>13009</v>
      </c>
      <c r="DE30" s="14"/>
      <c r="DF30" s="14">
        <f>107557-106091</f>
        <v>1466</v>
      </c>
      <c r="DG30" s="14">
        <f t="shared" si="71"/>
        <v>1466</v>
      </c>
    </row>
    <row r="31" spans="1:112" x14ac:dyDescent="0.2">
      <c r="A31" s="43">
        <v>43922</v>
      </c>
      <c r="C31" s="38">
        <v>0</v>
      </c>
      <c r="D31" s="38">
        <v>0</v>
      </c>
      <c r="E31" s="38"/>
      <c r="F31" s="38">
        <v>952700</v>
      </c>
      <c r="G31" s="38">
        <v>4355000</v>
      </c>
      <c r="H31" s="38">
        <v>108875</v>
      </c>
      <c r="I31" s="38">
        <f t="shared" si="21"/>
        <v>4355000</v>
      </c>
      <c r="J31" s="38">
        <f t="shared" si="19"/>
        <v>1061575</v>
      </c>
      <c r="K31" s="38">
        <f t="shared" si="1"/>
        <v>5416575</v>
      </c>
      <c r="M31" s="36">
        <v>441241</v>
      </c>
      <c r="N31" s="36">
        <v>107558</v>
      </c>
      <c r="O31" s="36">
        <f t="shared" si="23"/>
        <v>548799</v>
      </c>
      <c r="Q31" s="36">
        <f t="shared" si="22"/>
        <v>3913758</v>
      </c>
      <c r="R31" s="38">
        <f t="shared" si="20"/>
        <v>954018</v>
      </c>
      <c r="S31" s="36">
        <f t="shared" si="0"/>
        <v>4867776</v>
      </c>
      <c r="U31" s="37">
        <v>1181670</v>
      </c>
      <c r="V31" s="37">
        <v>262145</v>
      </c>
      <c r="W31" s="37">
        <f t="shared" si="2"/>
        <v>1443815</v>
      </c>
      <c r="Y31" s="37">
        <v>91172</v>
      </c>
      <c r="Z31" s="37">
        <v>20226</v>
      </c>
      <c r="AA31" s="37">
        <f t="shared" si="3"/>
        <v>111398</v>
      </c>
      <c r="AC31" s="36">
        <v>112926</v>
      </c>
      <c r="AD31" s="36">
        <v>25052</v>
      </c>
      <c r="AE31" s="36">
        <f t="shared" si="69"/>
        <v>137978</v>
      </c>
      <c r="AG31" s="37">
        <v>55951</v>
      </c>
      <c r="AH31" s="37">
        <v>12412</v>
      </c>
      <c r="AI31" s="37">
        <f t="shared" si="4"/>
        <v>68363</v>
      </c>
      <c r="AK31" s="37">
        <v>1020054</v>
      </c>
      <c r="AL31" s="37">
        <v>226292</v>
      </c>
      <c r="AM31" s="37">
        <f t="shared" si="5"/>
        <v>1246346</v>
      </c>
      <c r="AN31" s="14"/>
      <c r="AO31" s="37">
        <v>134508</v>
      </c>
      <c r="AP31" s="37">
        <v>29840</v>
      </c>
      <c r="AQ31" s="37">
        <f t="shared" si="6"/>
        <v>164348</v>
      </c>
      <c r="AR31" s="14"/>
      <c r="AS31" s="36">
        <v>39898</v>
      </c>
      <c r="AT31" s="36">
        <v>8851</v>
      </c>
      <c r="AU31" s="36">
        <f t="shared" si="7"/>
        <v>48749</v>
      </c>
      <c r="AV31" s="14"/>
      <c r="AW31" s="36">
        <v>17547</v>
      </c>
      <c r="AX31" s="36">
        <v>3893</v>
      </c>
      <c r="AY31" s="36">
        <f t="shared" si="32"/>
        <v>21440</v>
      </c>
      <c r="AZ31" s="14"/>
      <c r="BA31" s="36">
        <v>153773</v>
      </c>
      <c r="BB31" s="36">
        <v>34114</v>
      </c>
      <c r="BC31" s="36">
        <f t="shared" si="8"/>
        <v>187887</v>
      </c>
      <c r="BD31" s="14"/>
      <c r="BE31" s="36">
        <v>11909</v>
      </c>
      <c r="BF31" s="36">
        <v>2642</v>
      </c>
      <c r="BG31" s="36">
        <f t="shared" si="9"/>
        <v>14551</v>
      </c>
      <c r="BH31" s="14"/>
      <c r="BI31" s="36">
        <v>512871</v>
      </c>
      <c r="BJ31" s="36">
        <v>113777</v>
      </c>
      <c r="BK31" s="36">
        <f t="shared" si="10"/>
        <v>626648</v>
      </c>
      <c r="BL31" s="14"/>
      <c r="BM31" s="36">
        <v>21781</v>
      </c>
      <c r="BN31" s="36">
        <v>4832</v>
      </c>
      <c r="BO31" s="36">
        <f t="shared" si="11"/>
        <v>26613</v>
      </c>
      <c r="BP31" s="14"/>
      <c r="BQ31" s="36">
        <v>60</v>
      </c>
      <c r="BR31" s="36">
        <v>13</v>
      </c>
      <c r="BS31" s="36">
        <f t="shared" si="38"/>
        <v>73</v>
      </c>
      <c r="BT31" s="14"/>
      <c r="BU31" s="36">
        <v>15127</v>
      </c>
      <c r="BV31" s="36">
        <v>3356</v>
      </c>
      <c r="BW31" s="36">
        <f t="shared" si="12"/>
        <v>18483</v>
      </c>
      <c r="BX31" s="14"/>
      <c r="BY31" s="36">
        <v>38649</v>
      </c>
      <c r="BZ31" s="36">
        <v>8574</v>
      </c>
      <c r="CA31" s="36">
        <f t="shared" si="13"/>
        <v>47223</v>
      </c>
      <c r="CB31" s="14"/>
      <c r="CC31" s="36">
        <v>65322</v>
      </c>
      <c r="CD31" s="36">
        <v>14491</v>
      </c>
      <c r="CE31" s="36">
        <f t="shared" si="14"/>
        <v>79813</v>
      </c>
      <c r="CF31" s="14"/>
      <c r="CG31" s="36">
        <v>537345</v>
      </c>
      <c r="CH31" s="36">
        <v>119206</v>
      </c>
      <c r="CI31" s="36">
        <f t="shared" si="15"/>
        <v>656551</v>
      </c>
      <c r="CJ31" s="14"/>
      <c r="CK31" s="36">
        <v>10089</v>
      </c>
      <c r="CL31" s="36">
        <v>2238</v>
      </c>
      <c r="CM31" s="36">
        <f t="shared" si="16"/>
        <v>12327</v>
      </c>
      <c r="CN31" s="14"/>
      <c r="CO31" s="36">
        <v>48082</v>
      </c>
      <c r="CP31" s="36">
        <v>10667</v>
      </c>
      <c r="CQ31" s="36">
        <f t="shared" si="17"/>
        <v>58749</v>
      </c>
      <c r="CR31" s="14"/>
      <c r="CS31" s="36">
        <v>86580</v>
      </c>
      <c r="CT31" s="36">
        <v>19207</v>
      </c>
      <c r="CU31" s="36">
        <f t="shared" si="46"/>
        <v>105787</v>
      </c>
      <c r="CV31" s="14"/>
      <c r="CW31" s="36">
        <v>86463</v>
      </c>
      <c r="CX31" s="36">
        <v>19181</v>
      </c>
      <c r="CY31" s="36">
        <f t="shared" si="18"/>
        <v>105644</v>
      </c>
      <c r="CZ31" s="14"/>
      <c r="DA31" s="36">
        <f>3913757-4241776</f>
        <v>-328019</v>
      </c>
      <c r="DB31" s="36">
        <f>954018-941009</f>
        <v>13009</v>
      </c>
      <c r="DC31" s="36">
        <f t="shared" si="70"/>
        <v>-315010</v>
      </c>
      <c r="DE31" s="36">
        <f>441243-478224</f>
        <v>-36981</v>
      </c>
      <c r="DF31" s="36">
        <f>107557-106091</f>
        <v>1466</v>
      </c>
      <c r="DG31" s="36">
        <f t="shared" si="71"/>
        <v>-35515</v>
      </c>
      <c r="DH31" s="14"/>
    </row>
    <row r="32" spans="1:112" x14ac:dyDescent="0.2">
      <c r="A32" s="12">
        <v>44105</v>
      </c>
      <c r="D32" s="15">
        <v>0</v>
      </c>
      <c r="F32" s="15">
        <v>952700</v>
      </c>
      <c r="J32" s="15">
        <f t="shared" si="19"/>
        <v>952700</v>
      </c>
      <c r="K32" s="15">
        <f t="shared" si="1"/>
        <v>952700</v>
      </c>
      <c r="N32" s="14">
        <v>96526</v>
      </c>
      <c r="O32" s="14">
        <f t="shared" si="23"/>
        <v>96526</v>
      </c>
      <c r="Q32" s="14"/>
      <c r="R32" s="15">
        <f t="shared" si="20"/>
        <v>856173.76977999997</v>
      </c>
      <c r="S32" s="14">
        <f t="shared" si="0"/>
        <v>856173.76977999997</v>
      </c>
      <c r="U32" s="3"/>
      <c r="V32" s="3">
        <f t="shared" si="24"/>
        <v>238512.06526</v>
      </c>
      <c r="W32" s="3">
        <f t="shared" si="2"/>
        <v>238512.06526</v>
      </c>
      <c r="Y32" s="3"/>
      <c r="Z32" s="3">
        <f t="shared" si="25"/>
        <v>18402.353200000001</v>
      </c>
      <c r="AA32" s="3">
        <f t="shared" si="3"/>
        <v>18402.353200000001</v>
      </c>
      <c r="AD32" s="14">
        <f t="shared" si="26"/>
        <v>22793.3475</v>
      </c>
      <c r="AE32" s="14">
        <f t="shared" si="69"/>
        <v>22793.3475</v>
      </c>
      <c r="AG32" s="3"/>
      <c r="AH32" s="3">
        <f t="shared" si="27"/>
        <v>11293.40107</v>
      </c>
      <c r="AI32" s="3">
        <f t="shared" si="4"/>
        <v>11293.40107</v>
      </c>
      <c r="AK32" s="3"/>
      <c r="AL32" s="3">
        <f t="shared" si="28"/>
        <v>205891.04564</v>
      </c>
      <c r="AM32" s="3">
        <f t="shared" si="5"/>
        <v>205891.04564</v>
      </c>
      <c r="AN32" s="14"/>
      <c r="AO32" s="3"/>
      <c r="AP32" s="3">
        <f t="shared" si="29"/>
        <v>27149.568249999997</v>
      </c>
      <c r="AQ32" s="3">
        <f t="shared" si="6"/>
        <v>27149.568249999997</v>
      </c>
      <c r="AR32" s="14"/>
      <c r="AS32" s="14"/>
      <c r="AT32" s="14">
        <f t="shared" si="30"/>
        <v>8053.1731000000009</v>
      </c>
      <c r="AU32" s="14">
        <f t="shared" si="7"/>
        <v>8053.1731000000009</v>
      </c>
      <c r="AV32" s="14"/>
      <c r="AW32" s="14"/>
      <c r="AX32" s="14">
        <f t="shared" si="31"/>
        <v>3541.6622500000003</v>
      </c>
      <c r="AY32" s="14">
        <f t="shared" si="32"/>
        <v>3541.6622500000003</v>
      </c>
      <c r="AZ32" s="14"/>
      <c r="BA32" s="14"/>
      <c r="BB32" s="14">
        <f t="shared" si="33"/>
        <v>31038.108569999997</v>
      </c>
      <c r="BC32" s="14">
        <f t="shared" si="8"/>
        <v>31038.108569999997</v>
      </c>
      <c r="BD32" s="14"/>
      <c r="BE32" s="14"/>
      <c r="BF32" s="14">
        <f t="shared" si="34"/>
        <v>2403.6621</v>
      </c>
      <c r="BG32" s="14">
        <f t="shared" si="9"/>
        <v>2403.6621</v>
      </c>
      <c r="BH32" s="14"/>
      <c r="BI32" s="14"/>
      <c r="BJ32" s="14">
        <f t="shared" si="35"/>
        <v>103519.61984</v>
      </c>
      <c r="BK32" s="14">
        <f t="shared" si="10"/>
        <v>103519.61984</v>
      </c>
      <c r="BL32" s="14"/>
      <c r="BM32" s="14"/>
      <c r="BN32" s="14">
        <f t="shared" si="36"/>
        <v>4396.32942</v>
      </c>
      <c r="BO32" s="14">
        <f t="shared" si="11"/>
        <v>4396.32942</v>
      </c>
      <c r="BP32" s="14"/>
      <c r="BQ32" s="14"/>
      <c r="BR32" s="14">
        <f t="shared" si="37"/>
        <v>12.099290000000002</v>
      </c>
      <c r="BS32" s="14">
        <f t="shared" si="38"/>
        <v>12.099290000000002</v>
      </c>
      <c r="BT32" s="14"/>
      <c r="BU32" s="14"/>
      <c r="BV32" s="14">
        <f t="shared" si="39"/>
        <v>3053.3082299999996</v>
      </c>
      <c r="BW32" s="14">
        <f t="shared" si="12"/>
        <v>3053.3082299999996</v>
      </c>
      <c r="BX32" s="14"/>
      <c r="BY32" s="14"/>
      <c r="BZ32" s="14">
        <f t="shared" si="40"/>
        <v>7800.9934099999991</v>
      </c>
      <c r="CA32" s="14">
        <f t="shared" si="13"/>
        <v>7800.9934099999991</v>
      </c>
      <c r="CB32" s="14"/>
      <c r="CC32" s="14"/>
      <c r="CD32" s="14">
        <f t="shared" si="41"/>
        <v>13184.79638</v>
      </c>
      <c r="CE32" s="14">
        <f t="shared" si="14"/>
        <v>13184.79638</v>
      </c>
      <c r="CF32" s="14"/>
      <c r="CG32" s="14"/>
      <c r="CH32" s="14">
        <f t="shared" si="42"/>
        <v>108459.36934</v>
      </c>
      <c r="CI32" s="14">
        <f t="shared" si="15"/>
        <v>108459.36934</v>
      </c>
      <c r="CJ32" s="14"/>
      <c r="CK32" s="14"/>
      <c r="CL32" s="14">
        <f t="shared" si="43"/>
        <v>2036.39625</v>
      </c>
      <c r="CM32" s="14">
        <f t="shared" si="16"/>
        <v>2036.39625</v>
      </c>
      <c r="CN32" s="14"/>
      <c r="CO32" s="14"/>
      <c r="CP32" s="14">
        <f t="shared" si="44"/>
        <v>9704.9643599999999</v>
      </c>
      <c r="CQ32" s="14">
        <f t="shared" si="17"/>
        <v>9704.9643599999999</v>
      </c>
      <c r="CR32" s="14"/>
      <c r="CS32" s="14"/>
      <c r="CT32" s="14">
        <f t="shared" si="45"/>
        <v>17475.566639999997</v>
      </c>
      <c r="CU32" s="14">
        <f t="shared" si="46"/>
        <v>17475.566639999997</v>
      </c>
      <c r="CV32" s="14"/>
      <c r="CW32" s="14"/>
      <c r="CX32" s="14">
        <f t="shared" si="47"/>
        <v>17451.939679999999</v>
      </c>
      <c r="CY32" s="14">
        <f t="shared" si="18"/>
        <v>17451.939679999999</v>
      </c>
      <c r="CZ32" s="14"/>
      <c r="DA32" s="14"/>
      <c r="DB32" s="14"/>
      <c r="DC32" s="14"/>
      <c r="DE32" s="14"/>
      <c r="DF32" s="14"/>
      <c r="DG32" s="14"/>
    </row>
    <row r="33" spans="1:111" x14ac:dyDescent="0.2">
      <c r="A33" s="12">
        <v>44287</v>
      </c>
      <c r="C33" s="15">
        <v>0</v>
      </c>
      <c r="D33" s="15">
        <v>0</v>
      </c>
      <c r="E33" s="15">
        <v>4745000</v>
      </c>
      <c r="F33" s="15">
        <v>952700</v>
      </c>
      <c r="I33" s="15">
        <f t="shared" si="21"/>
        <v>4745000</v>
      </c>
      <c r="J33" s="15">
        <f t="shared" si="19"/>
        <v>952700</v>
      </c>
      <c r="K33" s="15">
        <f t="shared" si="1"/>
        <v>5697700</v>
      </c>
      <c r="M33" s="14">
        <v>480757</v>
      </c>
      <c r="N33" s="14">
        <v>96526</v>
      </c>
      <c r="O33" s="14">
        <f t="shared" si="23"/>
        <v>577283</v>
      </c>
      <c r="Q33" s="14">
        <f t="shared" si="22"/>
        <v>4264243.2429999998</v>
      </c>
      <c r="R33" s="15">
        <f t="shared" si="20"/>
        <v>856173.76977999997</v>
      </c>
      <c r="S33" s="14">
        <f t="shared" si="0"/>
        <v>5120417.0127799995</v>
      </c>
      <c r="U33" s="3">
        <f t="shared" si="48"/>
        <v>1187928.781</v>
      </c>
      <c r="V33" s="3">
        <f t="shared" si="24"/>
        <v>238512.06526</v>
      </c>
      <c r="W33" s="3">
        <f t="shared" si="2"/>
        <v>1426440.84626</v>
      </c>
      <c r="Y33" s="3">
        <f t="shared" si="49"/>
        <v>91654.42</v>
      </c>
      <c r="Z33" s="3">
        <f t="shared" si="25"/>
        <v>18402.353200000001</v>
      </c>
      <c r="AA33" s="3">
        <f t="shared" si="3"/>
        <v>110056.7732</v>
      </c>
      <c r="AC33" s="14">
        <f t="shared" si="50"/>
        <v>113524.125</v>
      </c>
      <c r="AD33" s="14">
        <f t="shared" si="26"/>
        <v>22793.3475</v>
      </c>
      <c r="AE33" s="14">
        <f t="shared" si="69"/>
        <v>136317.4725</v>
      </c>
      <c r="AG33" s="3">
        <f t="shared" si="51"/>
        <v>56247.7045</v>
      </c>
      <c r="AH33" s="3">
        <f t="shared" si="27"/>
        <v>11293.40107</v>
      </c>
      <c r="AI33" s="3">
        <f t="shared" si="4"/>
        <v>67541.10557</v>
      </c>
      <c r="AK33" s="3">
        <f t="shared" si="52"/>
        <v>1025457.134</v>
      </c>
      <c r="AL33" s="3">
        <f t="shared" si="28"/>
        <v>205891.04564</v>
      </c>
      <c r="AM33" s="3">
        <f t="shared" si="5"/>
        <v>1231348.17964</v>
      </c>
      <c r="AN33" s="14"/>
      <c r="AO33" s="3">
        <f t="shared" si="53"/>
        <v>135220.63749999998</v>
      </c>
      <c r="AP33" s="3">
        <f t="shared" si="29"/>
        <v>27149.568249999997</v>
      </c>
      <c r="AQ33" s="3">
        <f t="shared" si="6"/>
        <v>162370.20574999996</v>
      </c>
      <c r="AR33" s="14"/>
      <c r="AS33" s="14">
        <f t="shared" si="54"/>
        <v>40109.485000000008</v>
      </c>
      <c r="AT33" s="14">
        <f t="shared" si="30"/>
        <v>8053.1731000000009</v>
      </c>
      <c r="AU33" s="14">
        <f t="shared" si="7"/>
        <v>48162.658100000008</v>
      </c>
      <c r="AV33" s="14"/>
      <c r="AW33" s="14">
        <f t="shared" si="55"/>
        <v>17639.537500000002</v>
      </c>
      <c r="AX33" s="14">
        <f t="shared" si="31"/>
        <v>3541.6622500000003</v>
      </c>
      <c r="AY33" s="14">
        <f t="shared" si="32"/>
        <v>21181.199750000003</v>
      </c>
      <c r="AZ33" s="14"/>
      <c r="BA33" s="14">
        <f t="shared" si="56"/>
        <v>154587.82949999999</v>
      </c>
      <c r="BB33" s="14">
        <f t="shared" si="33"/>
        <v>31038.108569999997</v>
      </c>
      <c r="BC33" s="14">
        <f t="shared" si="8"/>
        <v>185625.93806999997</v>
      </c>
      <c r="BD33" s="14"/>
      <c r="BE33" s="14">
        <f t="shared" si="57"/>
        <v>11971.635</v>
      </c>
      <c r="BF33" s="14">
        <f t="shared" si="34"/>
        <v>2403.6621</v>
      </c>
      <c r="BG33" s="14">
        <f t="shared" si="9"/>
        <v>14375.2971</v>
      </c>
      <c r="BH33" s="14"/>
      <c r="BI33" s="14">
        <f t="shared" si="58"/>
        <v>515587.90399999998</v>
      </c>
      <c r="BJ33" s="14">
        <f t="shared" si="35"/>
        <v>103519.61984</v>
      </c>
      <c r="BK33" s="14">
        <f t="shared" si="10"/>
        <v>619107.52383999992</v>
      </c>
      <c r="BL33" s="14"/>
      <c r="BM33" s="14">
        <f t="shared" si="59"/>
        <v>21896.276999999998</v>
      </c>
      <c r="BN33" s="14">
        <f t="shared" si="36"/>
        <v>4396.32942</v>
      </c>
      <c r="BO33" s="14">
        <f t="shared" si="11"/>
        <v>26292.606419999996</v>
      </c>
      <c r="BP33" s="14"/>
      <c r="BQ33" s="14">
        <f t="shared" si="60"/>
        <v>60.261500000000005</v>
      </c>
      <c r="BR33" s="14">
        <f t="shared" si="37"/>
        <v>12.099290000000002</v>
      </c>
      <c r="BS33" s="14">
        <f t="shared" si="38"/>
        <v>72.360790000000009</v>
      </c>
      <c r="BT33" s="14"/>
      <c r="BU33" s="14">
        <f t="shared" si="61"/>
        <v>15207.2505</v>
      </c>
      <c r="BV33" s="14">
        <f t="shared" si="39"/>
        <v>3053.3082299999996</v>
      </c>
      <c r="BW33" s="14">
        <f t="shared" si="12"/>
        <v>18260.558730000001</v>
      </c>
      <c r="BX33" s="14"/>
      <c r="BY33" s="14">
        <f t="shared" si="62"/>
        <v>38853.483499999995</v>
      </c>
      <c r="BZ33" s="14">
        <f t="shared" si="40"/>
        <v>7800.9934099999991</v>
      </c>
      <c r="CA33" s="14">
        <f t="shared" si="13"/>
        <v>46654.476909999998</v>
      </c>
      <c r="CB33" s="14"/>
      <c r="CC33" s="14">
        <f t="shared" si="63"/>
        <v>65667.952999999994</v>
      </c>
      <c r="CD33" s="14">
        <f t="shared" si="41"/>
        <v>13184.79638</v>
      </c>
      <c r="CE33" s="14">
        <f t="shared" si="14"/>
        <v>78852.749379999994</v>
      </c>
      <c r="CF33" s="14"/>
      <c r="CG33" s="14">
        <f t="shared" si="64"/>
        <v>540190.72899999993</v>
      </c>
      <c r="CH33" s="14">
        <f t="shared" si="42"/>
        <v>108459.36934</v>
      </c>
      <c r="CI33" s="14">
        <f t="shared" si="15"/>
        <v>648650.09833999991</v>
      </c>
      <c r="CJ33" s="14"/>
      <c r="CK33" s="14">
        <f t="shared" si="65"/>
        <v>10142.4375</v>
      </c>
      <c r="CL33" s="14">
        <f t="shared" si="43"/>
        <v>2036.39625</v>
      </c>
      <c r="CM33" s="14">
        <f t="shared" si="16"/>
        <v>12178.83375</v>
      </c>
      <c r="CN33" s="14"/>
      <c r="CO33" s="14">
        <f t="shared" si="66"/>
        <v>48336.366000000009</v>
      </c>
      <c r="CP33" s="14">
        <f t="shared" si="44"/>
        <v>9704.9643599999999</v>
      </c>
      <c r="CQ33" s="14">
        <f t="shared" si="17"/>
        <v>58041.330360000007</v>
      </c>
      <c r="CR33" s="14"/>
      <c r="CS33" s="14">
        <f t="shared" si="67"/>
        <v>87038.483999999997</v>
      </c>
      <c r="CT33" s="14">
        <f t="shared" si="45"/>
        <v>17475.566639999997</v>
      </c>
      <c r="CU33" s="14">
        <f t="shared" si="46"/>
        <v>104514.05064</v>
      </c>
      <c r="CV33" s="14"/>
      <c r="CW33" s="14">
        <f t="shared" si="68"/>
        <v>86920.80799999999</v>
      </c>
      <c r="CX33" s="14">
        <f t="shared" si="47"/>
        <v>17451.939679999999</v>
      </c>
      <c r="CY33" s="14">
        <f t="shared" si="18"/>
        <v>104372.74767999999</v>
      </c>
      <c r="CZ33" s="14"/>
      <c r="DA33" s="14"/>
      <c r="DB33" s="14"/>
      <c r="DC33" s="14"/>
      <c r="DE33" s="14"/>
      <c r="DF33" s="14"/>
      <c r="DG33" s="14"/>
    </row>
    <row r="34" spans="1:111" x14ac:dyDescent="0.2">
      <c r="A34" s="12">
        <v>44470</v>
      </c>
      <c r="D34" s="15">
        <v>0</v>
      </c>
      <c r="F34" s="15">
        <v>834075</v>
      </c>
      <c r="J34" s="15">
        <f t="shared" si="19"/>
        <v>834075</v>
      </c>
      <c r="K34" s="15">
        <f t="shared" si="1"/>
        <v>834075</v>
      </c>
      <c r="N34" s="14">
        <v>84507</v>
      </c>
      <c r="O34" s="14">
        <f t="shared" si="23"/>
        <v>84507</v>
      </c>
      <c r="Q34" s="14"/>
      <c r="R34" s="15">
        <f t="shared" si="20"/>
        <v>749567.68870499986</v>
      </c>
      <c r="S34" s="14">
        <f t="shared" si="0"/>
        <v>749567.68870499986</v>
      </c>
      <c r="U34" s="3"/>
      <c r="V34" s="3">
        <f t="shared" si="24"/>
        <v>208813.84573500001</v>
      </c>
      <c r="W34" s="3">
        <f t="shared" si="2"/>
        <v>208813.84573500001</v>
      </c>
      <c r="Y34" s="3"/>
      <c r="Z34" s="3">
        <f t="shared" si="25"/>
        <v>16110.992700000001</v>
      </c>
      <c r="AA34" s="3">
        <f t="shared" si="3"/>
        <v>16110.992700000001</v>
      </c>
      <c r="AD34" s="14">
        <f t="shared" si="26"/>
        <v>19955.244374999998</v>
      </c>
      <c r="AE34" s="14">
        <f t="shared" si="69"/>
        <v>19955.244374999998</v>
      </c>
      <c r="AG34" s="3"/>
      <c r="AH34" s="3">
        <f t="shared" si="27"/>
        <v>9887.2084575000008</v>
      </c>
      <c r="AI34" s="3">
        <f t="shared" si="4"/>
        <v>9887.2084575000008</v>
      </c>
      <c r="AK34" s="3"/>
      <c r="AL34" s="3">
        <f t="shared" si="28"/>
        <v>180254.61728999999</v>
      </c>
      <c r="AM34" s="3">
        <f t="shared" si="5"/>
        <v>180254.61728999999</v>
      </c>
      <c r="AN34" s="14"/>
      <c r="AO34" s="3"/>
      <c r="AP34" s="3">
        <f t="shared" si="29"/>
        <v>23769.052312499996</v>
      </c>
      <c r="AQ34" s="3">
        <f t="shared" si="6"/>
        <v>23769.052312499996</v>
      </c>
      <c r="AR34" s="14"/>
      <c r="AS34" s="14"/>
      <c r="AT34" s="14">
        <f t="shared" si="30"/>
        <v>7050.4359750000003</v>
      </c>
      <c r="AU34" s="14">
        <f t="shared" si="7"/>
        <v>7050.4359750000003</v>
      </c>
      <c r="AV34" s="14"/>
      <c r="AW34" s="14"/>
      <c r="AX34" s="14">
        <f t="shared" si="31"/>
        <v>3100.6738125000002</v>
      </c>
      <c r="AY34" s="14">
        <f t="shared" si="32"/>
        <v>3100.6738125000002</v>
      </c>
      <c r="AZ34" s="14"/>
      <c r="BA34" s="14"/>
      <c r="BB34" s="14">
        <f t="shared" si="33"/>
        <v>27173.412832499998</v>
      </c>
      <c r="BC34" s="14">
        <f t="shared" si="8"/>
        <v>27173.412832499998</v>
      </c>
      <c r="BD34" s="14"/>
      <c r="BE34" s="14"/>
      <c r="BF34" s="14">
        <f t="shared" si="34"/>
        <v>2104.3712250000003</v>
      </c>
      <c r="BG34" s="14">
        <f t="shared" si="9"/>
        <v>2104.3712250000003</v>
      </c>
      <c r="BH34" s="14"/>
      <c r="BI34" s="14"/>
      <c r="BJ34" s="14">
        <f t="shared" si="35"/>
        <v>90629.92224</v>
      </c>
      <c r="BK34" s="14">
        <f t="shared" si="10"/>
        <v>90629.92224</v>
      </c>
      <c r="BL34" s="14"/>
      <c r="BM34" s="14"/>
      <c r="BN34" s="14">
        <f t="shared" si="36"/>
        <v>3848.9224949999998</v>
      </c>
      <c r="BO34" s="14">
        <f t="shared" si="11"/>
        <v>3848.9224949999998</v>
      </c>
      <c r="BP34" s="14"/>
      <c r="BQ34" s="14"/>
      <c r="BR34" s="14">
        <f t="shared" si="37"/>
        <v>10.592752500000001</v>
      </c>
      <c r="BS34" s="14">
        <f t="shared" si="38"/>
        <v>10.592752500000001</v>
      </c>
      <c r="BT34" s="14"/>
      <c r="BU34" s="14"/>
      <c r="BV34" s="14">
        <f t="shared" si="39"/>
        <v>2673.1269674999999</v>
      </c>
      <c r="BW34" s="14">
        <f t="shared" si="12"/>
        <v>2673.1269674999999</v>
      </c>
      <c r="BX34" s="14"/>
      <c r="BY34" s="14"/>
      <c r="BZ34" s="14">
        <f t="shared" si="40"/>
        <v>6829.6563224999991</v>
      </c>
      <c r="CA34" s="14">
        <f t="shared" si="13"/>
        <v>6829.6563224999991</v>
      </c>
      <c r="CB34" s="14"/>
      <c r="CC34" s="14"/>
      <c r="CD34" s="14">
        <f t="shared" si="41"/>
        <v>11543.097555</v>
      </c>
      <c r="CE34" s="14">
        <f t="shared" si="14"/>
        <v>11543.097555</v>
      </c>
      <c r="CF34" s="14"/>
      <c r="CG34" s="14"/>
      <c r="CH34" s="14">
        <f t="shared" si="42"/>
        <v>94954.601115000012</v>
      </c>
      <c r="CI34" s="14">
        <f t="shared" si="15"/>
        <v>94954.601115000012</v>
      </c>
      <c r="CJ34" s="14"/>
      <c r="CK34" s="14"/>
      <c r="CL34" s="14">
        <f t="shared" si="43"/>
        <v>1782.8353125000001</v>
      </c>
      <c r="CM34" s="14">
        <f t="shared" si="16"/>
        <v>1782.8353125000001</v>
      </c>
      <c r="CN34" s="14"/>
      <c r="CO34" s="14"/>
      <c r="CP34" s="14">
        <f t="shared" si="44"/>
        <v>8496.5552100000004</v>
      </c>
      <c r="CQ34" s="14">
        <f t="shared" si="17"/>
        <v>8496.5552100000004</v>
      </c>
      <c r="CR34" s="14"/>
      <c r="CS34" s="14"/>
      <c r="CT34" s="14">
        <f t="shared" si="45"/>
        <v>15299.604539999998</v>
      </c>
      <c r="CU34" s="14">
        <f t="shared" si="46"/>
        <v>15299.604539999998</v>
      </c>
      <c r="CV34" s="14"/>
      <c r="CW34" s="14"/>
      <c r="CX34" s="14">
        <f t="shared" si="47"/>
        <v>15278.919479999999</v>
      </c>
      <c r="CY34" s="14">
        <f t="shared" si="18"/>
        <v>15278.919479999999</v>
      </c>
      <c r="CZ34" s="14"/>
      <c r="DA34" s="14"/>
      <c r="DB34" s="14"/>
      <c r="DC34" s="14"/>
      <c r="DE34" s="14"/>
      <c r="DF34" s="14"/>
      <c r="DG34" s="14"/>
    </row>
    <row r="35" spans="1:111" x14ac:dyDescent="0.2">
      <c r="A35" s="12">
        <v>44652</v>
      </c>
      <c r="C35" s="15">
        <v>0</v>
      </c>
      <c r="D35" s="15">
        <v>0</v>
      </c>
      <c r="E35" s="15">
        <v>4985000</v>
      </c>
      <c r="F35" s="15">
        <v>834075</v>
      </c>
      <c r="I35" s="15">
        <f t="shared" si="21"/>
        <v>4985000</v>
      </c>
      <c r="J35" s="15">
        <f t="shared" si="19"/>
        <v>834075</v>
      </c>
      <c r="K35" s="15">
        <f t="shared" si="1"/>
        <v>5819075</v>
      </c>
      <c r="M35" s="14">
        <v>505073</v>
      </c>
      <c r="N35" s="14">
        <v>84507</v>
      </c>
      <c r="O35" s="14">
        <f t="shared" si="23"/>
        <v>589580</v>
      </c>
      <c r="Q35" s="14">
        <f t="shared" si="22"/>
        <v>4479926.7790000001</v>
      </c>
      <c r="R35" s="15">
        <f t="shared" si="20"/>
        <v>749567.68870499986</v>
      </c>
      <c r="S35" s="14">
        <f t="shared" si="0"/>
        <v>5229494.4677050002</v>
      </c>
      <c r="U35" s="3">
        <f t="shared" si="48"/>
        <v>1248013.693</v>
      </c>
      <c r="V35" s="3">
        <f t="shared" si="24"/>
        <v>208813.84573500001</v>
      </c>
      <c r="W35" s="3">
        <f t="shared" si="2"/>
        <v>1456827.538735</v>
      </c>
      <c r="Y35" s="3">
        <f t="shared" si="49"/>
        <v>96290.26</v>
      </c>
      <c r="Z35" s="3">
        <f t="shared" si="25"/>
        <v>16110.992700000001</v>
      </c>
      <c r="AA35" s="3">
        <f t="shared" si="3"/>
        <v>112401.2527</v>
      </c>
      <c r="AC35" s="14">
        <f t="shared" si="50"/>
        <v>119266.125</v>
      </c>
      <c r="AD35" s="14">
        <f t="shared" si="26"/>
        <v>19955.244374999998</v>
      </c>
      <c r="AE35" s="14">
        <f t="shared" si="69"/>
        <v>139221.36937500001</v>
      </c>
      <c r="AG35" s="3">
        <f t="shared" si="51"/>
        <v>59092.688500000004</v>
      </c>
      <c r="AH35" s="3">
        <f t="shared" si="27"/>
        <v>9887.2084575000008</v>
      </c>
      <c r="AI35" s="3">
        <f t="shared" si="4"/>
        <v>68979.896957500008</v>
      </c>
      <c r="AK35" s="3">
        <f t="shared" si="52"/>
        <v>1077324.3020000001</v>
      </c>
      <c r="AL35" s="3">
        <f t="shared" si="28"/>
        <v>180254.61728999999</v>
      </c>
      <c r="AM35" s="3">
        <f t="shared" si="5"/>
        <v>1257578.9192900001</v>
      </c>
      <c r="AN35" s="14"/>
      <c r="AO35" s="3">
        <f t="shared" si="53"/>
        <v>142060.03749999998</v>
      </c>
      <c r="AP35" s="3">
        <f t="shared" si="29"/>
        <v>23769.052312499996</v>
      </c>
      <c r="AQ35" s="3">
        <f t="shared" si="6"/>
        <v>165829.08981249997</v>
      </c>
      <c r="AR35" s="14"/>
      <c r="AS35" s="14">
        <f t="shared" si="54"/>
        <v>42138.205000000002</v>
      </c>
      <c r="AT35" s="14">
        <f t="shared" si="30"/>
        <v>7050.4359750000003</v>
      </c>
      <c r="AU35" s="14">
        <f t="shared" si="7"/>
        <v>49188.640975000002</v>
      </c>
      <c r="AV35" s="14"/>
      <c r="AW35" s="14">
        <f t="shared" si="55"/>
        <v>18531.737500000003</v>
      </c>
      <c r="AX35" s="14">
        <f t="shared" si="31"/>
        <v>3100.6738125000002</v>
      </c>
      <c r="AY35" s="14">
        <f t="shared" si="32"/>
        <v>21632.411312500004</v>
      </c>
      <c r="AZ35" s="14"/>
      <c r="BA35" s="14">
        <f t="shared" si="56"/>
        <v>162406.81349999999</v>
      </c>
      <c r="BB35" s="14">
        <f t="shared" si="33"/>
        <v>27173.412832499998</v>
      </c>
      <c r="BC35" s="14">
        <f t="shared" si="8"/>
        <v>189580.22633249999</v>
      </c>
      <c r="BD35" s="14"/>
      <c r="BE35" s="14">
        <f t="shared" si="57"/>
        <v>12577.155000000002</v>
      </c>
      <c r="BF35" s="14">
        <f t="shared" si="34"/>
        <v>2104.3712250000003</v>
      </c>
      <c r="BG35" s="14">
        <f t="shared" si="9"/>
        <v>14681.526225000003</v>
      </c>
      <c r="BH35" s="14"/>
      <c r="BI35" s="14">
        <f t="shared" si="58"/>
        <v>541666.11199999996</v>
      </c>
      <c r="BJ35" s="14">
        <f t="shared" si="35"/>
        <v>90629.92224</v>
      </c>
      <c r="BK35" s="14">
        <f t="shared" si="10"/>
        <v>632296.03423999995</v>
      </c>
      <c r="BL35" s="14"/>
      <c r="BM35" s="14">
        <f t="shared" si="59"/>
        <v>23003.781000000003</v>
      </c>
      <c r="BN35" s="14">
        <f t="shared" si="36"/>
        <v>3848.9224949999998</v>
      </c>
      <c r="BO35" s="14">
        <f t="shared" si="11"/>
        <v>26852.703495000002</v>
      </c>
      <c r="BP35" s="14"/>
      <c r="BQ35" s="14">
        <f t="shared" si="60"/>
        <v>63.309500000000007</v>
      </c>
      <c r="BR35" s="14">
        <f t="shared" si="37"/>
        <v>10.592752500000001</v>
      </c>
      <c r="BS35" s="14">
        <f t="shared" si="38"/>
        <v>73.902252500000003</v>
      </c>
      <c r="BT35" s="14"/>
      <c r="BU35" s="14">
        <f t="shared" si="61"/>
        <v>15976.4265</v>
      </c>
      <c r="BV35" s="14">
        <f t="shared" si="39"/>
        <v>2673.1269674999999</v>
      </c>
      <c r="BW35" s="14">
        <f t="shared" si="12"/>
        <v>18649.553467499998</v>
      </c>
      <c r="BX35" s="14"/>
      <c r="BY35" s="14">
        <f t="shared" si="62"/>
        <v>40818.675499999998</v>
      </c>
      <c r="BZ35" s="14">
        <f t="shared" si="40"/>
        <v>6829.6563224999991</v>
      </c>
      <c r="CA35" s="14">
        <f t="shared" si="13"/>
        <v>47648.331822499997</v>
      </c>
      <c r="CB35" s="14"/>
      <c r="CC35" s="14">
        <f t="shared" si="63"/>
        <v>68989.409</v>
      </c>
      <c r="CD35" s="14">
        <f t="shared" si="41"/>
        <v>11543.097555</v>
      </c>
      <c r="CE35" s="14">
        <f t="shared" si="14"/>
        <v>80532.506555</v>
      </c>
      <c r="CF35" s="14"/>
      <c r="CG35" s="14">
        <f t="shared" si="64"/>
        <v>567513.33700000006</v>
      </c>
      <c r="CH35" s="14">
        <f t="shared" si="42"/>
        <v>94954.601115000012</v>
      </c>
      <c r="CI35" s="14">
        <f t="shared" si="15"/>
        <v>662467.93811500003</v>
      </c>
      <c r="CJ35" s="14"/>
      <c r="CK35" s="14">
        <f t="shared" si="65"/>
        <v>10655.4375</v>
      </c>
      <c r="CL35" s="14">
        <f t="shared" si="43"/>
        <v>1782.8353125000001</v>
      </c>
      <c r="CM35" s="14">
        <f t="shared" si="16"/>
        <v>12438.272812499999</v>
      </c>
      <c r="CN35" s="14"/>
      <c r="CO35" s="14">
        <f t="shared" si="66"/>
        <v>50781.197999999997</v>
      </c>
      <c r="CP35" s="14">
        <f t="shared" si="44"/>
        <v>8496.5552100000004</v>
      </c>
      <c r="CQ35" s="14">
        <f t="shared" si="17"/>
        <v>59277.753209999995</v>
      </c>
      <c r="CR35" s="14"/>
      <c r="CS35" s="14">
        <f t="shared" si="67"/>
        <v>91440.851999999999</v>
      </c>
      <c r="CT35" s="14">
        <f t="shared" si="45"/>
        <v>15299.604539999998</v>
      </c>
      <c r="CU35" s="14">
        <f t="shared" si="46"/>
        <v>106740.45654</v>
      </c>
      <c r="CV35" s="14"/>
      <c r="CW35" s="14">
        <f t="shared" si="68"/>
        <v>91317.224000000002</v>
      </c>
      <c r="CX35" s="14">
        <f t="shared" si="47"/>
        <v>15278.919479999999</v>
      </c>
      <c r="CY35" s="14">
        <f t="shared" si="18"/>
        <v>106596.14348</v>
      </c>
      <c r="CZ35" s="14"/>
      <c r="DA35" s="14"/>
      <c r="DB35" s="14"/>
      <c r="DC35" s="14"/>
      <c r="DE35" s="14"/>
      <c r="DF35" s="14"/>
      <c r="DG35" s="14"/>
    </row>
    <row r="36" spans="1:111" x14ac:dyDescent="0.2">
      <c r="A36" s="12">
        <v>44835</v>
      </c>
      <c r="D36" s="15">
        <v>0</v>
      </c>
      <c r="F36" s="15">
        <v>709450</v>
      </c>
      <c r="J36" s="15">
        <f t="shared" si="19"/>
        <v>709450</v>
      </c>
      <c r="K36" s="15">
        <f t="shared" si="1"/>
        <v>709450</v>
      </c>
      <c r="N36" s="14">
        <v>71880</v>
      </c>
      <c r="O36" s="14">
        <f t="shared" si="23"/>
        <v>71880</v>
      </c>
      <c r="Q36" s="14"/>
      <c r="R36" s="15">
        <f t="shared" si="20"/>
        <v>637569.51922999986</v>
      </c>
      <c r="S36" s="14">
        <f t="shared" si="0"/>
        <v>637569.51922999986</v>
      </c>
      <c r="U36" s="3"/>
      <c r="V36" s="3">
        <f t="shared" si="24"/>
        <v>177613.50340999998</v>
      </c>
      <c r="W36" s="3">
        <f t="shared" si="2"/>
        <v>177613.50340999998</v>
      </c>
      <c r="Y36" s="3"/>
      <c r="Z36" s="3">
        <f t="shared" si="25"/>
        <v>13703.736199999999</v>
      </c>
      <c r="AA36" s="3">
        <f t="shared" si="3"/>
        <v>13703.736199999999</v>
      </c>
      <c r="AD36" s="14">
        <f t="shared" si="26"/>
        <v>16973.591250000001</v>
      </c>
      <c r="AE36" s="14">
        <f t="shared" si="69"/>
        <v>16973.591250000001</v>
      </c>
      <c r="AG36" s="3"/>
      <c r="AH36" s="3">
        <f t="shared" si="27"/>
        <v>8409.8912450000007</v>
      </c>
      <c r="AI36" s="3">
        <f t="shared" si="4"/>
        <v>8409.8912450000007</v>
      </c>
      <c r="AK36" s="3"/>
      <c r="AL36" s="3">
        <f t="shared" si="28"/>
        <v>153321.50974000001</v>
      </c>
      <c r="AM36" s="3">
        <f t="shared" si="5"/>
        <v>153321.50974000001</v>
      </c>
      <c r="AN36" s="14"/>
      <c r="AO36" s="3"/>
      <c r="AP36" s="3">
        <f t="shared" si="29"/>
        <v>20217.551374999999</v>
      </c>
      <c r="AQ36" s="3">
        <f t="shared" si="6"/>
        <v>20217.551374999999</v>
      </c>
      <c r="AR36" s="14"/>
      <c r="AS36" s="14"/>
      <c r="AT36" s="14">
        <f t="shared" si="30"/>
        <v>5996.9808500000008</v>
      </c>
      <c r="AU36" s="14">
        <f t="shared" si="7"/>
        <v>5996.9808500000008</v>
      </c>
      <c r="AV36" s="14"/>
      <c r="AW36" s="14"/>
      <c r="AX36" s="14">
        <f t="shared" si="31"/>
        <v>2637.3803750000002</v>
      </c>
      <c r="AY36" s="14">
        <f t="shared" si="32"/>
        <v>2637.3803750000002</v>
      </c>
      <c r="AZ36" s="14"/>
      <c r="BA36" s="14"/>
      <c r="BB36" s="14">
        <f t="shared" si="33"/>
        <v>23113.242494999999</v>
      </c>
      <c r="BC36" s="14">
        <f t="shared" si="8"/>
        <v>23113.242494999999</v>
      </c>
      <c r="BD36" s="14"/>
      <c r="BE36" s="14"/>
      <c r="BF36" s="14">
        <f t="shared" si="34"/>
        <v>1789.9423500000003</v>
      </c>
      <c r="BG36" s="14">
        <f t="shared" si="9"/>
        <v>1789.9423500000003</v>
      </c>
      <c r="BH36" s="14"/>
      <c r="BI36" s="14"/>
      <c r="BJ36" s="14">
        <f t="shared" si="35"/>
        <v>77088.269439999989</v>
      </c>
      <c r="BK36" s="14">
        <f t="shared" si="10"/>
        <v>77088.269439999989</v>
      </c>
      <c r="BL36" s="14"/>
      <c r="BM36" s="14"/>
      <c r="BN36" s="14">
        <f t="shared" si="36"/>
        <v>3273.8279699999998</v>
      </c>
      <c r="BO36" s="14">
        <f t="shared" si="11"/>
        <v>3273.8279699999998</v>
      </c>
      <c r="BP36" s="14"/>
      <c r="BQ36" s="14"/>
      <c r="BR36" s="14">
        <f t="shared" si="37"/>
        <v>9.010015000000001</v>
      </c>
      <c r="BS36" s="14">
        <f t="shared" si="38"/>
        <v>9.010015000000001</v>
      </c>
      <c r="BT36" s="14"/>
      <c r="BU36" s="14"/>
      <c r="BV36" s="14">
        <f t="shared" si="39"/>
        <v>2273.7163049999999</v>
      </c>
      <c r="BW36" s="14">
        <f t="shared" si="12"/>
        <v>2273.7163049999999</v>
      </c>
      <c r="BX36" s="14"/>
      <c r="BY36" s="14"/>
      <c r="BZ36" s="14">
        <f t="shared" si="40"/>
        <v>5809.1894349999993</v>
      </c>
      <c r="CA36" s="14">
        <f t="shared" si="13"/>
        <v>5809.1894349999993</v>
      </c>
      <c r="CB36" s="14"/>
      <c r="CC36" s="14"/>
      <c r="CD36" s="14">
        <f t="shared" si="41"/>
        <v>9818.3623299999999</v>
      </c>
      <c r="CE36" s="14">
        <f t="shared" si="14"/>
        <v>9818.3623299999999</v>
      </c>
      <c r="CF36" s="14"/>
      <c r="CG36" s="14"/>
      <c r="CH36" s="14">
        <f t="shared" si="42"/>
        <v>80766.767690000008</v>
      </c>
      <c r="CI36" s="14">
        <f t="shared" si="15"/>
        <v>80766.767690000008</v>
      </c>
      <c r="CJ36" s="14"/>
      <c r="CK36" s="14"/>
      <c r="CL36" s="14">
        <f t="shared" si="43"/>
        <v>1516.4493749999999</v>
      </c>
      <c r="CM36" s="14">
        <f t="shared" si="16"/>
        <v>1516.4493749999999</v>
      </c>
      <c r="CN36" s="14"/>
      <c r="CO36" s="14"/>
      <c r="CP36" s="14">
        <f t="shared" si="44"/>
        <v>7227.0252600000003</v>
      </c>
      <c r="CQ36" s="14">
        <f t="shared" si="17"/>
        <v>7227.0252600000003</v>
      </c>
      <c r="CR36" s="14"/>
      <c r="CS36" s="14"/>
      <c r="CT36" s="14">
        <f t="shared" si="45"/>
        <v>13013.58324</v>
      </c>
      <c r="CU36" s="14">
        <f t="shared" si="46"/>
        <v>13013.58324</v>
      </c>
      <c r="CV36" s="14"/>
      <c r="CW36" s="14"/>
      <c r="CX36" s="14">
        <f t="shared" si="47"/>
        <v>12995.988880000001</v>
      </c>
      <c r="CY36" s="14">
        <f t="shared" si="18"/>
        <v>12995.988880000001</v>
      </c>
      <c r="CZ36" s="14"/>
      <c r="DA36" s="14"/>
      <c r="DB36" s="14"/>
      <c r="DC36" s="14"/>
      <c r="DE36" s="14"/>
      <c r="DF36" s="14"/>
      <c r="DG36" s="14"/>
    </row>
    <row r="37" spans="1:111" x14ac:dyDescent="0.2">
      <c r="A37" s="12">
        <v>45017</v>
      </c>
      <c r="C37" s="15">
        <v>0</v>
      </c>
      <c r="D37" s="15">
        <v>0</v>
      </c>
      <c r="E37" s="15">
        <v>5230000</v>
      </c>
      <c r="F37" s="15">
        <v>709450</v>
      </c>
      <c r="I37" s="15">
        <f t="shared" si="21"/>
        <v>5230000</v>
      </c>
      <c r="J37" s="15">
        <f t="shared" si="19"/>
        <v>709450</v>
      </c>
      <c r="K37" s="15">
        <f t="shared" si="1"/>
        <v>5939450</v>
      </c>
      <c r="M37" s="14">
        <v>529896</v>
      </c>
      <c r="N37" s="14">
        <v>71880</v>
      </c>
      <c r="O37" s="14">
        <f t="shared" si="23"/>
        <v>601776</v>
      </c>
      <c r="Q37" s="14">
        <f t="shared" si="22"/>
        <v>4700103.7219999982</v>
      </c>
      <c r="R37" s="15">
        <f t="shared" si="20"/>
        <v>637569.51922999986</v>
      </c>
      <c r="S37" s="14">
        <f t="shared" si="0"/>
        <v>5337673.2412299979</v>
      </c>
      <c r="U37" s="3">
        <f t="shared" si="48"/>
        <v>1309350.3740000001</v>
      </c>
      <c r="V37" s="3">
        <f t="shared" si="24"/>
        <v>177613.50340999998</v>
      </c>
      <c r="W37" s="3">
        <f t="shared" si="2"/>
        <v>1486963.87741</v>
      </c>
      <c r="Y37" s="3">
        <f t="shared" si="49"/>
        <v>101022.68</v>
      </c>
      <c r="Z37" s="3">
        <f t="shared" si="25"/>
        <v>13703.736199999999</v>
      </c>
      <c r="AA37" s="3">
        <f t="shared" si="3"/>
        <v>114726.41619999999</v>
      </c>
      <c r="AC37" s="14">
        <f t="shared" si="50"/>
        <v>125127.75</v>
      </c>
      <c r="AD37" s="14">
        <f t="shared" si="26"/>
        <v>16973.591250000001</v>
      </c>
      <c r="AE37" s="14">
        <f t="shared" si="69"/>
        <v>142101.34125</v>
      </c>
      <c r="AG37" s="3">
        <f t="shared" si="51"/>
        <v>61996.943000000007</v>
      </c>
      <c r="AH37" s="3">
        <f t="shared" si="27"/>
        <v>8409.8912450000007</v>
      </c>
      <c r="AI37" s="3">
        <f t="shared" si="4"/>
        <v>70406.834245000005</v>
      </c>
      <c r="AK37" s="3">
        <f t="shared" si="52"/>
        <v>1130272.0359999998</v>
      </c>
      <c r="AL37" s="3">
        <f t="shared" si="28"/>
        <v>153321.50974000001</v>
      </c>
      <c r="AM37" s="3">
        <f t="shared" si="5"/>
        <v>1283593.54574</v>
      </c>
      <c r="AN37" s="14"/>
      <c r="AO37" s="3">
        <f t="shared" si="53"/>
        <v>149041.92499999999</v>
      </c>
      <c r="AP37" s="3">
        <f t="shared" si="29"/>
        <v>20217.551374999999</v>
      </c>
      <c r="AQ37" s="3">
        <f t="shared" si="6"/>
        <v>169259.476375</v>
      </c>
      <c r="AR37" s="14"/>
      <c r="AS37" s="14">
        <f t="shared" si="54"/>
        <v>44209.19</v>
      </c>
      <c r="AT37" s="14">
        <f t="shared" si="30"/>
        <v>5996.9808500000008</v>
      </c>
      <c r="AU37" s="14">
        <f t="shared" si="7"/>
        <v>50206.170850000002</v>
      </c>
      <c r="AV37" s="14"/>
      <c r="AW37" s="14">
        <f t="shared" si="55"/>
        <v>19442.525000000001</v>
      </c>
      <c r="AX37" s="14">
        <f t="shared" si="31"/>
        <v>2637.3803750000002</v>
      </c>
      <c r="AY37" s="14">
        <f t="shared" si="32"/>
        <v>22079.905375000002</v>
      </c>
      <c r="AZ37" s="14"/>
      <c r="BA37" s="14">
        <f t="shared" si="56"/>
        <v>170388.693</v>
      </c>
      <c r="BB37" s="14">
        <f t="shared" si="33"/>
        <v>23113.242494999999</v>
      </c>
      <c r="BC37" s="14">
        <f t="shared" si="8"/>
        <v>193501.93549499998</v>
      </c>
      <c r="BD37" s="14"/>
      <c r="BE37" s="14">
        <f t="shared" si="57"/>
        <v>13195.290000000003</v>
      </c>
      <c r="BF37" s="14">
        <f t="shared" si="34"/>
        <v>1789.9423500000003</v>
      </c>
      <c r="BG37" s="14">
        <f t="shared" si="9"/>
        <v>14985.232350000002</v>
      </c>
      <c r="BH37" s="14"/>
      <c r="BI37" s="14">
        <f t="shared" si="58"/>
        <v>568287.61599999992</v>
      </c>
      <c r="BJ37" s="14">
        <f t="shared" si="35"/>
        <v>77088.269439999989</v>
      </c>
      <c r="BK37" s="14">
        <f t="shared" si="10"/>
        <v>645375.88543999987</v>
      </c>
      <c r="BL37" s="14"/>
      <c r="BM37" s="14">
        <f t="shared" si="59"/>
        <v>24134.357999999997</v>
      </c>
      <c r="BN37" s="14">
        <f t="shared" si="36"/>
        <v>3273.8279699999998</v>
      </c>
      <c r="BO37" s="14">
        <f t="shared" si="11"/>
        <v>27408.185969999995</v>
      </c>
      <c r="BP37" s="14"/>
      <c r="BQ37" s="14">
        <f t="shared" si="60"/>
        <v>66.421000000000006</v>
      </c>
      <c r="BR37" s="14">
        <f t="shared" si="37"/>
        <v>9.010015000000001</v>
      </c>
      <c r="BS37" s="14">
        <f t="shared" si="38"/>
        <v>75.431015000000002</v>
      </c>
      <c r="BT37" s="14"/>
      <c r="BU37" s="14">
        <f t="shared" si="61"/>
        <v>16761.627</v>
      </c>
      <c r="BV37" s="14">
        <f t="shared" si="39"/>
        <v>2273.7163049999999</v>
      </c>
      <c r="BW37" s="14">
        <f t="shared" si="12"/>
        <v>19035.343305000002</v>
      </c>
      <c r="BX37" s="14"/>
      <c r="BY37" s="14">
        <f t="shared" si="62"/>
        <v>42824.808999999994</v>
      </c>
      <c r="BZ37" s="14">
        <f t="shared" si="40"/>
        <v>5809.1894349999993</v>
      </c>
      <c r="CA37" s="14">
        <f t="shared" si="13"/>
        <v>48633.998434999994</v>
      </c>
      <c r="CB37" s="14"/>
      <c r="CC37" s="14">
        <f t="shared" si="63"/>
        <v>72380.062000000005</v>
      </c>
      <c r="CD37" s="14">
        <f t="shared" si="41"/>
        <v>9818.3623299999999</v>
      </c>
      <c r="CE37" s="14">
        <f t="shared" si="14"/>
        <v>82198.424330000009</v>
      </c>
      <c r="CF37" s="14"/>
      <c r="CG37" s="14">
        <f t="shared" si="64"/>
        <v>595405.16599999997</v>
      </c>
      <c r="CH37" s="14">
        <f t="shared" si="42"/>
        <v>80766.767690000008</v>
      </c>
      <c r="CI37" s="14">
        <f t="shared" si="15"/>
        <v>676171.93368999998</v>
      </c>
      <c r="CJ37" s="14"/>
      <c r="CK37" s="14">
        <f t="shared" si="65"/>
        <v>11179.125</v>
      </c>
      <c r="CL37" s="14">
        <f t="shared" si="43"/>
        <v>1516.4493749999999</v>
      </c>
      <c r="CM37" s="14">
        <f t="shared" si="16"/>
        <v>12695.574375</v>
      </c>
      <c r="CN37" s="14"/>
      <c r="CO37" s="14">
        <f t="shared" si="66"/>
        <v>53276.964000000007</v>
      </c>
      <c r="CP37" s="14">
        <f t="shared" si="44"/>
        <v>7227.0252600000003</v>
      </c>
      <c r="CQ37" s="14">
        <f t="shared" si="17"/>
        <v>60503.989260000009</v>
      </c>
      <c r="CR37" s="14"/>
      <c r="CS37" s="14">
        <f t="shared" si="67"/>
        <v>95934.936000000002</v>
      </c>
      <c r="CT37" s="14">
        <f t="shared" si="45"/>
        <v>13013.58324</v>
      </c>
      <c r="CU37" s="14">
        <f t="shared" si="46"/>
        <v>108948.51923999999</v>
      </c>
      <c r="CV37" s="14"/>
      <c r="CW37" s="14">
        <f t="shared" si="68"/>
        <v>95805.231999999989</v>
      </c>
      <c r="CX37" s="14">
        <f t="shared" si="47"/>
        <v>12995.988880000001</v>
      </c>
      <c r="CY37" s="14">
        <f t="shared" si="18"/>
        <v>108801.22087999999</v>
      </c>
      <c r="CZ37" s="14"/>
      <c r="DA37" s="14"/>
      <c r="DB37" s="14"/>
      <c r="DC37" s="14"/>
      <c r="DE37" s="14"/>
      <c r="DF37" s="14"/>
      <c r="DG37" s="14"/>
    </row>
    <row r="38" spans="1:111" x14ac:dyDescent="0.2">
      <c r="A38" s="12">
        <v>45200</v>
      </c>
      <c r="D38" s="15">
        <v>0</v>
      </c>
      <c r="F38" s="15">
        <v>578700</v>
      </c>
      <c r="J38" s="15">
        <f t="shared" si="19"/>
        <v>578700</v>
      </c>
      <c r="K38" s="15">
        <f t="shared" si="1"/>
        <v>578700</v>
      </c>
      <c r="N38" s="14">
        <v>58633</v>
      </c>
      <c r="O38" s="14">
        <f t="shared" si="23"/>
        <v>58633</v>
      </c>
      <c r="Q38" s="14"/>
      <c r="R38" s="15">
        <f t="shared" si="20"/>
        <v>520066.92618000001</v>
      </c>
      <c r="S38" s="14">
        <f t="shared" si="0"/>
        <v>520066.92618000001</v>
      </c>
      <c r="U38" s="3"/>
      <c r="V38" s="3">
        <f t="shared" si="24"/>
        <v>144879.74406</v>
      </c>
      <c r="W38" s="3">
        <f t="shared" si="2"/>
        <v>144879.74406</v>
      </c>
      <c r="Y38" s="3"/>
      <c r="Z38" s="3">
        <f t="shared" si="25"/>
        <v>11178.169199999998</v>
      </c>
      <c r="AA38" s="3">
        <f t="shared" si="3"/>
        <v>11178.169199999998</v>
      </c>
      <c r="AD38" s="14">
        <f t="shared" si="26"/>
        <v>13845.397499999999</v>
      </c>
      <c r="AE38" s="14">
        <f t="shared" si="69"/>
        <v>13845.397499999999</v>
      </c>
      <c r="AG38" s="3"/>
      <c r="AH38" s="3">
        <f t="shared" si="27"/>
        <v>6859.96767</v>
      </c>
      <c r="AI38" s="3">
        <f t="shared" si="4"/>
        <v>6859.96767</v>
      </c>
      <c r="AK38" s="3"/>
      <c r="AL38" s="3">
        <f t="shared" si="28"/>
        <v>125064.70883999999</v>
      </c>
      <c r="AM38" s="3">
        <f t="shared" si="5"/>
        <v>125064.70883999999</v>
      </c>
      <c r="AN38" s="14"/>
      <c r="AO38" s="3"/>
      <c r="AP38" s="3">
        <f t="shared" si="29"/>
        <v>16491.503249999998</v>
      </c>
      <c r="AQ38" s="3">
        <f t="shared" si="6"/>
        <v>16491.503249999998</v>
      </c>
      <c r="AR38" s="14"/>
      <c r="AS38" s="14"/>
      <c r="AT38" s="14">
        <f t="shared" si="30"/>
        <v>4891.7511000000004</v>
      </c>
      <c r="AU38" s="14">
        <f t="shared" si="7"/>
        <v>4891.7511000000004</v>
      </c>
      <c r="AV38" s="14"/>
      <c r="AW38" s="14"/>
      <c r="AX38" s="14">
        <f t="shared" si="31"/>
        <v>2151.3172500000001</v>
      </c>
      <c r="AY38" s="14">
        <f t="shared" si="32"/>
        <v>2151.3172500000001</v>
      </c>
      <c r="AZ38" s="14"/>
      <c r="BA38" s="14"/>
      <c r="BB38" s="14">
        <f t="shared" si="33"/>
        <v>18853.525170000001</v>
      </c>
      <c r="BC38" s="14">
        <f t="shared" si="8"/>
        <v>18853.525170000001</v>
      </c>
      <c r="BD38" s="14"/>
      <c r="BE38" s="14"/>
      <c r="BF38" s="14">
        <f t="shared" si="34"/>
        <v>1460.0601000000001</v>
      </c>
      <c r="BG38" s="14">
        <f t="shared" si="9"/>
        <v>1460.0601000000001</v>
      </c>
      <c r="BH38" s="14"/>
      <c r="BI38" s="14"/>
      <c r="BJ38" s="14">
        <f t="shared" si="35"/>
        <v>62881.07903999999</v>
      </c>
      <c r="BK38" s="14">
        <f t="shared" si="10"/>
        <v>62881.07903999999</v>
      </c>
      <c r="BL38" s="14"/>
      <c r="BM38" s="14"/>
      <c r="BN38" s="14">
        <f t="shared" si="36"/>
        <v>2670.46902</v>
      </c>
      <c r="BO38" s="14">
        <f t="shared" si="11"/>
        <v>2670.46902</v>
      </c>
      <c r="BP38" s="14"/>
      <c r="BQ38" s="14"/>
      <c r="BR38" s="14">
        <f t="shared" si="37"/>
        <v>7.3494900000000003</v>
      </c>
      <c r="BS38" s="14">
        <f t="shared" si="38"/>
        <v>7.3494900000000003</v>
      </c>
      <c r="BT38" s="14"/>
      <c r="BU38" s="14"/>
      <c r="BV38" s="14">
        <f t="shared" si="39"/>
        <v>1854.67563</v>
      </c>
      <c r="BW38" s="14">
        <f t="shared" si="12"/>
        <v>1854.67563</v>
      </c>
      <c r="BX38" s="14"/>
      <c r="BY38" s="14"/>
      <c r="BZ38" s="14">
        <f t="shared" si="40"/>
        <v>4738.5692099999997</v>
      </c>
      <c r="CA38" s="14">
        <f t="shared" si="13"/>
        <v>4738.5692099999997</v>
      </c>
      <c r="CB38" s="14"/>
      <c r="CC38" s="14"/>
      <c r="CD38" s="14">
        <f t="shared" si="41"/>
        <v>8008.86078</v>
      </c>
      <c r="CE38" s="14">
        <f t="shared" si="14"/>
        <v>8008.86078</v>
      </c>
      <c r="CF38" s="14"/>
      <c r="CG38" s="14"/>
      <c r="CH38" s="14">
        <f t="shared" si="42"/>
        <v>65881.63854</v>
      </c>
      <c r="CI38" s="14">
        <f t="shared" si="15"/>
        <v>65881.63854</v>
      </c>
      <c r="CJ38" s="14"/>
      <c r="CK38" s="14"/>
      <c r="CL38" s="14">
        <f t="shared" si="43"/>
        <v>1236.9712500000001</v>
      </c>
      <c r="CM38" s="14">
        <f t="shared" si="16"/>
        <v>1236.9712500000001</v>
      </c>
      <c r="CN38" s="14"/>
      <c r="CO38" s="14"/>
      <c r="CP38" s="14">
        <f t="shared" si="44"/>
        <v>5895.1011600000002</v>
      </c>
      <c r="CQ38" s="14">
        <f t="shared" si="17"/>
        <v>5895.1011600000002</v>
      </c>
      <c r="CR38" s="14"/>
      <c r="CS38" s="14"/>
      <c r="CT38" s="14">
        <f t="shared" si="45"/>
        <v>10615.20984</v>
      </c>
      <c r="CU38" s="14">
        <f t="shared" si="46"/>
        <v>10615.20984</v>
      </c>
      <c r="CV38" s="14"/>
      <c r="CW38" s="14"/>
      <c r="CX38" s="14">
        <f t="shared" si="47"/>
        <v>10600.85808</v>
      </c>
      <c r="CY38" s="14">
        <f t="shared" si="18"/>
        <v>10600.85808</v>
      </c>
      <c r="CZ38" s="14"/>
      <c r="DA38" s="14"/>
      <c r="DB38" s="14"/>
      <c r="DC38" s="14"/>
      <c r="DE38" s="14"/>
      <c r="DF38" s="14"/>
      <c r="DG38" s="14"/>
    </row>
    <row r="39" spans="1:111" x14ac:dyDescent="0.2">
      <c r="A39" s="12">
        <v>45383</v>
      </c>
      <c r="C39" s="15">
        <v>0</v>
      </c>
      <c r="D39" s="15">
        <v>0</v>
      </c>
      <c r="E39" s="15">
        <v>5495000</v>
      </c>
      <c r="F39" s="15">
        <v>578700</v>
      </c>
      <c r="I39" s="15">
        <f t="shared" si="21"/>
        <v>5495000</v>
      </c>
      <c r="J39" s="15">
        <f t="shared" si="19"/>
        <v>578700</v>
      </c>
      <c r="K39" s="15">
        <f t="shared" si="1"/>
        <v>6073700</v>
      </c>
      <c r="M39" s="14">
        <v>556746</v>
      </c>
      <c r="N39" s="14">
        <v>58633</v>
      </c>
      <c r="O39" s="14">
        <f t="shared" si="23"/>
        <v>615379</v>
      </c>
      <c r="Q39" s="14">
        <f t="shared" si="22"/>
        <v>4938254.2929999996</v>
      </c>
      <c r="R39" s="15">
        <f t="shared" si="20"/>
        <v>520066.92618000001</v>
      </c>
      <c r="S39" s="14">
        <f t="shared" si="0"/>
        <v>5458321.21918</v>
      </c>
      <c r="U39" s="3">
        <f t="shared" si="48"/>
        <v>1375694.1310000001</v>
      </c>
      <c r="V39" s="3">
        <f t="shared" si="24"/>
        <v>144879.74406</v>
      </c>
      <c r="W39" s="3">
        <f t="shared" si="2"/>
        <v>1520573.87506</v>
      </c>
      <c r="Y39" s="3">
        <f t="shared" si="49"/>
        <v>106141.42</v>
      </c>
      <c r="Z39" s="3">
        <f t="shared" si="25"/>
        <v>11178.169199999998</v>
      </c>
      <c r="AA39" s="3">
        <f t="shared" si="3"/>
        <v>117319.5892</v>
      </c>
      <c r="AC39" s="14">
        <f t="shared" si="50"/>
        <v>131467.875</v>
      </c>
      <c r="AD39" s="14">
        <f t="shared" si="26"/>
        <v>13845.397499999999</v>
      </c>
      <c r="AE39" s="14">
        <f t="shared" si="69"/>
        <v>145313.27249999999</v>
      </c>
      <c r="AG39" s="3">
        <f t="shared" si="51"/>
        <v>65138.279500000004</v>
      </c>
      <c r="AH39" s="3">
        <f t="shared" si="27"/>
        <v>6859.96767</v>
      </c>
      <c r="AI39" s="3">
        <f t="shared" si="4"/>
        <v>71998.247170000002</v>
      </c>
      <c r="AK39" s="3">
        <f t="shared" si="52"/>
        <v>1187542.034</v>
      </c>
      <c r="AL39" s="3">
        <f t="shared" si="28"/>
        <v>125064.70883999999</v>
      </c>
      <c r="AM39" s="3">
        <f t="shared" si="5"/>
        <v>1312606.74284</v>
      </c>
      <c r="AN39" s="14"/>
      <c r="AO39" s="3">
        <f t="shared" si="53"/>
        <v>156593.76249999998</v>
      </c>
      <c r="AP39" s="3">
        <f t="shared" si="29"/>
        <v>16491.503249999998</v>
      </c>
      <c r="AQ39" s="3">
        <f t="shared" si="6"/>
        <v>173085.26574999999</v>
      </c>
      <c r="AR39" s="14"/>
      <c r="AS39" s="14">
        <f t="shared" si="54"/>
        <v>46449.235000000001</v>
      </c>
      <c r="AT39" s="14">
        <f t="shared" si="30"/>
        <v>4891.7511000000004</v>
      </c>
      <c r="AU39" s="14">
        <f t="shared" si="7"/>
        <v>51340.986100000002</v>
      </c>
      <c r="AV39" s="14"/>
      <c r="AW39" s="14">
        <f t="shared" si="55"/>
        <v>20427.662500000002</v>
      </c>
      <c r="AX39" s="14">
        <f t="shared" si="31"/>
        <v>2151.3172500000001</v>
      </c>
      <c r="AY39" s="14">
        <f t="shared" si="32"/>
        <v>22578.979750000002</v>
      </c>
      <c r="AZ39" s="14"/>
      <c r="BA39" s="14">
        <f t="shared" si="56"/>
        <v>179022.1545</v>
      </c>
      <c r="BB39" s="14">
        <f t="shared" si="33"/>
        <v>18853.525170000001</v>
      </c>
      <c r="BC39" s="14">
        <f t="shared" si="8"/>
        <v>197875.67967000001</v>
      </c>
      <c r="BD39" s="14"/>
      <c r="BE39" s="14">
        <f t="shared" si="57"/>
        <v>13863.885000000002</v>
      </c>
      <c r="BF39" s="14">
        <f t="shared" si="34"/>
        <v>1460.0601000000001</v>
      </c>
      <c r="BG39" s="14">
        <f t="shared" si="9"/>
        <v>15323.945100000003</v>
      </c>
      <c r="BH39" s="14"/>
      <c r="BI39" s="14">
        <f t="shared" si="58"/>
        <v>597082.304</v>
      </c>
      <c r="BJ39" s="14">
        <f t="shared" si="35"/>
        <v>62881.07903999999</v>
      </c>
      <c r="BK39" s="14">
        <f t="shared" si="10"/>
        <v>659963.38303999999</v>
      </c>
      <c r="BL39" s="14"/>
      <c r="BM39" s="14">
        <f t="shared" si="59"/>
        <v>25357.226999999999</v>
      </c>
      <c r="BN39" s="14">
        <f t="shared" si="36"/>
        <v>2670.46902</v>
      </c>
      <c r="BO39" s="14">
        <f t="shared" si="11"/>
        <v>28027.696019999999</v>
      </c>
      <c r="BP39" s="14"/>
      <c r="BQ39" s="14">
        <f t="shared" si="60"/>
        <v>69.786500000000004</v>
      </c>
      <c r="BR39" s="14">
        <f t="shared" si="37"/>
        <v>7.3494900000000003</v>
      </c>
      <c r="BS39" s="14">
        <f t="shared" si="38"/>
        <v>77.135990000000007</v>
      </c>
      <c r="BT39" s="14"/>
      <c r="BU39" s="14">
        <f t="shared" si="61"/>
        <v>17610.925500000001</v>
      </c>
      <c r="BV39" s="14">
        <f t="shared" si="39"/>
        <v>1854.67563</v>
      </c>
      <c r="BW39" s="14">
        <f t="shared" si="12"/>
        <v>19465.601130000003</v>
      </c>
      <c r="BX39" s="14"/>
      <c r="BY39" s="14">
        <f t="shared" si="62"/>
        <v>44994.708499999993</v>
      </c>
      <c r="BZ39" s="14">
        <f t="shared" si="40"/>
        <v>4738.5692099999997</v>
      </c>
      <c r="CA39" s="14">
        <f t="shared" si="13"/>
        <v>49733.277709999995</v>
      </c>
      <c r="CB39" s="14"/>
      <c r="CC39" s="14">
        <f t="shared" si="63"/>
        <v>76047.502999999997</v>
      </c>
      <c r="CD39" s="14">
        <f t="shared" si="41"/>
        <v>8008.86078</v>
      </c>
      <c r="CE39" s="14">
        <f t="shared" si="14"/>
        <v>84056.36378</v>
      </c>
      <c r="CF39" s="14"/>
      <c r="CG39" s="14">
        <f t="shared" si="64"/>
        <v>625573.87900000007</v>
      </c>
      <c r="CH39" s="14">
        <f t="shared" si="42"/>
        <v>65881.63854</v>
      </c>
      <c r="CI39" s="14">
        <f t="shared" si="15"/>
        <v>691455.51754000003</v>
      </c>
      <c r="CJ39" s="14"/>
      <c r="CK39" s="14">
        <f t="shared" si="65"/>
        <v>11745.5625</v>
      </c>
      <c r="CL39" s="14">
        <f t="shared" si="43"/>
        <v>1236.9712500000001</v>
      </c>
      <c r="CM39" s="14">
        <f t="shared" si="16"/>
        <v>12982.533750000001</v>
      </c>
      <c r="CN39" s="14"/>
      <c r="CO39" s="14">
        <f t="shared" si="66"/>
        <v>55976.466000000008</v>
      </c>
      <c r="CP39" s="14">
        <f t="shared" si="44"/>
        <v>5895.1011600000002</v>
      </c>
      <c r="CQ39" s="14">
        <f t="shared" si="17"/>
        <v>61871.567160000006</v>
      </c>
      <c r="CR39" s="14"/>
      <c r="CS39" s="14">
        <f t="shared" si="67"/>
        <v>100795.88400000001</v>
      </c>
      <c r="CT39" s="14">
        <f t="shared" si="45"/>
        <v>10615.20984</v>
      </c>
      <c r="CU39" s="14">
        <f t="shared" si="46"/>
        <v>111411.09384</v>
      </c>
      <c r="CV39" s="14"/>
      <c r="CW39" s="14">
        <f t="shared" si="68"/>
        <v>100659.60799999999</v>
      </c>
      <c r="CX39" s="14">
        <f t="shared" si="47"/>
        <v>10600.85808</v>
      </c>
      <c r="CY39" s="14">
        <f t="shared" si="18"/>
        <v>111260.46608</v>
      </c>
      <c r="CZ39" s="14"/>
      <c r="DA39" s="14"/>
      <c r="DB39" s="14"/>
      <c r="DC39" s="14"/>
      <c r="DE39" s="14"/>
      <c r="DF39" s="14"/>
      <c r="DG39" s="14"/>
    </row>
    <row r="40" spans="1:111" x14ac:dyDescent="0.2">
      <c r="A40" s="12">
        <v>45566</v>
      </c>
      <c r="D40" s="15">
        <v>0</v>
      </c>
      <c r="F40" s="15">
        <v>441325</v>
      </c>
      <c r="J40" s="15">
        <f t="shared" si="19"/>
        <v>441325</v>
      </c>
      <c r="K40" s="15">
        <f t="shared" si="1"/>
        <v>441325</v>
      </c>
      <c r="N40" s="14">
        <v>44714</v>
      </c>
      <c r="O40" s="14">
        <f t="shared" si="23"/>
        <v>44714</v>
      </c>
      <c r="Q40" s="14"/>
      <c r="R40" s="15">
        <f t="shared" si="20"/>
        <v>396610.56885500002</v>
      </c>
      <c r="S40" s="14">
        <f t="shared" si="0"/>
        <v>396610.56885500002</v>
      </c>
      <c r="U40" s="3"/>
      <c r="V40" s="3">
        <f t="shared" si="24"/>
        <v>110487.39078500001</v>
      </c>
      <c r="W40" s="3">
        <f t="shared" si="2"/>
        <v>110487.39078500001</v>
      </c>
      <c r="Y40" s="3"/>
      <c r="Z40" s="3">
        <f t="shared" si="25"/>
        <v>8524.6337000000003</v>
      </c>
      <c r="AA40" s="3">
        <f t="shared" si="3"/>
        <v>8524.6337000000003</v>
      </c>
      <c r="AD40" s="14">
        <f t="shared" si="26"/>
        <v>10558.700624999999</v>
      </c>
      <c r="AE40" s="14">
        <f t="shared" si="69"/>
        <v>10558.700624999999</v>
      </c>
      <c r="AG40" s="3"/>
      <c r="AH40" s="3">
        <f t="shared" si="27"/>
        <v>5231.5106825000003</v>
      </c>
      <c r="AI40" s="3">
        <f t="shared" si="4"/>
        <v>5231.5106825000003</v>
      </c>
      <c r="AK40" s="3"/>
      <c r="AL40" s="3">
        <f t="shared" si="28"/>
        <v>95376.157989999992</v>
      </c>
      <c r="AM40" s="3">
        <f t="shared" si="5"/>
        <v>95376.157989999992</v>
      </c>
      <c r="AN40" s="14"/>
      <c r="AO40" s="3"/>
      <c r="AP40" s="3">
        <f t="shared" si="29"/>
        <v>12576.659187499999</v>
      </c>
      <c r="AQ40" s="3">
        <f t="shared" si="6"/>
        <v>12576.659187499999</v>
      </c>
      <c r="AR40" s="14"/>
      <c r="AS40" s="14"/>
      <c r="AT40" s="14">
        <f t="shared" si="30"/>
        <v>3730.5202250000002</v>
      </c>
      <c r="AU40" s="14">
        <f t="shared" si="7"/>
        <v>3730.5202250000002</v>
      </c>
      <c r="AV40" s="14"/>
      <c r="AW40" s="14"/>
      <c r="AX40" s="14">
        <f t="shared" si="31"/>
        <v>1640.6256875000001</v>
      </c>
      <c r="AY40" s="14">
        <f t="shared" si="32"/>
        <v>1640.6256875000001</v>
      </c>
      <c r="AZ40" s="14"/>
      <c r="BA40" s="14"/>
      <c r="BB40" s="14">
        <f t="shared" si="33"/>
        <v>14377.9713075</v>
      </c>
      <c r="BC40" s="14">
        <f t="shared" si="8"/>
        <v>14377.9713075</v>
      </c>
      <c r="BD40" s="14"/>
      <c r="BE40" s="14"/>
      <c r="BF40" s="14">
        <f t="shared" si="34"/>
        <v>1113.4629750000001</v>
      </c>
      <c r="BG40" s="14">
        <f t="shared" si="9"/>
        <v>1113.4629750000001</v>
      </c>
      <c r="BH40" s="14"/>
      <c r="BI40" s="14"/>
      <c r="BJ40" s="14">
        <f t="shared" si="35"/>
        <v>47954.021439999997</v>
      </c>
      <c r="BK40" s="14">
        <f t="shared" si="10"/>
        <v>47954.021439999997</v>
      </c>
      <c r="BL40" s="14"/>
      <c r="BM40" s="14"/>
      <c r="BN40" s="14">
        <f t="shared" si="36"/>
        <v>2036.5383449999999</v>
      </c>
      <c r="BO40" s="14">
        <f t="shared" si="11"/>
        <v>2036.5383449999999</v>
      </c>
      <c r="BP40" s="14"/>
      <c r="BQ40" s="14"/>
      <c r="BR40" s="14">
        <f t="shared" si="37"/>
        <v>5.6048274999999999</v>
      </c>
      <c r="BS40" s="14">
        <f t="shared" si="38"/>
        <v>5.6048274999999999</v>
      </c>
      <c r="BT40" s="14"/>
      <c r="BU40" s="14"/>
      <c r="BV40" s="14">
        <f t="shared" si="39"/>
        <v>1414.4024924999999</v>
      </c>
      <c r="BW40" s="14">
        <f t="shared" si="12"/>
        <v>1414.4024924999999</v>
      </c>
      <c r="BX40" s="14"/>
      <c r="BY40" s="14"/>
      <c r="BZ40" s="14">
        <f t="shared" si="40"/>
        <v>3613.7014974999997</v>
      </c>
      <c r="CA40" s="14">
        <f t="shared" si="13"/>
        <v>3613.7014974999997</v>
      </c>
      <c r="CB40" s="14"/>
      <c r="CC40" s="14"/>
      <c r="CD40" s="14">
        <f t="shared" si="41"/>
        <v>6107.6732050000001</v>
      </c>
      <c r="CE40" s="14">
        <f t="shared" si="14"/>
        <v>6107.6732050000001</v>
      </c>
      <c r="CF40" s="14"/>
      <c r="CG40" s="14"/>
      <c r="CH40" s="14">
        <f t="shared" si="42"/>
        <v>50242.291565000007</v>
      </c>
      <c r="CI40" s="14">
        <f t="shared" si="15"/>
        <v>50242.291565000007</v>
      </c>
      <c r="CJ40" s="14"/>
      <c r="CK40" s="14"/>
      <c r="CL40" s="14">
        <f t="shared" si="43"/>
        <v>943.33218750000003</v>
      </c>
      <c r="CM40" s="14">
        <f t="shared" si="16"/>
        <v>943.33218750000003</v>
      </c>
      <c r="CN40" s="14"/>
      <c r="CO40" s="14"/>
      <c r="CP40" s="14">
        <f t="shared" si="44"/>
        <v>4495.6895100000002</v>
      </c>
      <c r="CQ40" s="14">
        <f t="shared" si="17"/>
        <v>4495.6895100000002</v>
      </c>
      <c r="CR40" s="14"/>
      <c r="CS40" s="14"/>
      <c r="CT40" s="14">
        <f t="shared" si="45"/>
        <v>8095.3127399999994</v>
      </c>
      <c r="CU40" s="14">
        <f t="shared" si="46"/>
        <v>8095.3127399999994</v>
      </c>
      <c r="CV40" s="14"/>
      <c r="CW40" s="14"/>
      <c r="CX40" s="14">
        <f t="shared" si="47"/>
        <v>8084.3678799999998</v>
      </c>
      <c r="CY40" s="14">
        <f t="shared" si="18"/>
        <v>8084.3678799999998</v>
      </c>
      <c r="CZ40" s="14"/>
      <c r="DA40" s="14"/>
      <c r="DB40" s="14"/>
      <c r="DC40" s="14"/>
      <c r="DE40" s="14"/>
      <c r="DF40" s="14"/>
      <c r="DG40" s="14"/>
    </row>
    <row r="41" spans="1:111" x14ac:dyDescent="0.2">
      <c r="A41" s="12">
        <v>45748</v>
      </c>
      <c r="C41" s="15">
        <v>0</v>
      </c>
      <c r="D41" s="15">
        <v>0</v>
      </c>
      <c r="E41" s="15">
        <v>5770000</v>
      </c>
      <c r="F41" s="15">
        <v>441325</v>
      </c>
      <c r="I41" s="15">
        <f t="shared" si="21"/>
        <v>5770000</v>
      </c>
      <c r="J41" s="15">
        <f t="shared" si="19"/>
        <v>441325</v>
      </c>
      <c r="K41" s="15">
        <f t="shared" si="1"/>
        <v>6211325</v>
      </c>
      <c r="M41" s="14">
        <v>584608</v>
      </c>
      <c r="N41" s="14">
        <v>44714</v>
      </c>
      <c r="O41" s="14">
        <f t="shared" si="23"/>
        <v>629322</v>
      </c>
      <c r="Q41" s="14">
        <f t="shared" si="22"/>
        <v>5185391.6780000012</v>
      </c>
      <c r="R41" s="15">
        <f t="shared" si="20"/>
        <v>396610.56885500002</v>
      </c>
      <c r="S41" s="14">
        <f t="shared" si="0"/>
        <v>5582002.246855001</v>
      </c>
      <c r="U41" s="3">
        <f t="shared" si="48"/>
        <v>1444541.426</v>
      </c>
      <c r="V41" s="3">
        <f t="shared" si="24"/>
        <v>110487.39078500001</v>
      </c>
      <c r="W41" s="3">
        <f t="shared" si="2"/>
        <v>1555028.816785</v>
      </c>
      <c r="Y41" s="3">
        <f t="shared" si="49"/>
        <v>111453.32</v>
      </c>
      <c r="Z41" s="3">
        <f t="shared" si="25"/>
        <v>8524.6337000000003</v>
      </c>
      <c r="AA41" s="3">
        <f t="shared" si="3"/>
        <v>119977.95370000001</v>
      </c>
      <c r="AC41" s="14">
        <f t="shared" si="50"/>
        <v>138047.25</v>
      </c>
      <c r="AD41" s="14">
        <f t="shared" si="26"/>
        <v>10558.700624999999</v>
      </c>
      <c r="AE41" s="14">
        <f t="shared" si="69"/>
        <v>148605.950625</v>
      </c>
      <c r="AG41" s="3">
        <f t="shared" si="51"/>
        <v>68398.157000000007</v>
      </c>
      <c r="AH41" s="3">
        <f t="shared" si="27"/>
        <v>5231.5106825000003</v>
      </c>
      <c r="AI41" s="3">
        <f t="shared" si="4"/>
        <v>73629.667682500003</v>
      </c>
      <c r="AK41" s="3">
        <f t="shared" si="52"/>
        <v>1246973.1639999999</v>
      </c>
      <c r="AL41" s="3">
        <f t="shared" si="28"/>
        <v>95376.157989999992</v>
      </c>
      <c r="AM41" s="3">
        <f t="shared" si="5"/>
        <v>1342349.3219899999</v>
      </c>
      <c r="AN41" s="14"/>
      <c r="AO41" s="3">
        <f t="shared" si="53"/>
        <v>164430.57499999998</v>
      </c>
      <c r="AP41" s="3">
        <f t="shared" si="29"/>
        <v>12576.659187499999</v>
      </c>
      <c r="AQ41" s="3">
        <f t="shared" si="6"/>
        <v>177007.23418749997</v>
      </c>
      <c r="AR41" s="14"/>
      <c r="AS41" s="14">
        <f t="shared" si="54"/>
        <v>48773.81</v>
      </c>
      <c r="AT41" s="14">
        <f t="shared" si="30"/>
        <v>3730.5202250000002</v>
      </c>
      <c r="AU41" s="14">
        <f t="shared" si="7"/>
        <v>52504.330224999998</v>
      </c>
      <c r="AV41" s="14"/>
      <c r="AW41" s="14">
        <f t="shared" si="55"/>
        <v>21449.974999999999</v>
      </c>
      <c r="AX41" s="14">
        <f t="shared" si="31"/>
        <v>1640.6256875000001</v>
      </c>
      <c r="AY41" s="14">
        <f t="shared" si="32"/>
        <v>23090.600687499998</v>
      </c>
      <c r="AZ41" s="14"/>
      <c r="BA41" s="14">
        <f t="shared" si="56"/>
        <v>187981.40700000001</v>
      </c>
      <c r="BB41" s="14">
        <f t="shared" si="33"/>
        <v>14377.9713075</v>
      </c>
      <c r="BC41" s="14">
        <f t="shared" si="8"/>
        <v>202359.37830750001</v>
      </c>
      <c r="BD41" s="14"/>
      <c r="BE41" s="14">
        <f t="shared" si="57"/>
        <v>14557.710000000003</v>
      </c>
      <c r="BF41" s="14">
        <f t="shared" si="34"/>
        <v>1113.4629750000001</v>
      </c>
      <c r="BG41" s="14">
        <f t="shared" si="9"/>
        <v>15671.172975000003</v>
      </c>
      <c r="BH41" s="14"/>
      <c r="BI41" s="14">
        <f t="shared" si="58"/>
        <v>626963.58400000003</v>
      </c>
      <c r="BJ41" s="14">
        <f t="shared" si="35"/>
        <v>47954.021439999997</v>
      </c>
      <c r="BK41" s="14">
        <f t="shared" si="10"/>
        <v>674917.60544000007</v>
      </c>
      <c r="BL41" s="14"/>
      <c r="BM41" s="14">
        <f t="shared" si="59"/>
        <v>26626.241999999998</v>
      </c>
      <c r="BN41" s="14">
        <f t="shared" si="36"/>
        <v>2036.5383449999999</v>
      </c>
      <c r="BO41" s="14">
        <f t="shared" si="11"/>
        <v>28662.780344999999</v>
      </c>
      <c r="BP41" s="14"/>
      <c r="BQ41" s="14">
        <f t="shared" si="60"/>
        <v>73.279000000000011</v>
      </c>
      <c r="BR41" s="14">
        <f t="shared" si="37"/>
        <v>5.6048274999999999</v>
      </c>
      <c r="BS41" s="14">
        <f t="shared" si="38"/>
        <v>78.88382750000001</v>
      </c>
      <c r="BT41" s="14"/>
      <c r="BU41" s="14">
        <f t="shared" si="61"/>
        <v>18492.273000000001</v>
      </c>
      <c r="BV41" s="14">
        <f t="shared" si="39"/>
        <v>1414.4024924999999</v>
      </c>
      <c r="BW41" s="14">
        <f t="shared" si="12"/>
        <v>19906.675492500002</v>
      </c>
      <c r="BX41" s="14"/>
      <c r="BY41" s="14">
        <f t="shared" si="62"/>
        <v>47246.490999999995</v>
      </c>
      <c r="BZ41" s="14">
        <f t="shared" si="40"/>
        <v>3613.7014974999997</v>
      </c>
      <c r="CA41" s="14">
        <f t="shared" si="13"/>
        <v>50860.192497499993</v>
      </c>
      <c r="CB41" s="14"/>
      <c r="CC41" s="14">
        <f t="shared" si="63"/>
        <v>79853.338000000003</v>
      </c>
      <c r="CD41" s="14">
        <f t="shared" si="41"/>
        <v>6107.6732050000001</v>
      </c>
      <c r="CE41" s="14">
        <f t="shared" si="14"/>
        <v>85961.011205000003</v>
      </c>
      <c r="CF41" s="14"/>
      <c r="CG41" s="14">
        <f t="shared" si="64"/>
        <v>656881.0340000001</v>
      </c>
      <c r="CH41" s="14">
        <f t="shared" si="42"/>
        <v>50242.291565000007</v>
      </c>
      <c r="CI41" s="14">
        <f t="shared" si="15"/>
        <v>707123.32556500006</v>
      </c>
      <c r="CJ41" s="14"/>
      <c r="CK41" s="14">
        <f t="shared" si="65"/>
        <v>12333.375</v>
      </c>
      <c r="CL41" s="14">
        <f t="shared" si="43"/>
        <v>943.33218750000003</v>
      </c>
      <c r="CM41" s="14">
        <f t="shared" si="16"/>
        <v>13276.7071875</v>
      </c>
      <c r="CN41" s="14"/>
      <c r="CO41" s="14">
        <f t="shared" si="66"/>
        <v>58777.836000000003</v>
      </c>
      <c r="CP41" s="14">
        <f t="shared" si="44"/>
        <v>4495.6895100000002</v>
      </c>
      <c r="CQ41" s="14">
        <f t="shared" si="17"/>
        <v>63273.525510000007</v>
      </c>
      <c r="CR41" s="14"/>
      <c r="CS41" s="14">
        <f t="shared" si="67"/>
        <v>105840.26400000001</v>
      </c>
      <c r="CT41" s="14">
        <f t="shared" si="45"/>
        <v>8095.3127399999994</v>
      </c>
      <c r="CU41" s="14">
        <f t="shared" si="46"/>
        <v>113935.57674</v>
      </c>
      <c r="CV41" s="14"/>
      <c r="CW41" s="14">
        <f t="shared" si="68"/>
        <v>105697.16799999999</v>
      </c>
      <c r="CX41" s="14">
        <f t="shared" si="47"/>
        <v>8084.3678799999998</v>
      </c>
      <c r="CY41" s="14">
        <f t="shared" si="18"/>
        <v>113781.53588</v>
      </c>
      <c r="CZ41" s="14"/>
      <c r="DA41" s="14"/>
      <c r="DB41" s="14"/>
      <c r="DC41" s="14"/>
      <c r="DE41" s="14"/>
      <c r="DF41" s="14"/>
      <c r="DG41" s="14"/>
    </row>
    <row r="42" spans="1:111" x14ac:dyDescent="0.2">
      <c r="A42" s="12">
        <v>45931</v>
      </c>
      <c r="D42" s="15">
        <v>0</v>
      </c>
      <c r="F42" s="15">
        <v>297075</v>
      </c>
      <c r="J42" s="15">
        <f t="shared" si="19"/>
        <v>297075</v>
      </c>
      <c r="K42" s="15">
        <f t="shared" si="1"/>
        <v>297075</v>
      </c>
      <c r="N42" s="14">
        <v>30099</v>
      </c>
      <c r="O42" s="14">
        <f t="shared" si="23"/>
        <v>30099</v>
      </c>
      <c r="Q42" s="14"/>
      <c r="R42" s="15">
        <f t="shared" si="20"/>
        <v>266975.77690499998</v>
      </c>
      <c r="S42" s="14">
        <f t="shared" si="0"/>
        <v>266975.77690499998</v>
      </c>
      <c r="U42" s="3"/>
      <c r="V42" s="3">
        <f t="shared" si="24"/>
        <v>74373.855135000005</v>
      </c>
      <c r="W42" s="3">
        <f t="shared" si="2"/>
        <v>74373.855135000005</v>
      </c>
      <c r="Y42" s="3"/>
      <c r="Z42" s="3">
        <f t="shared" si="25"/>
        <v>5738.3006999999998</v>
      </c>
      <c r="AA42" s="3">
        <f t="shared" si="3"/>
        <v>5738.3006999999998</v>
      </c>
      <c r="AD42" s="14">
        <f t="shared" si="26"/>
        <v>7107.5193749999999</v>
      </c>
      <c r="AE42" s="14">
        <f t="shared" si="69"/>
        <v>7107.5193749999999</v>
      </c>
      <c r="AG42" s="3"/>
      <c r="AH42" s="3">
        <f t="shared" si="27"/>
        <v>3521.5567575</v>
      </c>
      <c r="AI42" s="3">
        <f t="shared" si="4"/>
        <v>3521.5567575</v>
      </c>
      <c r="AK42" s="3"/>
      <c r="AL42" s="3">
        <f t="shared" si="28"/>
        <v>64201.828889999997</v>
      </c>
      <c r="AM42" s="3">
        <f t="shared" si="5"/>
        <v>64201.828889999997</v>
      </c>
      <c r="AN42" s="14"/>
      <c r="AO42" s="3"/>
      <c r="AP42" s="3">
        <f t="shared" si="29"/>
        <v>8465.8948124999988</v>
      </c>
      <c r="AQ42" s="3">
        <f t="shared" si="6"/>
        <v>8465.8948124999988</v>
      </c>
      <c r="AR42" s="14"/>
      <c r="AS42" s="14"/>
      <c r="AT42" s="14">
        <f t="shared" si="30"/>
        <v>2511.1749750000004</v>
      </c>
      <c r="AU42" s="14">
        <f t="shared" si="7"/>
        <v>2511.1749750000004</v>
      </c>
      <c r="AV42" s="14"/>
      <c r="AW42" s="14"/>
      <c r="AX42" s="14">
        <f t="shared" si="31"/>
        <v>1104.3763125</v>
      </c>
      <c r="AY42" s="14">
        <f t="shared" si="32"/>
        <v>1104.3763125</v>
      </c>
      <c r="AZ42" s="14"/>
      <c r="BA42" s="14"/>
      <c r="BB42" s="14">
        <f t="shared" si="33"/>
        <v>9678.4361324999991</v>
      </c>
      <c r="BC42" s="14">
        <f t="shared" si="8"/>
        <v>9678.4361324999991</v>
      </c>
      <c r="BD42" s="14"/>
      <c r="BE42" s="14"/>
      <c r="BF42" s="14">
        <f t="shared" si="34"/>
        <v>749.5202250000001</v>
      </c>
      <c r="BG42" s="14">
        <f t="shared" si="9"/>
        <v>749.5202250000001</v>
      </c>
      <c r="BH42" s="14"/>
      <c r="BI42" s="14"/>
      <c r="BJ42" s="14">
        <f t="shared" si="35"/>
        <v>32279.931839999997</v>
      </c>
      <c r="BK42" s="14">
        <f t="shared" si="10"/>
        <v>32279.931839999997</v>
      </c>
      <c r="BL42" s="14"/>
      <c r="BM42" s="14"/>
      <c r="BN42" s="14">
        <f t="shared" si="36"/>
        <v>1370.8822949999999</v>
      </c>
      <c r="BO42" s="14">
        <f t="shared" si="11"/>
        <v>1370.8822949999999</v>
      </c>
      <c r="BP42" s="14"/>
      <c r="BQ42" s="14"/>
      <c r="BR42" s="14">
        <f t="shared" si="37"/>
        <v>3.7728525000000004</v>
      </c>
      <c r="BS42" s="14">
        <f t="shared" si="38"/>
        <v>3.7728525000000004</v>
      </c>
      <c r="BT42" s="14"/>
      <c r="BU42" s="14"/>
      <c r="BV42" s="14">
        <f t="shared" si="39"/>
        <v>952.09566749999999</v>
      </c>
      <c r="BW42" s="14">
        <f t="shared" si="12"/>
        <v>952.09566749999999</v>
      </c>
      <c r="BX42" s="14"/>
      <c r="BY42" s="14"/>
      <c r="BZ42" s="14">
        <f t="shared" si="40"/>
        <v>2432.5392224999996</v>
      </c>
      <c r="CA42" s="14">
        <f t="shared" si="13"/>
        <v>2432.5392224999996</v>
      </c>
      <c r="CB42" s="14"/>
      <c r="CC42" s="14"/>
      <c r="CD42" s="14">
        <f t="shared" si="41"/>
        <v>4111.339755</v>
      </c>
      <c r="CE42" s="14">
        <f t="shared" si="14"/>
        <v>4111.339755</v>
      </c>
      <c r="CF42" s="14"/>
      <c r="CG42" s="14"/>
      <c r="CH42" s="14">
        <f t="shared" si="42"/>
        <v>33820.265715000001</v>
      </c>
      <c r="CI42" s="14">
        <f t="shared" si="15"/>
        <v>33820.265715000001</v>
      </c>
      <c r="CJ42" s="14"/>
      <c r="CK42" s="14"/>
      <c r="CL42" s="14">
        <f t="shared" si="43"/>
        <v>634.99781250000001</v>
      </c>
      <c r="CM42" s="14">
        <f t="shared" si="16"/>
        <v>634.99781250000001</v>
      </c>
      <c r="CN42" s="14"/>
      <c r="CO42" s="14"/>
      <c r="CP42" s="14">
        <f t="shared" si="44"/>
        <v>3026.2436100000004</v>
      </c>
      <c r="CQ42" s="14">
        <f t="shared" si="17"/>
        <v>3026.2436100000004</v>
      </c>
      <c r="CR42" s="14"/>
      <c r="CS42" s="14"/>
      <c r="CT42" s="14">
        <f t="shared" si="45"/>
        <v>5449.3061399999997</v>
      </c>
      <c r="CU42" s="14">
        <f t="shared" si="46"/>
        <v>5449.3061399999997</v>
      </c>
      <c r="CV42" s="14"/>
      <c r="CW42" s="14"/>
      <c r="CX42" s="14">
        <f t="shared" si="47"/>
        <v>5441.9386800000002</v>
      </c>
      <c r="CY42" s="14">
        <f t="shared" si="18"/>
        <v>5441.9386800000002</v>
      </c>
      <c r="CZ42" s="14"/>
      <c r="DA42" s="14"/>
      <c r="DB42" s="14"/>
      <c r="DC42" s="14"/>
      <c r="DE42" s="14"/>
      <c r="DF42" s="14"/>
      <c r="DG42" s="14"/>
    </row>
    <row r="43" spans="1:111" x14ac:dyDescent="0.2">
      <c r="A43" s="12">
        <v>46113</v>
      </c>
      <c r="C43" s="15">
        <v>0</v>
      </c>
      <c r="D43" s="15">
        <v>0</v>
      </c>
      <c r="E43" s="15">
        <v>6060000</v>
      </c>
      <c r="F43" s="15">
        <v>297075</v>
      </c>
      <c r="I43" s="15">
        <f t="shared" si="21"/>
        <v>6060000</v>
      </c>
      <c r="J43" s="15">
        <f t="shared" si="19"/>
        <v>297075</v>
      </c>
      <c r="K43" s="15">
        <f t="shared" si="1"/>
        <v>6357075</v>
      </c>
      <c r="M43" s="14">
        <v>613991</v>
      </c>
      <c r="N43" s="14">
        <v>30099</v>
      </c>
      <c r="O43" s="14">
        <f t="shared" si="23"/>
        <v>644090</v>
      </c>
      <c r="Q43" s="14">
        <f t="shared" si="22"/>
        <v>5446009.2840000009</v>
      </c>
      <c r="R43" s="15">
        <f t="shared" si="20"/>
        <v>266975.77690499998</v>
      </c>
      <c r="S43" s="14">
        <f t="shared" si="0"/>
        <v>5712985.0609050011</v>
      </c>
      <c r="U43" s="3">
        <f t="shared" si="48"/>
        <v>1517144.0280000002</v>
      </c>
      <c r="V43" s="3">
        <f t="shared" si="24"/>
        <v>74373.855135000005</v>
      </c>
      <c r="W43" s="3">
        <f t="shared" si="2"/>
        <v>1591517.8831350002</v>
      </c>
      <c r="Y43" s="3">
        <f t="shared" si="49"/>
        <v>117054.96</v>
      </c>
      <c r="Z43" s="3">
        <f t="shared" si="25"/>
        <v>5738.3006999999998</v>
      </c>
      <c r="AA43" s="3">
        <f t="shared" si="3"/>
        <v>122793.26070000001</v>
      </c>
      <c r="AC43" s="14">
        <f t="shared" si="50"/>
        <v>144985.5</v>
      </c>
      <c r="AD43" s="14">
        <f t="shared" si="26"/>
        <v>7107.5193749999999</v>
      </c>
      <c r="AE43" s="14">
        <f t="shared" si="69"/>
        <v>152093.019375</v>
      </c>
      <c r="AG43" s="3">
        <f t="shared" si="51"/>
        <v>71835.846000000005</v>
      </c>
      <c r="AH43" s="3">
        <f t="shared" si="27"/>
        <v>3521.5567575</v>
      </c>
      <c r="AI43" s="3">
        <f t="shared" si="4"/>
        <v>75357.402757500007</v>
      </c>
      <c r="AK43" s="3">
        <f t="shared" si="52"/>
        <v>1309645.9919999999</v>
      </c>
      <c r="AL43" s="3">
        <f t="shared" si="28"/>
        <v>64201.828889999997</v>
      </c>
      <c r="AM43" s="3">
        <f t="shared" si="5"/>
        <v>1373847.8208899999</v>
      </c>
      <c r="AN43" s="14"/>
      <c r="AO43" s="3">
        <f t="shared" si="53"/>
        <v>172694.85</v>
      </c>
      <c r="AP43" s="3">
        <f t="shared" si="29"/>
        <v>8465.8948124999988</v>
      </c>
      <c r="AQ43" s="3">
        <f t="shared" si="6"/>
        <v>181160.74481249999</v>
      </c>
      <c r="AR43" s="14"/>
      <c r="AS43" s="14">
        <f t="shared" si="54"/>
        <v>51225.18</v>
      </c>
      <c r="AT43" s="14">
        <f t="shared" si="30"/>
        <v>2511.1749750000004</v>
      </c>
      <c r="AU43" s="14">
        <f t="shared" si="7"/>
        <v>53736.354975000002</v>
      </c>
      <c r="AV43" s="14"/>
      <c r="AW43" s="14">
        <f t="shared" si="55"/>
        <v>22528.05</v>
      </c>
      <c r="AX43" s="14">
        <f t="shared" si="31"/>
        <v>1104.3763125</v>
      </c>
      <c r="AY43" s="14">
        <f t="shared" si="32"/>
        <v>23632.4263125</v>
      </c>
      <c r="AZ43" s="14"/>
      <c r="BA43" s="14">
        <f t="shared" si="56"/>
        <v>197429.34599999999</v>
      </c>
      <c r="BB43" s="14">
        <f t="shared" si="33"/>
        <v>9678.4361324999991</v>
      </c>
      <c r="BC43" s="14">
        <f t="shared" si="8"/>
        <v>207107.7821325</v>
      </c>
      <c r="BD43" s="14"/>
      <c r="BE43" s="14">
        <f t="shared" si="57"/>
        <v>15289.380000000003</v>
      </c>
      <c r="BF43" s="14">
        <f t="shared" si="34"/>
        <v>749.5202250000001</v>
      </c>
      <c r="BG43" s="14">
        <f t="shared" si="9"/>
        <v>16038.900225000003</v>
      </c>
      <c r="BH43" s="14"/>
      <c r="BI43" s="14">
        <f t="shared" si="58"/>
        <v>658474.75199999998</v>
      </c>
      <c r="BJ43" s="14">
        <f t="shared" si="35"/>
        <v>32279.931839999997</v>
      </c>
      <c r="BK43" s="14">
        <f t="shared" si="10"/>
        <v>690754.68383999995</v>
      </c>
      <c r="BL43" s="14"/>
      <c r="BM43" s="14">
        <f t="shared" si="59"/>
        <v>27964.476000000002</v>
      </c>
      <c r="BN43" s="14">
        <f t="shared" si="36"/>
        <v>1370.8822949999999</v>
      </c>
      <c r="BO43" s="14">
        <f t="shared" si="11"/>
        <v>29335.358295000002</v>
      </c>
      <c r="BP43" s="14"/>
      <c r="BQ43" s="14">
        <f t="shared" si="60"/>
        <v>76.962000000000003</v>
      </c>
      <c r="BR43" s="14">
        <f t="shared" si="37"/>
        <v>3.7728525000000004</v>
      </c>
      <c r="BS43" s="14">
        <f t="shared" si="38"/>
        <v>80.734852500000002</v>
      </c>
      <c r="BT43" s="14"/>
      <c r="BU43" s="14">
        <f t="shared" si="61"/>
        <v>19421.694</v>
      </c>
      <c r="BV43" s="14">
        <f t="shared" si="39"/>
        <v>952.09566749999999</v>
      </c>
      <c r="BW43" s="14">
        <f t="shared" si="12"/>
        <v>20373.789667500001</v>
      </c>
      <c r="BX43" s="14"/>
      <c r="BY43" s="14">
        <f t="shared" si="62"/>
        <v>49621.097999999998</v>
      </c>
      <c r="BZ43" s="14">
        <f t="shared" si="40"/>
        <v>2432.5392224999996</v>
      </c>
      <c r="CA43" s="14">
        <f t="shared" si="13"/>
        <v>52053.637222499994</v>
      </c>
      <c r="CB43" s="14"/>
      <c r="CC43" s="14">
        <f t="shared" si="63"/>
        <v>83866.763999999996</v>
      </c>
      <c r="CD43" s="14">
        <f t="shared" si="41"/>
        <v>4111.339755</v>
      </c>
      <c r="CE43" s="14">
        <f t="shared" si="14"/>
        <v>87978.103754999989</v>
      </c>
      <c r="CF43" s="14"/>
      <c r="CG43" s="14">
        <f t="shared" si="64"/>
        <v>689895.85200000007</v>
      </c>
      <c r="CH43" s="14">
        <f t="shared" si="42"/>
        <v>33820.265715000001</v>
      </c>
      <c r="CI43" s="14">
        <f t="shared" si="15"/>
        <v>723716.11771500006</v>
      </c>
      <c r="CJ43" s="14"/>
      <c r="CK43" s="14">
        <f t="shared" si="65"/>
        <v>12953.25</v>
      </c>
      <c r="CL43" s="14">
        <f t="shared" si="43"/>
        <v>634.99781250000001</v>
      </c>
      <c r="CM43" s="14">
        <f t="shared" si="16"/>
        <v>13588.2478125</v>
      </c>
      <c r="CN43" s="14"/>
      <c r="CO43" s="14">
        <f t="shared" si="66"/>
        <v>61732.008000000002</v>
      </c>
      <c r="CP43" s="14">
        <f t="shared" si="44"/>
        <v>3026.2436100000004</v>
      </c>
      <c r="CQ43" s="14">
        <f t="shared" si="17"/>
        <v>64758.251609999999</v>
      </c>
      <c r="CR43" s="14"/>
      <c r="CS43" s="14">
        <f t="shared" si="67"/>
        <v>111159.79199999999</v>
      </c>
      <c r="CT43" s="14">
        <f t="shared" si="45"/>
        <v>5449.3061399999997</v>
      </c>
      <c r="CU43" s="14">
        <f t="shared" si="46"/>
        <v>116609.09813999999</v>
      </c>
      <c r="CV43" s="14"/>
      <c r="CW43" s="14">
        <f t="shared" si="68"/>
        <v>111009.504</v>
      </c>
      <c r="CX43" s="14">
        <f t="shared" si="47"/>
        <v>5441.9386800000002</v>
      </c>
      <c r="CY43" s="14">
        <f t="shared" si="18"/>
        <v>116451.44268000001</v>
      </c>
      <c r="CZ43" s="14"/>
      <c r="DA43" s="14"/>
      <c r="DB43" s="14"/>
      <c r="DC43" s="14"/>
      <c r="DE43" s="14"/>
      <c r="DF43" s="14"/>
      <c r="DG43" s="14"/>
    </row>
    <row r="44" spans="1:111" x14ac:dyDescent="0.2">
      <c r="A44" s="12">
        <v>46296</v>
      </c>
      <c r="D44" s="15">
        <v>0</v>
      </c>
      <c r="F44" s="15">
        <v>191025</v>
      </c>
      <c r="J44" s="15">
        <f t="shared" si="19"/>
        <v>191025</v>
      </c>
      <c r="K44" s="15">
        <f t="shared" si="1"/>
        <v>191025</v>
      </c>
      <c r="N44" s="14">
        <v>19354</v>
      </c>
      <c r="O44" s="14">
        <f t="shared" si="23"/>
        <v>19354</v>
      </c>
      <c r="Q44" s="14"/>
      <c r="R44" s="15">
        <f t="shared" si="20"/>
        <v>171670.614435</v>
      </c>
      <c r="S44" s="14">
        <f t="shared" si="0"/>
        <v>171670.614435</v>
      </c>
      <c r="U44" s="3"/>
      <c r="V44" s="3">
        <f t="shared" si="24"/>
        <v>47823.834644999995</v>
      </c>
      <c r="W44" s="3">
        <f t="shared" si="2"/>
        <v>47823.834644999995</v>
      </c>
      <c r="Y44" s="3"/>
      <c r="Z44" s="3">
        <f t="shared" si="25"/>
        <v>3689.8389000000002</v>
      </c>
      <c r="AA44" s="3">
        <f t="shared" si="3"/>
        <v>3689.8389000000002</v>
      </c>
      <c r="AD44" s="14">
        <f t="shared" si="26"/>
        <v>4570.2731249999997</v>
      </c>
      <c r="AE44" s="14">
        <f t="shared" si="69"/>
        <v>4570.2731249999997</v>
      </c>
      <c r="AG44" s="3"/>
      <c r="AH44" s="3">
        <f t="shared" si="27"/>
        <v>2264.4294525</v>
      </c>
      <c r="AI44" s="3">
        <f t="shared" si="4"/>
        <v>2264.4294525</v>
      </c>
      <c r="AK44" s="3"/>
      <c r="AL44" s="3">
        <f t="shared" si="28"/>
        <v>41283.02403</v>
      </c>
      <c r="AM44" s="3">
        <f t="shared" si="5"/>
        <v>41283.02403</v>
      </c>
      <c r="AN44" s="14"/>
      <c r="AO44" s="3"/>
      <c r="AP44" s="3">
        <f t="shared" si="29"/>
        <v>5443.7349374999994</v>
      </c>
      <c r="AQ44" s="3">
        <f t="shared" si="6"/>
        <v>5443.7349374999994</v>
      </c>
      <c r="AR44" s="14"/>
      <c r="AS44" s="14"/>
      <c r="AT44" s="14">
        <f t="shared" si="30"/>
        <v>1614.7343249999999</v>
      </c>
      <c r="AU44" s="14">
        <f t="shared" si="7"/>
        <v>1614.7343249999999</v>
      </c>
      <c r="AV44" s="14"/>
      <c r="AW44" s="14"/>
      <c r="AX44" s="14">
        <f t="shared" si="31"/>
        <v>710.13543750000008</v>
      </c>
      <c r="AY44" s="14">
        <f t="shared" si="32"/>
        <v>710.13543750000008</v>
      </c>
      <c r="AZ44" s="14"/>
      <c r="BA44" s="14"/>
      <c r="BB44" s="14">
        <f t="shared" si="33"/>
        <v>6223.4225774999995</v>
      </c>
      <c r="BC44" s="14">
        <f t="shared" si="8"/>
        <v>6223.4225774999995</v>
      </c>
      <c r="BD44" s="14"/>
      <c r="BE44" s="14"/>
      <c r="BF44" s="14">
        <f t="shared" si="34"/>
        <v>481.95607500000006</v>
      </c>
      <c r="BG44" s="14">
        <f t="shared" si="9"/>
        <v>481.95607500000006</v>
      </c>
      <c r="BH44" s="14"/>
      <c r="BI44" s="14"/>
      <c r="BJ44" s="14">
        <f t="shared" si="35"/>
        <v>20756.623679999997</v>
      </c>
      <c r="BK44" s="14">
        <f t="shared" si="10"/>
        <v>20756.623679999997</v>
      </c>
      <c r="BL44" s="14"/>
      <c r="BM44" s="14"/>
      <c r="BN44" s="14">
        <f t="shared" si="36"/>
        <v>881.50396499999999</v>
      </c>
      <c r="BO44" s="14">
        <f t="shared" si="11"/>
        <v>881.50396499999999</v>
      </c>
      <c r="BP44" s="14"/>
      <c r="BQ44" s="14"/>
      <c r="BR44" s="14">
        <f t="shared" si="37"/>
        <v>2.4260174999999999</v>
      </c>
      <c r="BS44" s="14">
        <f t="shared" si="38"/>
        <v>2.4260174999999999</v>
      </c>
      <c r="BT44" s="14"/>
      <c r="BU44" s="14"/>
      <c r="BV44" s="14">
        <f t="shared" si="39"/>
        <v>612.21602250000001</v>
      </c>
      <c r="BW44" s="14">
        <f t="shared" si="12"/>
        <v>612.21602250000001</v>
      </c>
      <c r="BX44" s="14"/>
      <c r="BY44" s="14"/>
      <c r="BZ44" s="14">
        <f t="shared" si="40"/>
        <v>1564.1700074999999</v>
      </c>
      <c r="CA44" s="14">
        <f t="shared" si="13"/>
        <v>1564.1700074999999</v>
      </c>
      <c r="CB44" s="14"/>
      <c r="CC44" s="14"/>
      <c r="CD44" s="14">
        <f t="shared" si="41"/>
        <v>2643.6713850000001</v>
      </c>
      <c r="CE44" s="14">
        <f t="shared" si="14"/>
        <v>2643.6713850000001</v>
      </c>
      <c r="CF44" s="14"/>
      <c r="CG44" s="14"/>
      <c r="CH44" s="14">
        <f t="shared" si="42"/>
        <v>21747.088305000001</v>
      </c>
      <c r="CI44" s="14">
        <f t="shared" si="15"/>
        <v>21747.088305000001</v>
      </c>
      <c r="CJ44" s="14"/>
      <c r="CK44" s="14"/>
      <c r="CL44" s="14">
        <f t="shared" si="43"/>
        <v>408.31593750000002</v>
      </c>
      <c r="CM44" s="14">
        <f t="shared" si="16"/>
        <v>408.31593750000002</v>
      </c>
      <c r="CN44" s="14"/>
      <c r="CO44" s="14"/>
      <c r="CP44" s="14">
        <f t="shared" si="44"/>
        <v>1945.9334700000002</v>
      </c>
      <c r="CQ44" s="14">
        <f t="shared" si="17"/>
        <v>1945.9334700000002</v>
      </c>
      <c r="CR44" s="14"/>
      <c r="CS44" s="14"/>
      <c r="CT44" s="14">
        <f t="shared" si="45"/>
        <v>3504.0097799999999</v>
      </c>
      <c r="CU44" s="14">
        <f t="shared" si="46"/>
        <v>3504.0097799999999</v>
      </c>
      <c r="CV44" s="14"/>
      <c r="CW44" s="14"/>
      <c r="CX44" s="14">
        <f t="shared" si="47"/>
        <v>3499.2723599999999</v>
      </c>
      <c r="CY44" s="14">
        <f t="shared" si="18"/>
        <v>3499.2723599999999</v>
      </c>
      <c r="CZ44" s="14"/>
      <c r="DA44" s="14"/>
      <c r="DB44" s="14"/>
      <c r="DC44" s="14"/>
      <c r="DE44" s="14"/>
      <c r="DF44" s="14"/>
      <c r="DG44" s="14"/>
    </row>
    <row r="45" spans="1:111" x14ac:dyDescent="0.2">
      <c r="A45" s="12">
        <v>46478</v>
      </c>
      <c r="C45" s="15">
        <v>0</v>
      </c>
      <c r="D45" s="15">
        <v>0</v>
      </c>
      <c r="E45" s="15">
        <v>6275000</v>
      </c>
      <c r="F45" s="15">
        <v>191025</v>
      </c>
      <c r="I45" s="15">
        <f t="shared" si="21"/>
        <v>6275000</v>
      </c>
      <c r="J45" s="15">
        <f t="shared" si="19"/>
        <v>191025</v>
      </c>
      <c r="K45" s="15">
        <f t="shared" si="1"/>
        <v>6466025</v>
      </c>
      <c r="M45" s="14">
        <v>635774</v>
      </c>
      <c r="N45" s="14">
        <v>19354</v>
      </c>
      <c r="O45" s="14">
        <f t="shared" si="23"/>
        <v>655128</v>
      </c>
      <c r="Q45" s="14">
        <f t="shared" si="22"/>
        <v>5639225.7849999992</v>
      </c>
      <c r="R45" s="15">
        <f t="shared" si="20"/>
        <v>171670.614435</v>
      </c>
      <c r="S45" s="14">
        <f t="shared" si="0"/>
        <v>5810896.3994349996</v>
      </c>
      <c r="U45" s="3">
        <f t="shared" si="48"/>
        <v>1570970.095</v>
      </c>
      <c r="V45" s="3">
        <f t="shared" si="24"/>
        <v>47823.834644999995</v>
      </c>
      <c r="W45" s="3">
        <f t="shared" si="2"/>
        <v>1618793.929645</v>
      </c>
      <c r="Y45" s="3">
        <f t="shared" si="49"/>
        <v>121207.9</v>
      </c>
      <c r="Z45" s="3">
        <f t="shared" si="25"/>
        <v>3689.8389000000002</v>
      </c>
      <c r="AA45" s="3">
        <f t="shared" si="3"/>
        <v>124897.7389</v>
      </c>
      <c r="AC45" s="14">
        <f t="shared" si="50"/>
        <v>150129.375</v>
      </c>
      <c r="AD45" s="14">
        <f t="shared" si="26"/>
        <v>4570.2731249999997</v>
      </c>
      <c r="AE45" s="14">
        <f t="shared" si="69"/>
        <v>154699.64812500001</v>
      </c>
      <c r="AG45" s="3">
        <f t="shared" si="51"/>
        <v>74384.477500000008</v>
      </c>
      <c r="AH45" s="3">
        <f t="shared" si="27"/>
        <v>2264.4294525</v>
      </c>
      <c r="AI45" s="3">
        <f t="shared" si="4"/>
        <v>76648.906952500009</v>
      </c>
      <c r="AK45" s="3">
        <f t="shared" si="52"/>
        <v>1356110.33</v>
      </c>
      <c r="AL45" s="3">
        <f t="shared" si="28"/>
        <v>41283.02403</v>
      </c>
      <c r="AM45" s="3">
        <f t="shared" si="5"/>
        <v>1397393.35403</v>
      </c>
      <c r="AN45" s="14"/>
      <c r="AO45" s="3">
        <f t="shared" si="53"/>
        <v>178821.8125</v>
      </c>
      <c r="AP45" s="3">
        <f t="shared" si="29"/>
        <v>5443.7349374999994</v>
      </c>
      <c r="AQ45" s="3">
        <f t="shared" si="6"/>
        <v>184265.5474375</v>
      </c>
      <c r="AR45" s="14"/>
      <c r="AS45" s="14">
        <f t="shared" si="54"/>
        <v>53042.574999999997</v>
      </c>
      <c r="AT45" s="14">
        <f t="shared" si="30"/>
        <v>1614.7343249999999</v>
      </c>
      <c r="AU45" s="14">
        <f t="shared" si="7"/>
        <v>54657.309324999995</v>
      </c>
      <c r="AV45" s="14"/>
      <c r="AW45" s="14">
        <f t="shared" si="55"/>
        <v>23327.3125</v>
      </c>
      <c r="AX45" s="14">
        <f t="shared" si="31"/>
        <v>710.13543750000008</v>
      </c>
      <c r="AY45" s="14">
        <f t="shared" si="32"/>
        <v>24037.447937500001</v>
      </c>
      <c r="AZ45" s="14"/>
      <c r="BA45" s="14">
        <f t="shared" si="56"/>
        <v>204433.85250000001</v>
      </c>
      <c r="BB45" s="14">
        <f t="shared" si="33"/>
        <v>6223.4225774999995</v>
      </c>
      <c r="BC45" s="14">
        <f t="shared" si="8"/>
        <v>210657.2750775</v>
      </c>
      <c r="BD45" s="14"/>
      <c r="BE45" s="14">
        <f t="shared" si="57"/>
        <v>15831.825000000003</v>
      </c>
      <c r="BF45" s="14">
        <f t="shared" si="34"/>
        <v>481.95607500000006</v>
      </c>
      <c r="BG45" s="14">
        <f t="shared" si="9"/>
        <v>16313.781075000003</v>
      </c>
      <c r="BH45" s="14"/>
      <c r="BI45" s="14">
        <f t="shared" si="58"/>
        <v>681836.48</v>
      </c>
      <c r="BJ45" s="14">
        <f t="shared" si="35"/>
        <v>20756.623679999997</v>
      </c>
      <c r="BK45" s="14">
        <f t="shared" si="10"/>
        <v>702593.10367999994</v>
      </c>
      <c r="BL45" s="14"/>
      <c r="BM45" s="14">
        <f t="shared" si="59"/>
        <v>28956.615000000002</v>
      </c>
      <c r="BN45" s="14">
        <f t="shared" si="36"/>
        <v>881.50396499999999</v>
      </c>
      <c r="BO45" s="14">
        <f t="shared" si="11"/>
        <v>29838.118965000001</v>
      </c>
      <c r="BP45" s="14"/>
      <c r="BQ45" s="14">
        <f t="shared" si="60"/>
        <v>79.69250000000001</v>
      </c>
      <c r="BR45" s="14">
        <f t="shared" si="37"/>
        <v>2.4260174999999999</v>
      </c>
      <c r="BS45" s="14">
        <f t="shared" si="38"/>
        <v>82.11851750000001</v>
      </c>
      <c r="BT45" s="14"/>
      <c r="BU45" s="14">
        <f t="shared" si="61"/>
        <v>20110.747500000001</v>
      </c>
      <c r="BV45" s="14">
        <f t="shared" si="39"/>
        <v>612.21602250000001</v>
      </c>
      <c r="BW45" s="14">
        <f t="shared" si="12"/>
        <v>20722.963522500002</v>
      </c>
      <c r="BX45" s="14"/>
      <c r="BY45" s="14">
        <f t="shared" si="62"/>
        <v>51381.582499999997</v>
      </c>
      <c r="BZ45" s="14">
        <f t="shared" si="40"/>
        <v>1564.1700074999999</v>
      </c>
      <c r="CA45" s="14">
        <f t="shared" si="13"/>
        <v>52945.752507499994</v>
      </c>
      <c r="CB45" s="14"/>
      <c r="CC45" s="14">
        <f t="shared" si="63"/>
        <v>86842.235000000001</v>
      </c>
      <c r="CD45" s="14">
        <f t="shared" si="41"/>
        <v>2643.6713850000001</v>
      </c>
      <c r="CE45" s="14">
        <f t="shared" si="14"/>
        <v>89485.906384999995</v>
      </c>
      <c r="CF45" s="14"/>
      <c r="CG45" s="14">
        <f t="shared" si="64"/>
        <v>714372.35499999998</v>
      </c>
      <c r="CH45" s="14">
        <f t="shared" si="42"/>
        <v>21747.088305000001</v>
      </c>
      <c r="CI45" s="14">
        <f t="shared" si="15"/>
        <v>736119.44330499996</v>
      </c>
      <c r="CJ45" s="14"/>
      <c r="CK45" s="14">
        <f t="shared" si="65"/>
        <v>13412.8125</v>
      </c>
      <c r="CL45" s="14">
        <f t="shared" si="43"/>
        <v>408.31593750000002</v>
      </c>
      <c r="CM45" s="14">
        <f t="shared" si="16"/>
        <v>13821.1284375</v>
      </c>
      <c r="CN45" s="14"/>
      <c r="CO45" s="14">
        <f t="shared" si="66"/>
        <v>63922.17</v>
      </c>
      <c r="CP45" s="14">
        <f t="shared" si="44"/>
        <v>1945.9334700000002</v>
      </c>
      <c r="CQ45" s="14">
        <f t="shared" si="17"/>
        <v>65868.103470000002</v>
      </c>
      <c r="CR45" s="14"/>
      <c r="CS45" s="14">
        <f t="shared" si="67"/>
        <v>115103.58</v>
      </c>
      <c r="CT45" s="14">
        <f t="shared" si="45"/>
        <v>3504.0097799999999</v>
      </c>
      <c r="CU45" s="14">
        <f t="shared" si="46"/>
        <v>118607.58977999999</v>
      </c>
      <c r="CV45" s="14"/>
      <c r="CW45" s="14">
        <f t="shared" si="68"/>
        <v>114947.96</v>
      </c>
      <c r="CX45" s="14">
        <f t="shared" si="47"/>
        <v>3499.2723599999999</v>
      </c>
      <c r="CY45" s="14">
        <f t="shared" si="18"/>
        <v>118447.23236000001</v>
      </c>
      <c r="CZ45" s="14"/>
      <c r="DA45" s="14"/>
      <c r="DB45" s="14"/>
      <c r="DC45" s="14"/>
      <c r="DE45" s="14"/>
      <c r="DF45" s="14"/>
      <c r="DG45" s="14"/>
    </row>
    <row r="46" spans="1:111" x14ac:dyDescent="0.2">
      <c r="A46" s="12">
        <v>46661</v>
      </c>
      <c r="D46" s="15">
        <v>0</v>
      </c>
      <c r="F46" s="15">
        <v>96900</v>
      </c>
      <c r="J46" s="15">
        <f t="shared" si="19"/>
        <v>96900</v>
      </c>
      <c r="K46" s="15">
        <f t="shared" si="1"/>
        <v>96900</v>
      </c>
      <c r="N46" s="14">
        <v>9818</v>
      </c>
      <c r="O46" s="14">
        <f t="shared" si="23"/>
        <v>9818</v>
      </c>
      <c r="Q46" s="14"/>
      <c r="R46" s="15">
        <f t="shared" si="20"/>
        <v>87082.227660000004</v>
      </c>
      <c r="S46" s="14">
        <f t="shared" si="0"/>
        <v>87082.227660000004</v>
      </c>
      <c r="U46" s="3"/>
      <c r="V46" s="3">
        <f t="shared" si="24"/>
        <v>24259.283220000001</v>
      </c>
      <c r="W46" s="3">
        <f t="shared" si="2"/>
        <v>24259.283220000001</v>
      </c>
      <c r="Y46" s="3"/>
      <c r="Z46" s="3">
        <f t="shared" si="25"/>
        <v>1871.7204000000002</v>
      </c>
      <c r="AA46" s="3">
        <f t="shared" si="3"/>
        <v>1871.7204000000002</v>
      </c>
      <c r="AD46" s="14">
        <f t="shared" si="26"/>
        <v>2318.3325</v>
      </c>
      <c r="AE46" s="14">
        <f t="shared" si="69"/>
        <v>2318.3325</v>
      </c>
      <c r="AG46" s="3"/>
      <c r="AH46" s="3">
        <f t="shared" si="27"/>
        <v>1148.66229</v>
      </c>
      <c r="AI46" s="3">
        <f t="shared" si="4"/>
        <v>1148.66229</v>
      </c>
      <c r="AK46" s="3"/>
      <c r="AL46" s="3">
        <f t="shared" si="28"/>
        <v>20941.369079999997</v>
      </c>
      <c r="AM46" s="3">
        <f t="shared" si="5"/>
        <v>20941.369079999997</v>
      </c>
      <c r="AN46" s="14"/>
      <c r="AO46" s="3"/>
      <c r="AP46" s="3">
        <f t="shared" si="29"/>
        <v>2761.4077499999999</v>
      </c>
      <c r="AQ46" s="3">
        <f t="shared" si="6"/>
        <v>2761.4077499999999</v>
      </c>
      <c r="AR46" s="14"/>
      <c r="AS46" s="14"/>
      <c r="AT46" s="14">
        <f t="shared" si="30"/>
        <v>819.09570000000008</v>
      </c>
      <c r="AU46" s="14">
        <f t="shared" si="7"/>
        <v>819.09570000000008</v>
      </c>
      <c r="AV46" s="14"/>
      <c r="AW46" s="14"/>
      <c r="AX46" s="14">
        <f t="shared" si="31"/>
        <v>360.22575000000006</v>
      </c>
      <c r="AY46" s="14">
        <f t="shared" si="32"/>
        <v>360.22575000000006</v>
      </c>
      <c r="AZ46" s="14"/>
      <c r="BA46" s="14"/>
      <c r="BB46" s="14">
        <f t="shared" si="33"/>
        <v>3156.9147899999998</v>
      </c>
      <c r="BC46" s="14">
        <f t="shared" si="8"/>
        <v>3156.9147899999998</v>
      </c>
      <c r="BD46" s="14"/>
      <c r="BE46" s="14"/>
      <c r="BF46" s="14">
        <f t="shared" si="34"/>
        <v>244.47870000000003</v>
      </c>
      <c r="BG46" s="14">
        <f t="shared" si="9"/>
        <v>244.47870000000003</v>
      </c>
      <c r="BH46" s="14"/>
      <c r="BI46" s="14"/>
      <c r="BJ46" s="14">
        <f t="shared" si="35"/>
        <v>10529.076479999998</v>
      </c>
      <c r="BK46" s="14">
        <f t="shared" si="10"/>
        <v>10529.076479999998</v>
      </c>
      <c r="BL46" s="14"/>
      <c r="BM46" s="14"/>
      <c r="BN46" s="14">
        <f t="shared" si="36"/>
        <v>447.15473999999995</v>
      </c>
      <c r="BO46" s="14">
        <f t="shared" si="11"/>
        <v>447.15473999999995</v>
      </c>
      <c r="BP46" s="14"/>
      <c r="BQ46" s="14"/>
      <c r="BR46" s="14">
        <f t="shared" si="37"/>
        <v>1.2306300000000001</v>
      </c>
      <c r="BS46" s="14">
        <f t="shared" si="38"/>
        <v>1.2306300000000001</v>
      </c>
      <c r="BT46" s="14"/>
      <c r="BU46" s="14"/>
      <c r="BV46" s="14">
        <f t="shared" si="39"/>
        <v>310.55480999999997</v>
      </c>
      <c r="BW46" s="14">
        <f t="shared" si="12"/>
        <v>310.55480999999997</v>
      </c>
      <c r="BX46" s="14"/>
      <c r="BY46" s="14"/>
      <c r="BZ46" s="14">
        <f t="shared" si="40"/>
        <v>793.44626999999991</v>
      </c>
      <c r="CA46" s="14">
        <f t="shared" si="13"/>
        <v>793.44626999999991</v>
      </c>
      <c r="CB46" s="14"/>
      <c r="CC46" s="14"/>
      <c r="CD46" s="14">
        <f t="shared" si="41"/>
        <v>1341.0378599999999</v>
      </c>
      <c r="CE46" s="14">
        <f t="shared" si="14"/>
        <v>1341.0378599999999</v>
      </c>
      <c r="CF46" s="14"/>
      <c r="CG46" s="14"/>
      <c r="CH46" s="14">
        <f t="shared" si="42"/>
        <v>11031.502979999999</v>
      </c>
      <c r="CI46" s="14">
        <f t="shared" si="15"/>
        <v>11031.502979999999</v>
      </c>
      <c r="CJ46" s="14"/>
      <c r="CK46" s="14"/>
      <c r="CL46" s="14">
        <f t="shared" si="43"/>
        <v>207.12375</v>
      </c>
      <c r="CM46" s="14">
        <f t="shared" si="16"/>
        <v>207.12375</v>
      </c>
      <c r="CN46" s="14"/>
      <c r="CO46" s="14"/>
      <c r="CP46" s="14">
        <f t="shared" si="44"/>
        <v>987.10092000000009</v>
      </c>
      <c r="CQ46" s="14">
        <f t="shared" si="17"/>
        <v>987.10092000000009</v>
      </c>
      <c r="CR46" s="14"/>
      <c r="CS46" s="14"/>
      <c r="CT46" s="14">
        <f t="shared" si="45"/>
        <v>1777.4560800000002</v>
      </c>
      <c r="CU46" s="14">
        <f t="shared" si="46"/>
        <v>1777.4560800000002</v>
      </c>
      <c r="CV46" s="14"/>
      <c r="CW46" s="14"/>
      <c r="CX46" s="14">
        <f t="shared" si="47"/>
        <v>1775.05296</v>
      </c>
      <c r="CY46" s="14">
        <f t="shared" si="18"/>
        <v>1775.05296</v>
      </c>
      <c r="CZ46" s="14"/>
      <c r="DA46" s="14"/>
      <c r="DB46" s="14"/>
      <c r="DC46" s="14"/>
      <c r="DE46" s="14"/>
      <c r="DF46" s="14"/>
      <c r="DG46" s="14"/>
    </row>
    <row r="47" spans="1:111" x14ac:dyDescent="0.2">
      <c r="A47" s="12">
        <v>46844</v>
      </c>
      <c r="C47" s="15">
        <v>0</v>
      </c>
      <c r="D47" s="15">
        <v>0</v>
      </c>
      <c r="E47" s="15">
        <v>6460000</v>
      </c>
      <c r="F47" s="15">
        <v>96900</v>
      </c>
      <c r="I47" s="15">
        <f t="shared" si="21"/>
        <v>6460000</v>
      </c>
      <c r="J47" s="15">
        <f t="shared" si="19"/>
        <v>96900</v>
      </c>
      <c r="K47" s="15">
        <f t="shared" si="1"/>
        <v>6556900</v>
      </c>
      <c r="M47" s="14">
        <v>654518</v>
      </c>
      <c r="N47" s="14">
        <v>9818</v>
      </c>
      <c r="O47" s="14">
        <f t="shared" si="23"/>
        <v>664336</v>
      </c>
      <c r="Q47" s="14">
        <f t="shared" si="22"/>
        <v>5805481.8439999996</v>
      </c>
      <c r="R47" s="15">
        <f t="shared" si="20"/>
        <v>87082.227660000004</v>
      </c>
      <c r="S47" s="14">
        <f t="shared" si="0"/>
        <v>5892564.0716599999</v>
      </c>
      <c r="U47" s="3">
        <f t="shared" si="48"/>
        <v>1617285.5480000002</v>
      </c>
      <c r="V47" s="3">
        <f t="shared" si="24"/>
        <v>24259.283220000001</v>
      </c>
      <c r="W47" s="3">
        <f t="shared" si="2"/>
        <v>1641544.8312200003</v>
      </c>
      <c r="Y47" s="3">
        <f t="shared" si="49"/>
        <v>124781.36</v>
      </c>
      <c r="Z47" s="3">
        <f t="shared" si="25"/>
        <v>1871.7204000000002</v>
      </c>
      <c r="AA47" s="3">
        <f t="shared" si="3"/>
        <v>126653.08040000001</v>
      </c>
      <c r="AC47" s="14">
        <f t="shared" si="50"/>
        <v>154555.5</v>
      </c>
      <c r="AD47" s="14">
        <f t="shared" si="26"/>
        <v>2318.3325</v>
      </c>
      <c r="AE47" s="14">
        <f t="shared" si="69"/>
        <v>156873.83249999999</v>
      </c>
      <c r="AG47" s="3">
        <f t="shared" si="51"/>
        <v>76577.486000000004</v>
      </c>
      <c r="AH47" s="3">
        <f t="shared" si="27"/>
        <v>1148.66229</v>
      </c>
      <c r="AI47" s="3">
        <f t="shared" si="4"/>
        <v>77726.148289999997</v>
      </c>
      <c r="AK47" s="3">
        <f t="shared" si="52"/>
        <v>1396091.2719999999</v>
      </c>
      <c r="AL47" s="3">
        <f t="shared" si="28"/>
        <v>20941.369079999997</v>
      </c>
      <c r="AM47" s="3">
        <f t="shared" si="5"/>
        <v>1417032.64108</v>
      </c>
      <c r="AN47" s="14"/>
      <c r="AO47" s="3">
        <f t="shared" si="53"/>
        <v>184093.85</v>
      </c>
      <c r="AP47" s="3">
        <f t="shared" si="29"/>
        <v>2761.4077499999999</v>
      </c>
      <c r="AQ47" s="3">
        <f t="shared" si="6"/>
        <v>186855.25775000002</v>
      </c>
      <c r="AR47" s="14"/>
      <c r="AS47" s="14">
        <f t="shared" si="54"/>
        <v>54606.38</v>
      </c>
      <c r="AT47" s="14">
        <f t="shared" si="30"/>
        <v>819.09570000000008</v>
      </c>
      <c r="AU47" s="14">
        <f t="shared" si="7"/>
        <v>55425.475699999995</v>
      </c>
      <c r="AV47" s="14"/>
      <c r="AW47" s="14">
        <f t="shared" si="55"/>
        <v>24015.05</v>
      </c>
      <c r="AX47" s="14">
        <f t="shared" si="31"/>
        <v>360.22575000000006</v>
      </c>
      <c r="AY47" s="14">
        <f t="shared" si="32"/>
        <v>24375.275750000001</v>
      </c>
      <c r="AZ47" s="14"/>
      <c r="BA47" s="14">
        <f t="shared" si="56"/>
        <v>210460.98599999998</v>
      </c>
      <c r="BB47" s="14">
        <f t="shared" si="33"/>
        <v>3156.9147899999998</v>
      </c>
      <c r="BC47" s="14">
        <f t="shared" si="8"/>
        <v>213617.90078999999</v>
      </c>
      <c r="BD47" s="14"/>
      <c r="BE47" s="14">
        <f t="shared" si="57"/>
        <v>16298.580000000002</v>
      </c>
      <c r="BF47" s="14">
        <f t="shared" si="34"/>
        <v>244.47870000000003</v>
      </c>
      <c r="BG47" s="14">
        <f t="shared" si="9"/>
        <v>16543.058700000001</v>
      </c>
      <c r="BH47" s="14"/>
      <c r="BI47" s="14">
        <f t="shared" si="58"/>
        <v>701938.43199999991</v>
      </c>
      <c r="BJ47" s="14">
        <f t="shared" si="35"/>
        <v>10529.076479999998</v>
      </c>
      <c r="BK47" s="14">
        <f t="shared" si="10"/>
        <v>712467.50847999996</v>
      </c>
      <c r="BL47" s="14"/>
      <c r="BM47" s="14">
        <f t="shared" si="59"/>
        <v>29810.316000000003</v>
      </c>
      <c r="BN47" s="14">
        <f t="shared" si="36"/>
        <v>447.15473999999995</v>
      </c>
      <c r="BO47" s="14">
        <f t="shared" si="11"/>
        <v>30257.470740000004</v>
      </c>
      <c r="BP47" s="14"/>
      <c r="BQ47" s="14">
        <f t="shared" si="60"/>
        <v>82.042000000000002</v>
      </c>
      <c r="BR47" s="14">
        <f t="shared" si="37"/>
        <v>1.2306300000000001</v>
      </c>
      <c r="BS47" s="14">
        <f t="shared" si="38"/>
        <v>83.272630000000007</v>
      </c>
      <c r="BT47" s="14"/>
      <c r="BU47" s="14">
        <f t="shared" si="61"/>
        <v>20703.653999999999</v>
      </c>
      <c r="BV47" s="14">
        <f t="shared" si="39"/>
        <v>310.55480999999997</v>
      </c>
      <c r="BW47" s="14">
        <f t="shared" si="12"/>
        <v>21014.20881</v>
      </c>
      <c r="BX47" s="14"/>
      <c r="BY47" s="14">
        <f t="shared" si="62"/>
        <v>52896.417999999998</v>
      </c>
      <c r="BZ47" s="14">
        <f t="shared" si="40"/>
        <v>793.44626999999991</v>
      </c>
      <c r="CA47" s="14">
        <f t="shared" si="13"/>
        <v>53689.864269999998</v>
      </c>
      <c r="CB47" s="14"/>
      <c r="CC47" s="14">
        <f t="shared" si="63"/>
        <v>89402.524000000005</v>
      </c>
      <c r="CD47" s="14">
        <f t="shared" si="41"/>
        <v>1341.0378599999999</v>
      </c>
      <c r="CE47" s="14">
        <f t="shared" si="14"/>
        <v>90743.561860000002</v>
      </c>
      <c r="CF47" s="14"/>
      <c r="CG47" s="14">
        <f t="shared" si="64"/>
        <v>735433.53200000001</v>
      </c>
      <c r="CH47" s="14">
        <f t="shared" si="42"/>
        <v>11031.502979999999</v>
      </c>
      <c r="CI47" s="14">
        <f t="shared" si="15"/>
        <v>746465.03498</v>
      </c>
      <c r="CJ47" s="14"/>
      <c r="CK47" s="14">
        <f t="shared" si="65"/>
        <v>13808.25</v>
      </c>
      <c r="CL47" s="14">
        <f t="shared" si="43"/>
        <v>207.12375</v>
      </c>
      <c r="CM47" s="14">
        <f t="shared" si="16"/>
        <v>14015.373750000001</v>
      </c>
      <c r="CN47" s="14"/>
      <c r="CO47" s="14">
        <f t="shared" si="66"/>
        <v>65806.728000000003</v>
      </c>
      <c r="CP47" s="14">
        <f t="shared" si="44"/>
        <v>987.10092000000009</v>
      </c>
      <c r="CQ47" s="14">
        <f t="shared" si="17"/>
        <v>66793.82892</v>
      </c>
      <c r="CR47" s="14"/>
      <c r="CS47" s="14">
        <f t="shared" si="67"/>
        <v>118497.07199999999</v>
      </c>
      <c r="CT47" s="14">
        <f t="shared" si="45"/>
        <v>1777.4560800000002</v>
      </c>
      <c r="CU47" s="14">
        <f t="shared" si="46"/>
        <v>120274.52807999999</v>
      </c>
      <c r="CV47" s="14"/>
      <c r="CW47" s="14">
        <f t="shared" si="68"/>
        <v>118336.86399999999</v>
      </c>
      <c r="CX47" s="14">
        <f t="shared" si="47"/>
        <v>1775.05296</v>
      </c>
      <c r="CY47" s="14">
        <f t="shared" si="18"/>
        <v>120111.91695999999</v>
      </c>
      <c r="CZ47" s="14"/>
      <c r="DA47" s="14"/>
      <c r="DB47" s="14"/>
      <c r="DC47" s="14"/>
      <c r="DE47" s="14"/>
      <c r="DF47" s="14"/>
      <c r="DG47" s="14"/>
    </row>
    <row r="48" spans="1:111" x14ac:dyDescent="0.2">
      <c r="U48" s="3"/>
      <c r="V48" s="3"/>
      <c r="W48" s="3"/>
      <c r="Y48" s="3"/>
      <c r="Z48" s="3"/>
      <c r="AA48" s="3"/>
      <c r="AG48" s="3"/>
      <c r="AH48" s="3"/>
      <c r="AI48" s="3"/>
      <c r="AK48" s="3"/>
      <c r="AL48" s="3"/>
      <c r="AM48" s="3"/>
      <c r="AN48" s="14"/>
      <c r="AO48" s="3"/>
      <c r="AP48" s="3"/>
      <c r="AQ48" s="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E48" s="14"/>
      <c r="DF48" s="14"/>
      <c r="DG48" s="14"/>
    </row>
    <row r="49" spans="1:111" ht="13.5" thickBot="1" x14ac:dyDescent="0.25">
      <c r="A49" s="12" t="s">
        <v>0</v>
      </c>
      <c r="C49" s="26">
        <f t="shared" ref="C49:K49" si="72">SUM(C8:C48)</f>
        <v>39145000</v>
      </c>
      <c r="D49" s="26">
        <f t="shared" si="72"/>
        <v>27466674</v>
      </c>
      <c r="E49" s="26">
        <f t="shared" si="72"/>
        <v>45020000</v>
      </c>
      <c r="F49" s="26">
        <f t="shared" si="72"/>
        <v>17872405</v>
      </c>
      <c r="G49" s="26">
        <f t="shared" si="72"/>
        <v>4355000</v>
      </c>
      <c r="H49" s="26">
        <f t="shared" si="72"/>
        <v>897009</v>
      </c>
      <c r="I49" s="26">
        <f t="shared" si="72"/>
        <v>88520000</v>
      </c>
      <c r="J49" s="26">
        <f t="shared" si="72"/>
        <v>46236088</v>
      </c>
      <c r="K49" s="26">
        <f t="shared" si="72"/>
        <v>134756088</v>
      </c>
      <c r="M49" s="26">
        <f>SUM(M8:M48)</f>
        <v>8809837</v>
      </c>
      <c r="N49" s="26">
        <f>SUM(N8:N48)</f>
        <v>4432731</v>
      </c>
      <c r="O49" s="26">
        <f>SUM(O8:O48)</f>
        <v>13242568</v>
      </c>
      <c r="Q49" s="26">
        <f>SUM(Q8:Q48)</f>
        <v>79710162.81099999</v>
      </c>
      <c r="R49" s="26">
        <f>SUM(R8:R48)</f>
        <v>41803357.402059406</v>
      </c>
      <c r="S49" s="26">
        <f>SUM(S8:S48)</f>
        <v>121513520.2130594</v>
      </c>
      <c r="U49" s="26">
        <f>SUM(U8:U48)</f>
        <v>21958664.836999997</v>
      </c>
      <c r="V49" s="26">
        <f>SUM(V8:V48)</f>
        <v>11005656.125679802</v>
      </c>
      <c r="W49" s="26">
        <f>SUM(W8:W48)</f>
        <v>32964320.962679796</v>
      </c>
      <c r="Y49" s="26">
        <f>SUM(Y8:Y48)</f>
        <v>1687390.34</v>
      </c>
      <c r="Z49" s="26">
        <f>SUM(Z8:Z48)</f>
        <v>843040.87063599995</v>
      </c>
      <c r="AA49" s="26">
        <f>SUM(AA8:AA48)</f>
        <v>2530431.2106359997</v>
      </c>
      <c r="AC49" s="26">
        <f>SUM(AC8:AC48)</f>
        <v>2117608.125</v>
      </c>
      <c r="AD49" s="26">
        <f>SUM(AD8:AD48)</f>
        <v>1068847.1586750005</v>
      </c>
      <c r="AE49" s="26">
        <f>SUM(AE8:AE48)</f>
        <v>3186455.2836750001</v>
      </c>
      <c r="AG49" s="26">
        <f>SUM(AG8:AG48)</f>
        <v>1026588.8965000003</v>
      </c>
      <c r="AH49" s="26">
        <f>SUM(AH8:AH48)</f>
        <v>509371.97356110008</v>
      </c>
      <c r="AI49" s="26">
        <f>SUM(AI8:AI48)</f>
        <v>1535960.8700611002</v>
      </c>
      <c r="AK49" s="26">
        <f>SUM(AK8:AK48)</f>
        <v>18960927.118000001</v>
      </c>
      <c r="AL49" s="26">
        <f>SUM(AL8:AL48)</f>
        <v>9505363.8438771963</v>
      </c>
      <c r="AM49" s="26">
        <f>SUM(AM8:AM48)</f>
        <v>28466290.96187719</v>
      </c>
      <c r="AN49" s="14"/>
      <c r="AO49" s="26">
        <f>SUM(AO8:AO48)</f>
        <v>2470554.8374999999</v>
      </c>
      <c r="AP49" s="26">
        <f>SUM(AP8:AP48)</f>
        <v>1226874.0453225004</v>
      </c>
      <c r="AQ49" s="26">
        <f>SUM(AQ8:AQ48)</f>
        <v>3697428.8828225001</v>
      </c>
      <c r="AR49" s="14"/>
      <c r="AS49" s="26">
        <f>SUM(AS8:AS48)</f>
        <v>742147.84499999997</v>
      </c>
      <c r="AT49" s="26">
        <f>SUM(AT8:AT48)</f>
        <v>372252.05376300006</v>
      </c>
      <c r="AU49" s="26">
        <f>SUM(AU8:AU48)</f>
        <v>1114399.898763</v>
      </c>
      <c r="AV49" s="14"/>
      <c r="AW49" s="26">
        <f>SUM(AW8:AW48)</f>
        <v>321880.13750000001</v>
      </c>
      <c r="AX49" s="26">
        <f>SUM(AX8:AX48)</f>
        <v>159685.94994250004</v>
      </c>
      <c r="AY49" s="26">
        <f>SUM(AY8:AY48)</f>
        <v>481566.08744250017</v>
      </c>
      <c r="AZ49" s="14"/>
      <c r="BA49" s="26">
        <f>SUM(BA8:BA48)</f>
        <v>2848446.0214999998</v>
      </c>
      <c r="BB49" s="26">
        <f>SUM(BB8:BB48)</f>
        <v>1424078.0650360999</v>
      </c>
      <c r="BC49" s="26">
        <f>SUM(BC8:BC48)</f>
        <v>4272524.0865360992</v>
      </c>
      <c r="BD49" s="14"/>
      <c r="BE49" s="26">
        <f>SUM(BE8:BE48)</f>
        <v>224142.39500000002</v>
      </c>
      <c r="BF49" s="26">
        <f>SUM(BF8:BF48)</f>
        <v>113457.41673300001</v>
      </c>
      <c r="BG49" s="26">
        <f>SUM(BG8:BG48)</f>
        <v>337599.81173299992</v>
      </c>
      <c r="BH49" s="14"/>
      <c r="BI49" s="26">
        <f>SUM(BI8:BI48)</f>
        <v>9519669.407999998</v>
      </c>
      <c r="BJ49" s="26">
        <f>SUM(BJ8:BJ48)</f>
        <v>4766978.6898432001</v>
      </c>
      <c r="BK49" s="26">
        <f>SUM(BK8:BK48)</f>
        <v>14286648.097843196</v>
      </c>
      <c r="BL49" s="14"/>
      <c r="BM49" s="26">
        <f>SUM(BM8:BM48)</f>
        <v>406924.22900000005</v>
      </c>
      <c r="BN49" s="26">
        <f>SUM(BN8:BN48)</f>
        <v>204806.60715660002</v>
      </c>
      <c r="BO49" s="26">
        <f>SUM(BO8:BO48)</f>
        <v>611730.83615660004</v>
      </c>
      <c r="BP49" s="14"/>
      <c r="BQ49" s="26">
        <f>SUM(BQ8:BQ48)</f>
        <v>1099.6855</v>
      </c>
      <c r="BR49" s="26">
        <f>SUM(BR8:BR48)</f>
        <v>544.54514170000016</v>
      </c>
      <c r="BS49" s="26">
        <f>SUM(BS8:BS48)</f>
        <v>1644.2306417000002</v>
      </c>
      <c r="BT49" s="14"/>
      <c r="BU49" s="26">
        <f>SUM(BU8:BU48)</f>
        <v>282716.1385</v>
      </c>
      <c r="BV49" s="26">
        <f>SUM(BV8:BV48)</f>
        <v>142329.09642789999</v>
      </c>
      <c r="BW49" s="26">
        <f>SUM(BW8:BW48)</f>
        <v>425045.23492790008</v>
      </c>
      <c r="BX49" s="14"/>
      <c r="BY49" s="26">
        <f>SUM(BY8:BY48)</f>
        <v>717232.17949999997</v>
      </c>
      <c r="BZ49" s="26">
        <f>SUM(BZ8:BZ48)</f>
        <v>359096.14832929999</v>
      </c>
      <c r="CA49" s="26">
        <f>SUM(CA8:CA48)</f>
        <v>1076328.3278292997</v>
      </c>
      <c r="CB49" s="14"/>
      <c r="CC49" s="26">
        <f>SUM(CC8:CC48)</f>
        <v>1208025.4809999999</v>
      </c>
      <c r="CD49" s="26">
        <f>SUM(CD8:CD48)</f>
        <v>603172.42787740007</v>
      </c>
      <c r="CE49" s="26">
        <f>SUM(CE8:CE48)</f>
        <v>1811197.9088774004</v>
      </c>
      <c r="CF49" s="14"/>
      <c r="CG49" s="26">
        <f>SUM(CG8:CG48)</f>
        <v>9933723.4330000021</v>
      </c>
      <c r="CH49" s="26">
        <f>SUM(CH8:CH48)</f>
        <v>4958526.2299782028</v>
      </c>
      <c r="CI49" s="26">
        <f>SUM(CI8:CI48)</f>
        <v>14892249.662978198</v>
      </c>
      <c r="CJ49" s="14"/>
      <c r="CK49" s="26">
        <f>SUM(CK8:CK48)</f>
        <v>185303.4375</v>
      </c>
      <c r="CL49" s="26">
        <f>SUM(CL8:CL48)</f>
        <v>92017.341762499986</v>
      </c>
      <c r="CM49" s="26">
        <f>SUM(CM8:CM48)</f>
        <v>277320.77926250006</v>
      </c>
      <c r="CN49" s="14"/>
      <c r="CO49" s="26">
        <f>SUM(CO8:CO48)</f>
        <v>895689.3820000001</v>
      </c>
      <c r="CP49" s="26">
        <f>SUM(CP8:CP48)</f>
        <v>449781.78342280007</v>
      </c>
      <c r="CQ49" s="26">
        <f>SUM(CQ8:CQ48)</f>
        <v>1345471.1654228</v>
      </c>
      <c r="CR49" s="15"/>
      <c r="CS49" s="26">
        <f>SUM(CS8:CS48)</f>
        <v>1607685.0679999997</v>
      </c>
      <c r="CT49" s="26">
        <f>SUM(CT8:CT48)</f>
        <v>805295.57820719969</v>
      </c>
      <c r="CU49" s="26">
        <f>SUM(CU8:CU48)</f>
        <v>2412980.6462071999</v>
      </c>
      <c r="CV49" s="14"/>
      <c r="CW49" s="26">
        <f>SUM(CW8:CW48)</f>
        <v>1609483.8160000001</v>
      </c>
      <c r="CX49" s="26">
        <f>SUM(CX8:CX48)</f>
        <v>807758.45068639982</v>
      </c>
      <c r="CY49" s="26">
        <f>SUM(CY8:CY48)</f>
        <v>2417242.2666863995</v>
      </c>
      <c r="CZ49" s="14"/>
      <c r="DA49" s="26">
        <f>SUM(DA8:DA48)</f>
        <v>984260</v>
      </c>
      <c r="DB49" s="26">
        <f>SUM(DB8:DB48)</f>
        <v>2384423</v>
      </c>
      <c r="DC49" s="26">
        <f>SUM(DC8:DC48)</f>
        <v>3368683</v>
      </c>
      <c r="DE49" s="26">
        <f>SUM(DE8:DE48)</f>
        <v>-36981</v>
      </c>
      <c r="DF49" s="26">
        <f>SUM(DF8:DF48)</f>
        <v>14367</v>
      </c>
      <c r="DG49" s="26">
        <f>SUM(DG8:DG48)</f>
        <v>-22614</v>
      </c>
    </row>
    <row r="50" spans="1:111" ht="13.5" thickTop="1" x14ac:dyDescent="0.2">
      <c r="U50" s="3"/>
      <c r="V50" s="3"/>
      <c r="W50" s="3"/>
      <c r="Y50" s="3"/>
      <c r="Z50" s="3"/>
      <c r="AA50" s="3"/>
      <c r="AG50" s="3"/>
      <c r="AH50" s="3"/>
      <c r="AI50" s="3"/>
      <c r="AK50" s="3"/>
      <c r="AL50" s="3"/>
      <c r="AM50" s="3"/>
      <c r="AO50" s="3"/>
      <c r="AP50" s="3"/>
      <c r="AQ50" s="3"/>
    </row>
    <row r="51" spans="1:111" x14ac:dyDescent="0.2">
      <c r="Q51" s="14"/>
      <c r="R51" s="14"/>
      <c r="S51" s="14"/>
      <c r="U51" s="3"/>
      <c r="V51" s="3"/>
      <c r="W51" s="3"/>
      <c r="Y51" s="3"/>
      <c r="Z51" s="3"/>
      <c r="AA51" s="3"/>
      <c r="AG51" s="3"/>
      <c r="AH51" s="3"/>
      <c r="AI51" s="3"/>
      <c r="AK51" s="3"/>
      <c r="AL51" s="3"/>
      <c r="AM51" s="3"/>
      <c r="AO51" s="3"/>
      <c r="AP51" s="3"/>
      <c r="AQ51" s="3"/>
    </row>
    <row r="52" spans="1:111" x14ac:dyDescent="0.2">
      <c r="Q52" s="14"/>
      <c r="R52" s="14"/>
      <c r="S52" s="14"/>
      <c r="U52" s="3"/>
      <c r="V52" s="3"/>
      <c r="W52" s="3"/>
      <c r="Y52" s="3"/>
      <c r="Z52" s="3"/>
      <c r="AA52" s="3"/>
      <c r="AG52" s="3"/>
      <c r="AH52" s="3"/>
      <c r="AI52" s="3"/>
      <c r="AK52" s="3"/>
      <c r="AL52" s="3"/>
      <c r="AM52" s="3"/>
      <c r="AO52" s="3"/>
      <c r="AP52" s="3"/>
      <c r="AQ52" s="3"/>
    </row>
    <row r="53" spans="1:111" x14ac:dyDescent="0.2">
      <c r="M53" s="15"/>
      <c r="N53" s="15"/>
      <c r="O53" s="15"/>
      <c r="Q53" s="15"/>
      <c r="R53" s="15"/>
      <c r="S53" s="15"/>
      <c r="U53" s="15"/>
      <c r="V53" s="15"/>
      <c r="W53" s="15"/>
      <c r="Y53" s="15"/>
      <c r="Z53" s="15"/>
      <c r="AA53" s="15"/>
      <c r="AC53" s="15"/>
      <c r="AD53" s="15"/>
      <c r="AE53" s="15"/>
      <c r="AG53" s="15"/>
      <c r="AH53" s="15"/>
      <c r="AI53" s="15"/>
      <c r="AK53" s="15"/>
      <c r="AL53" s="15"/>
      <c r="AM53" s="15"/>
      <c r="AO53" s="15"/>
      <c r="AP53" s="15"/>
      <c r="AQ53" s="15"/>
      <c r="AS53" s="15"/>
      <c r="AT53" s="15"/>
      <c r="AU53" s="15"/>
      <c r="AW53" s="15"/>
      <c r="AX53" s="15"/>
      <c r="AY53" s="15"/>
      <c r="BA53" s="15"/>
      <c r="BB53" s="15"/>
      <c r="BC53" s="15"/>
      <c r="BE53" s="15"/>
      <c r="BF53" s="15"/>
      <c r="BG53" s="15"/>
      <c r="BI53" s="15"/>
      <c r="BJ53" s="15"/>
      <c r="BK53" s="15"/>
      <c r="BM53" s="15"/>
      <c r="BN53" s="15"/>
      <c r="BO53" s="15"/>
      <c r="BQ53" s="15"/>
      <c r="BR53" s="15"/>
      <c r="BS53" s="15"/>
      <c r="BU53" s="15"/>
      <c r="BV53" s="15"/>
      <c r="BW53" s="15"/>
      <c r="BY53" s="15"/>
      <c r="BZ53" s="15"/>
      <c r="CA53" s="15"/>
      <c r="CC53" s="15"/>
      <c r="CD53" s="15"/>
      <c r="CE53" s="15"/>
      <c r="CG53" s="15"/>
      <c r="CH53" s="15"/>
      <c r="CI53" s="15"/>
      <c r="CK53" s="15"/>
      <c r="CL53" s="15"/>
      <c r="CM53" s="15"/>
      <c r="CO53" s="15"/>
      <c r="CP53" s="15"/>
      <c r="CQ53" s="15"/>
      <c r="CS53" s="15"/>
      <c r="CT53" s="15"/>
      <c r="CU53" s="15"/>
      <c r="CW53" s="15"/>
      <c r="CX53" s="15"/>
      <c r="CY53" s="15"/>
      <c r="DA53" s="15"/>
      <c r="DB53" s="15"/>
      <c r="DC53" s="15"/>
      <c r="DE53" s="15"/>
      <c r="DF53" s="15"/>
      <c r="DG53" s="15"/>
    </row>
    <row r="54" spans="1:111" x14ac:dyDescent="0.2">
      <c r="Q54" s="14"/>
      <c r="R54" s="14"/>
      <c r="S54" s="14"/>
      <c r="U54" s="3"/>
      <c r="V54" s="3"/>
      <c r="W54" s="3"/>
      <c r="Y54" s="3"/>
      <c r="Z54" s="3"/>
      <c r="AA54" s="3"/>
      <c r="AG54" s="3"/>
      <c r="AH54" s="3"/>
      <c r="AI54" s="3"/>
      <c r="AK54" s="3"/>
      <c r="AL54" s="3"/>
      <c r="AM54" s="3"/>
      <c r="AO54" s="3"/>
      <c r="AP54" s="3"/>
      <c r="AQ54" s="3"/>
    </row>
    <row r="55" spans="1:111" x14ac:dyDescent="0.2">
      <c r="S55" s="14"/>
      <c r="U55" s="3"/>
      <c r="V55" s="3"/>
      <c r="W55" s="3"/>
      <c r="Y55" s="3"/>
      <c r="Z55" s="3"/>
      <c r="AA55" s="3"/>
      <c r="AG55" s="3"/>
      <c r="AH55" s="3"/>
      <c r="AI55" s="3"/>
      <c r="AK55" s="3"/>
      <c r="AL55" s="3"/>
      <c r="AM55" s="3"/>
      <c r="AO55" s="3"/>
      <c r="AP55" s="3"/>
      <c r="AQ55" s="3"/>
    </row>
    <row r="56" spans="1:111" x14ac:dyDescent="0.2">
      <c r="U56" s="3"/>
      <c r="V56" s="3"/>
      <c r="W56" s="3"/>
      <c r="Y56" s="3"/>
      <c r="Z56" s="3"/>
      <c r="AA56" s="3"/>
      <c r="AG56" s="3"/>
      <c r="AH56" s="3"/>
      <c r="AI56" s="3"/>
      <c r="AK56" s="3"/>
      <c r="AL56" s="3"/>
      <c r="AM56" s="3"/>
      <c r="AO56" s="3"/>
      <c r="AP56" s="3"/>
      <c r="AQ56" s="3"/>
    </row>
    <row r="57" spans="1:111" x14ac:dyDescent="0.2">
      <c r="A57" s="1"/>
      <c r="U57" s="3"/>
      <c r="V57" s="3"/>
      <c r="W57" s="3"/>
      <c r="Y57" s="3"/>
      <c r="Z57" s="3"/>
      <c r="AA57" s="3"/>
      <c r="AG57" s="3"/>
      <c r="AH57" s="3"/>
      <c r="AI57" s="3"/>
      <c r="AK57" s="3"/>
      <c r="AL57" s="3"/>
      <c r="AM57" s="3"/>
      <c r="AO57" s="3"/>
      <c r="AP57" s="3"/>
      <c r="AQ57" s="3"/>
    </row>
    <row r="58" spans="1:111" x14ac:dyDescent="0.2">
      <c r="A58" s="1"/>
      <c r="C58"/>
      <c r="D58"/>
      <c r="E58"/>
      <c r="F58"/>
      <c r="G58"/>
      <c r="H58"/>
      <c r="I58"/>
      <c r="J58"/>
      <c r="K58"/>
      <c r="U58" s="3"/>
      <c r="V58" s="3"/>
      <c r="W58" s="3"/>
      <c r="Y58" s="3"/>
      <c r="Z58" s="3"/>
      <c r="AA58" s="3"/>
      <c r="AG58" s="3"/>
      <c r="AH58" s="3"/>
      <c r="AI58" s="3"/>
      <c r="AK58" s="3"/>
      <c r="AL58" s="3"/>
      <c r="AM58" s="3"/>
      <c r="AO58" s="3"/>
      <c r="AP58" s="3"/>
      <c r="AQ58" s="3"/>
    </row>
    <row r="59" spans="1:111" x14ac:dyDescent="0.2">
      <c r="A59" s="1"/>
      <c r="C59"/>
      <c r="D59"/>
      <c r="E59"/>
      <c r="F59"/>
      <c r="G59"/>
      <c r="H59"/>
      <c r="I59"/>
      <c r="J59"/>
      <c r="K59"/>
      <c r="U59" s="3"/>
      <c r="V59" s="3"/>
      <c r="W59" s="3"/>
      <c r="Y59" s="3"/>
      <c r="Z59" s="3"/>
      <c r="AA59" s="3"/>
      <c r="AG59" s="3"/>
      <c r="AH59" s="3"/>
      <c r="AI59" s="3"/>
      <c r="AK59" s="3"/>
      <c r="AL59" s="3"/>
      <c r="AM59" s="3"/>
      <c r="AO59" s="3"/>
      <c r="AP59" s="3"/>
      <c r="AQ59" s="3"/>
    </row>
    <row r="60" spans="1:111" x14ac:dyDescent="0.2">
      <c r="A60" s="1"/>
      <c r="C60"/>
      <c r="D60"/>
      <c r="E60"/>
      <c r="F60"/>
      <c r="G60"/>
      <c r="H60"/>
      <c r="I60"/>
      <c r="J60"/>
      <c r="K60"/>
      <c r="U60" s="3"/>
      <c r="V60" s="3"/>
      <c r="W60" s="3"/>
      <c r="Y60" s="3"/>
      <c r="Z60" s="3"/>
      <c r="AA60" s="3"/>
      <c r="AG60" s="3"/>
      <c r="AH60" s="3"/>
      <c r="AI60" s="3"/>
      <c r="AK60" s="3"/>
      <c r="AL60" s="3"/>
      <c r="AM60" s="3"/>
      <c r="AO60" s="3"/>
      <c r="AP60" s="3"/>
      <c r="AQ60" s="3"/>
    </row>
    <row r="61" spans="1:111" x14ac:dyDescent="0.2">
      <c r="A61" s="1"/>
      <c r="C61"/>
      <c r="D61"/>
      <c r="E61"/>
      <c r="F61"/>
      <c r="G61"/>
      <c r="H61"/>
      <c r="I61"/>
      <c r="J61"/>
      <c r="K61"/>
      <c r="U61" s="3"/>
      <c r="V61" s="3"/>
      <c r="W61" s="3"/>
      <c r="Y61" s="3"/>
      <c r="Z61" s="3"/>
      <c r="AA61" s="3"/>
      <c r="AG61" s="3"/>
      <c r="AH61" s="3"/>
      <c r="AI61" s="3"/>
      <c r="AK61" s="3"/>
      <c r="AL61" s="3"/>
      <c r="AM61" s="3"/>
      <c r="AO61" s="3"/>
      <c r="AP61" s="3"/>
      <c r="AQ61" s="3"/>
    </row>
    <row r="62" spans="1:111" x14ac:dyDescent="0.2">
      <c r="A62" s="1"/>
      <c r="C62"/>
      <c r="D62"/>
      <c r="E62"/>
      <c r="F62"/>
      <c r="G62"/>
      <c r="H62"/>
      <c r="I62"/>
      <c r="J62"/>
      <c r="K62"/>
      <c r="M62"/>
      <c r="N62"/>
      <c r="O62"/>
      <c r="U62" s="3"/>
      <c r="V62" s="3"/>
      <c r="W62" s="3"/>
      <c r="Y62" s="3"/>
      <c r="Z62" s="3"/>
      <c r="AA62" s="3"/>
      <c r="AG62" s="3"/>
      <c r="AH62" s="3"/>
      <c r="AI62" s="3"/>
      <c r="AK62" s="3"/>
      <c r="AL62" s="3"/>
      <c r="AM62" s="3"/>
      <c r="AO62" s="3"/>
      <c r="AP62" s="3"/>
      <c r="AQ62" s="3"/>
    </row>
    <row r="63" spans="1:111" x14ac:dyDescent="0.2">
      <c r="A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T63"/>
      <c r="U63" s="3"/>
      <c r="V63" s="3"/>
      <c r="W63" s="3"/>
      <c r="X63"/>
      <c r="Y63" s="3"/>
      <c r="Z63" s="3"/>
      <c r="AA63" s="3"/>
      <c r="AB63"/>
      <c r="AC63"/>
      <c r="AD63"/>
      <c r="AE63"/>
      <c r="AF63"/>
      <c r="AG63" s="3"/>
      <c r="AH63" s="3"/>
      <c r="AI63" s="3"/>
      <c r="AJ63"/>
      <c r="AK63" s="3"/>
      <c r="AL63" s="3"/>
      <c r="AM63" s="3"/>
      <c r="AO63" s="3"/>
      <c r="AP63" s="3"/>
      <c r="AQ63" s="3"/>
    </row>
    <row r="64" spans="1:111" x14ac:dyDescent="0.2">
      <c r="A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T64"/>
      <c r="U64" s="3"/>
      <c r="V64" s="3"/>
      <c r="W64" s="3"/>
      <c r="X64"/>
      <c r="Y64" s="3"/>
      <c r="Z64" s="3"/>
      <c r="AA64" s="3"/>
      <c r="AB64"/>
      <c r="AC64"/>
      <c r="AD64"/>
      <c r="AE64"/>
      <c r="AF64"/>
      <c r="AG64" s="3"/>
      <c r="AH64" s="3"/>
      <c r="AI64" s="3"/>
      <c r="AJ64"/>
      <c r="AK64" s="3"/>
      <c r="AL64" s="3"/>
      <c r="AM64" s="3"/>
      <c r="AO64" s="3"/>
      <c r="AP64" s="3"/>
      <c r="AQ64" s="3"/>
    </row>
    <row r="65" spans="1:43" x14ac:dyDescent="0.2">
      <c r="A65" s="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T65"/>
      <c r="U65" s="3"/>
      <c r="V65" s="3"/>
      <c r="W65" s="3"/>
      <c r="X65"/>
      <c r="Y65" s="3"/>
      <c r="Z65" s="3"/>
      <c r="AA65" s="3"/>
      <c r="AB65"/>
      <c r="AC65"/>
      <c r="AD65"/>
      <c r="AE65"/>
      <c r="AF65"/>
      <c r="AG65" s="3"/>
      <c r="AH65" s="3"/>
      <c r="AI65" s="3"/>
      <c r="AJ65"/>
      <c r="AK65" s="3"/>
      <c r="AL65" s="3"/>
      <c r="AM65" s="3"/>
      <c r="AO65" s="3"/>
      <c r="AP65" s="3"/>
      <c r="AQ65" s="3"/>
    </row>
    <row r="66" spans="1:43" x14ac:dyDescent="0.2">
      <c r="A66" s="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T66"/>
      <c r="U66" s="3"/>
      <c r="V66" s="3"/>
      <c r="W66" s="3"/>
      <c r="X66"/>
      <c r="Y66" s="3"/>
      <c r="Z66" s="3"/>
      <c r="AA66" s="3"/>
      <c r="AB66"/>
      <c r="AC66"/>
      <c r="AD66"/>
      <c r="AE66"/>
      <c r="AF66"/>
      <c r="AG66" s="3"/>
      <c r="AH66" s="3"/>
      <c r="AI66" s="3"/>
      <c r="AJ66"/>
      <c r="AK66" s="3"/>
      <c r="AL66" s="3"/>
      <c r="AM66" s="3"/>
      <c r="AO66" s="3"/>
      <c r="AP66" s="3"/>
      <c r="AQ66" s="3"/>
    </row>
    <row r="67" spans="1:43" x14ac:dyDescent="0.2">
      <c r="A67" s="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T67"/>
      <c r="U67" s="3"/>
      <c r="V67" s="3"/>
      <c r="W67" s="3"/>
      <c r="X67"/>
      <c r="Y67" s="3"/>
      <c r="Z67" s="3"/>
      <c r="AA67" s="3"/>
      <c r="AB67"/>
      <c r="AC67"/>
      <c r="AD67"/>
      <c r="AE67"/>
      <c r="AF67"/>
      <c r="AG67" s="3"/>
      <c r="AH67" s="3"/>
      <c r="AI67" s="3"/>
      <c r="AJ67"/>
      <c r="AK67" s="3"/>
      <c r="AL67" s="3"/>
      <c r="AM67" s="3"/>
      <c r="AO67" s="3"/>
      <c r="AP67" s="3"/>
      <c r="AQ67" s="3"/>
    </row>
    <row r="68" spans="1:43" x14ac:dyDescent="0.2">
      <c r="A68" s="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T68"/>
      <c r="U68" s="3"/>
      <c r="V68" s="3"/>
      <c r="W68" s="3"/>
      <c r="X68"/>
      <c r="Y68" s="3"/>
      <c r="Z68" s="3"/>
      <c r="AA68" s="3"/>
      <c r="AB68"/>
      <c r="AC68"/>
      <c r="AD68"/>
      <c r="AE68"/>
      <c r="AF68"/>
      <c r="AG68" s="3"/>
      <c r="AH68" s="3"/>
      <c r="AI68" s="3"/>
      <c r="AJ68"/>
      <c r="AK68" s="3"/>
      <c r="AL68" s="3"/>
      <c r="AM68" s="3"/>
      <c r="AO68" s="3"/>
      <c r="AP68" s="3"/>
      <c r="AQ68" s="3"/>
    </row>
    <row r="69" spans="1:43" x14ac:dyDescent="0.2">
      <c r="A69" s="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T69"/>
      <c r="U69" s="3"/>
      <c r="V69" s="3"/>
      <c r="W69" s="3"/>
      <c r="X69"/>
      <c r="Y69" s="3"/>
      <c r="Z69" s="3"/>
      <c r="AA69" s="3"/>
      <c r="AB69"/>
      <c r="AC69"/>
      <c r="AD69"/>
      <c r="AE69"/>
      <c r="AF69"/>
      <c r="AG69" s="3"/>
      <c r="AH69" s="3"/>
      <c r="AI69" s="3"/>
      <c r="AJ69"/>
      <c r="AK69" s="3"/>
      <c r="AL69" s="3"/>
      <c r="AM69" s="3"/>
      <c r="AO69" s="3"/>
      <c r="AP69" s="3"/>
      <c r="AQ69" s="3"/>
    </row>
    <row r="70" spans="1:43" x14ac:dyDescent="0.2">
      <c r="A70" s="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T70"/>
      <c r="U70" s="3"/>
      <c r="V70" s="3"/>
      <c r="W70" s="3"/>
      <c r="X70"/>
      <c r="Y70" s="3"/>
      <c r="Z70" s="3"/>
      <c r="AA70" s="3"/>
      <c r="AB70"/>
      <c r="AC70"/>
      <c r="AD70"/>
      <c r="AE70"/>
      <c r="AF70"/>
      <c r="AG70" s="3"/>
      <c r="AH70" s="3"/>
      <c r="AI70" s="3"/>
      <c r="AJ70"/>
      <c r="AK70" s="3"/>
      <c r="AL70" s="3"/>
      <c r="AM70" s="3"/>
      <c r="AO70" s="3"/>
      <c r="AP70" s="3"/>
      <c r="AQ70" s="3"/>
    </row>
    <row r="71" spans="1:43" x14ac:dyDescent="0.2">
      <c r="A71" s="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T71"/>
      <c r="U71" s="3"/>
      <c r="V71" s="3"/>
      <c r="W71" s="3"/>
      <c r="X71"/>
      <c r="Y71" s="3"/>
      <c r="Z71" s="3"/>
      <c r="AA71" s="3"/>
      <c r="AB71"/>
      <c r="AC71"/>
      <c r="AD71"/>
      <c r="AE71"/>
      <c r="AF71"/>
      <c r="AG71" s="3"/>
      <c r="AH71" s="3"/>
      <c r="AI71" s="3"/>
      <c r="AJ71"/>
      <c r="AK71" s="3"/>
      <c r="AL71" s="3"/>
      <c r="AM71" s="3"/>
      <c r="AO71" s="3"/>
      <c r="AP71" s="3"/>
      <c r="AQ71" s="3"/>
    </row>
    <row r="72" spans="1:43" x14ac:dyDescent="0.2">
      <c r="A72" s="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T72"/>
      <c r="U72" s="3"/>
      <c r="V72" s="3"/>
      <c r="W72" s="3"/>
      <c r="X72"/>
      <c r="Y72" s="3"/>
      <c r="Z72" s="3"/>
      <c r="AA72" s="3"/>
      <c r="AB72"/>
      <c r="AC72"/>
      <c r="AD72"/>
      <c r="AE72"/>
      <c r="AF72"/>
      <c r="AG72" s="3"/>
      <c r="AH72" s="3"/>
      <c r="AI72" s="3"/>
      <c r="AJ72"/>
      <c r="AK72" s="3"/>
      <c r="AL72" s="3"/>
      <c r="AM72" s="3"/>
      <c r="AO72" s="3"/>
      <c r="AP72" s="3"/>
      <c r="AQ72" s="3"/>
    </row>
    <row r="73" spans="1:43" x14ac:dyDescent="0.2">
      <c r="A73" s="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T73"/>
      <c r="U73" s="3"/>
      <c r="V73" s="3"/>
      <c r="W73" s="3"/>
      <c r="X73"/>
      <c r="Y73" s="3"/>
      <c r="Z73" s="3"/>
      <c r="AA73" s="3"/>
      <c r="AB73"/>
      <c r="AC73"/>
      <c r="AD73"/>
      <c r="AE73"/>
      <c r="AF73"/>
      <c r="AG73" s="3"/>
      <c r="AH73" s="3"/>
      <c r="AI73" s="3"/>
      <c r="AJ73"/>
      <c r="AK73" s="3"/>
      <c r="AL73" s="3"/>
      <c r="AM73" s="3"/>
      <c r="AO73" s="3"/>
      <c r="AP73" s="3"/>
      <c r="AQ73" s="3"/>
    </row>
    <row r="74" spans="1:43" x14ac:dyDescent="0.2">
      <c r="A74" s="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T74"/>
      <c r="U74" s="3"/>
      <c r="V74" s="3"/>
      <c r="W74" s="3"/>
      <c r="X74"/>
      <c r="Y74" s="3"/>
      <c r="Z74" s="3"/>
      <c r="AA74" s="3"/>
      <c r="AB74"/>
      <c r="AC74"/>
      <c r="AD74"/>
      <c r="AE74"/>
      <c r="AF74"/>
      <c r="AG74" s="3"/>
      <c r="AH74" s="3"/>
      <c r="AI74" s="3"/>
      <c r="AJ74"/>
      <c r="AK74" s="3"/>
      <c r="AL74" s="3"/>
      <c r="AM74" s="3"/>
      <c r="AO74" s="3"/>
      <c r="AP74" s="3"/>
      <c r="AQ74" s="3"/>
    </row>
    <row r="75" spans="1:43" x14ac:dyDescent="0.2">
      <c r="A75" s="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T75"/>
      <c r="U75" s="3"/>
      <c r="V75" s="3"/>
      <c r="W75" s="3"/>
      <c r="X75"/>
      <c r="Y75" s="3"/>
      <c r="Z75" s="3"/>
      <c r="AA75" s="3"/>
      <c r="AB75"/>
      <c r="AC75"/>
      <c r="AD75"/>
      <c r="AE75"/>
      <c r="AF75"/>
      <c r="AG75" s="3"/>
      <c r="AH75" s="3"/>
      <c r="AI75" s="3"/>
      <c r="AJ75"/>
      <c r="AK75" s="3"/>
      <c r="AL75" s="3"/>
      <c r="AM75" s="3"/>
      <c r="AO75" s="3"/>
      <c r="AP75" s="3"/>
      <c r="AQ75" s="3"/>
    </row>
    <row r="76" spans="1:43" x14ac:dyDescent="0.2">
      <c r="A76" s="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T76"/>
      <c r="U76" s="3"/>
      <c r="V76" s="3"/>
      <c r="W76" s="3"/>
      <c r="X76"/>
      <c r="Y76" s="3"/>
      <c r="Z76" s="3"/>
      <c r="AA76" s="3"/>
      <c r="AB76"/>
      <c r="AC76"/>
      <c r="AD76"/>
      <c r="AE76"/>
      <c r="AF76"/>
      <c r="AG76" s="3"/>
      <c r="AH76" s="3"/>
      <c r="AI76" s="3"/>
      <c r="AJ76"/>
      <c r="AK76" s="3"/>
      <c r="AL76" s="3"/>
      <c r="AM76" s="3"/>
      <c r="AO76" s="3"/>
      <c r="AP76" s="3"/>
      <c r="AQ76" s="3"/>
    </row>
    <row r="77" spans="1:43" x14ac:dyDescent="0.2">
      <c r="A77" s="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T77"/>
      <c r="X77"/>
      <c r="AB77"/>
      <c r="AC77"/>
      <c r="AD77"/>
      <c r="AE77"/>
      <c r="AF77"/>
      <c r="AJ77"/>
    </row>
    <row r="78" spans="1:43" x14ac:dyDescent="0.2">
      <c r="A78" s="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T78"/>
      <c r="X78"/>
      <c r="AB78"/>
      <c r="AC78"/>
      <c r="AD78"/>
      <c r="AE78"/>
      <c r="AF78"/>
      <c r="AJ78"/>
    </row>
    <row r="79" spans="1:43" x14ac:dyDescent="0.2">
      <c r="A79" s="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T79"/>
      <c r="X79"/>
      <c r="AB79"/>
      <c r="AC79"/>
      <c r="AD79"/>
      <c r="AE79"/>
      <c r="AF79"/>
      <c r="AJ79"/>
    </row>
    <row r="80" spans="1:43" x14ac:dyDescent="0.2">
      <c r="A80" s="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T80"/>
      <c r="X80"/>
      <c r="AB80"/>
      <c r="AC80"/>
      <c r="AD80"/>
      <c r="AE80"/>
      <c r="AF80"/>
      <c r="AJ80"/>
    </row>
    <row r="81" spans="1:36" x14ac:dyDescent="0.2">
      <c r="A81" s="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T81"/>
      <c r="X81"/>
      <c r="AB81"/>
      <c r="AC81"/>
      <c r="AD81"/>
      <c r="AE81"/>
      <c r="AF81"/>
      <c r="AJ81"/>
    </row>
    <row r="82" spans="1:36" x14ac:dyDescent="0.2">
      <c r="A82" s="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T82"/>
      <c r="X82"/>
      <c r="AB82"/>
      <c r="AC82"/>
      <c r="AD82"/>
      <c r="AE82"/>
      <c r="AF82"/>
      <c r="AJ82"/>
    </row>
    <row r="83" spans="1:36" x14ac:dyDescent="0.2">
      <c r="A83" s="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T83"/>
      <c r="X83"/>
      <c r="AB83"/>
      <c r="AC83"/>
      <c r="AD83"/>
      <c r="AE83"/>
      <c r="AF83"/>
      <c r="AJ83"/>
    </row>
    <row r="84" spans="1:36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T84"/>
      <c r="X84"/>
      <c r="AB84"/>
      <c r="AC84"/>
      <c r="AD84"/>
      <c r="AE84"/>
      <c r="AF84"/>
      <c r="AJ84"/>
    </row>
    <row r="85" spans="1:36" x14ac:dyDescent="0.2">
      <c r="L85"/>
      <c r="M85"/>
      <c r="N85"/>
      <c r="O85"/>
      <c r="P85"/>
      <c r="T85"/>
      <c r="X85"/>
      <c r="AB85"/>
      <c r="AC85"/>
      <c r="AD85"/>
      <c r="AE85"/>
      <c r="AF85"/>
      <c r="AJ85"/>
    </row>
    <row r="86" spans="1:36" x14ac:dyDescent="0.2">
      <c r="L86"/>
      <c r="M86"/>
      <c r="N86"/>
      <c r="O86"/>
      <c r="P86"/>
      <c r="T86"/>
      <c r="X86"/>
      <c r="AB86"/>
      <c r="AC86"/>
      <c r="AD86"/>
      <c r="AE86"/>
      <c r="AF86"/>
      <c r="AJ86"/>
    </row>
    <row r="87" spans="1:36" x14ac:dyDescent="0.2">
      <c r="L87"/>
      <c r="M87"/>
      <c r="N87"/>
      <c r="O87"/>
      <c r="P87"/>
      <c r="T87"/>
      <c r="X87"/>
      <c r="AB87"/>
      <c r="AC87"/>
      <c r="AD87"/>
      <c r="AE87"/>
      <c r="AF87"/>
      <c r="AJ87"/>
    </row>
    <row r="88" spans="1:36" x14ac:dyDescent="0.2">
      <c r="L88"/>
      <c r="M88"/>
      <c r="N88"/>
      <c r="O88"/>
      <c r="P88"/>
      <c r="T88"/>
      <c r="X88"/>
      <c r="AB88"/>
      <c r="AC88"/>
      <c r="AD88"/>
      <c r="AE88"/>
      <c r="AF88"/>
      <c r="AJ88"/>
    </row>
    <row r="89" spans="1:36" x14ac:dyDescent="0.2">
      <c r="L89"/>
      <c r="P89"/>
      <c r="T89"/>
      <c r="X89"/>
      <c r="AB89"/>
      <c r="AC89"/>
      <c r="AD89"/>
      <c r="AE89"/>
      <c r="AF89"/>
      <c r="AJ89"/>
    </row>
  </sheetData>
  <pageMargins left="0.45" right="0.2" top="0.25" bottom="0.25" header="0.3" footer="0.05"/>
  <pageSetup scale="85" orientation="landscape" r:id="rId1"/>
  <headerFooter>
    <oddFooter>&amp;CPage &amp;P of &amp;N&amp;R&amp;D</oddFooter>
  </headerFooter>
  <colBreaks count="8" manualBreakCount="8">
    <brk id="11" max="1048575" man="1"/>
    <brk id="23" max="1048575" man="1"/>
    <brk id="35" max="1048575" man="1"/>
    <brk id="47" max="1048575" man="1"/>
    <brk id="59" max="1048575" man="1"/>
    <brk id="71" max="1048575" man="1"/>
    <brk id="83" max="1048575" man="1"/>
    <brk id="9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2CF6D-D77D-4C4E-8E0C-5D53B86FF975}">
  <ds:schemaRefs>
    <ds:schemaRef ds:uri="http://www.w3.org/XML/1998/namespace"/>
    <ds:schemaRef ds:uri="fb01b7f1-02f8-40dd-82e7-c2f3d510b46c"/>
    <ds:schemaRef ds:uri="0c8ef2fa-e185-4145-9060-da5e913317f5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A8EEE9-8059-4F65-816D-57488F4D2C4B}"/>
</file>

<file path=customXml/itemProps3.xml><?xml version="1.0" encoding="utf-8"?>
<ds:datastoreItem xmlns:ds="http://schemas.openxmlformats.org/officeDocument/2006/customXml" ds:itemID="{E10DBAA2-EB43-443F-90AC-A19148447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 2016B Final</vt:lpstr>
      <vt:lpstr>'Ref 2016B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2008A DS Final</dc:title>
  <dc:creator>Weems R McFadden</dc:creator>
  <cp:lastModifiedBy>Cindy Lui</cp:lastModifiedBy>
  <cp:lastPrinted>2023-04-13T16:53:40Z</cp:lastPrinted>
  <dcterms:created xsi:type="dcterms:W3CDTF">1998-02-23T20:58:01Z</dcterms:created>
  <dcterms:modified xsi:type="dcterms:W3CDTF">2026-04-20T20:57:45Z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