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9B60EDE2-1EFB-416D-B524-E6A8AC81E63E}" xr6:coauthVersionLast="47" xr6:coauthVersionMax="47" xr10:uidLastSave="{00000000-0000-0000-0000-000000000000}"/>
  <bookViews>
    <workbookView xWindow="29550" yWindow="615" windowWidth="28245" windowHeight="14415" tabRatio="1000" xr2:uid="{44313F10-EB75-410B-AE75-9FC29CE4776E}"/>
  </bookViews>
  <sheets>
    <sheet name="Ref 2019B - Final" sheetId="9" r:id="rId1"/>
  </sheets>
  <definedNames>
    <definedName name="_xlnm.Print_Titles" localSheetId="0">'Ref 2019B - Final'!$A:$A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9" l="1"/>
  <c r="DT34" i="9"/>
  <c r="DU34" i="9" s="1"/>
  <c r="DT35" i="9"/>
  <c r="DS35" i="9"/>
  <c r="DS49" i="9"/>
  <c r="DH25" i="9"/>
  <c r="DU29" i="9"/>
  <c r="DU28" i="9"/>
  <c r="DU27" i="9"/>
  <c r="DU24" i="9"/>
  <c r="DS33" i="9"/>
  <c r="DU33" i="9" s="1"/>
  <c r="DS31" i="9"/>
  <c r="DU31" i="9" s="1"/>
  <c r="DS29" i="9"/>
  <c r="DS27" i="9"/>
  <c r="DS25" i="9"/>
  <c r="DU25" i="9" s="1"/>
  <c r="DS23" i="9"/>
  <c r="DU23" i="9" s="1"/>
  <c r="DT33" i="9"/>
  <c r="DT32" i="9"/>
  <c r="DU32" i="9" s="1"/>
  <c r="DT31" i="9"/>
  <c r="DT30" i="9"/>
  <c r="DU30" i="9" s="1"/>
  <c r="DT29" i="9"/>
  <c r="DT28" i="9"/>
  <c r="DT27" i="9"/>
  <c r="DT26" i="9"/>
  <c r="DU26" i="9" s="1"/>
  <c r="DT25" i="9"/>
  <c r="DT24" i="9"/>
  <c r="DT23" i="9"/>
  <c r="DT22" i="9"/>
  <c r="DU22" i="9" s="1"/>
  <c r="DX35" i="9"/>
  <c r="DY35" i="9" s="1"/>
  <c r="DW35" i="9"/>
  <c r="DX34" i="9"/>
  <c r="DX33" i="9"/>
  <c r="DW33" i="9"/>
  <c r="DY33" i="9" s="1"/>
  <c r="DX32" i="9"/>
  <c r="DY32" i="9"/>
  <c r="DX31" i="9"/>
  <c r="DW31" i="9"/>
  <c r="DY31" i="9"/>
  <c r="DX30" i="9"/>
  <c r="DY30" i="9" s="1"/>
  <c r="DY29" i="9"/>
  <c r="DX29" i="9"/>
  <c r="DW29" i="9"/>
  <c r="DX28" i="9"/>
  <c r="DY28" i="9"/>
  <c r="DX27" i="9"/>
  <c r="DY27" i="9"/>
  <c r="DW27" i="9"/>
  <c r="DX26" i="9"/>
  <c r="DY26" i="9" s="1"/>
  <c r="DX25" i="9"/>
  <c r="DW25" i="9"/>
  <c r="DY25" i="9"/>
  <c r="DX24" i="9"/>
  <c r="DY24" i="9"/>
  <c r="DX23" i="9"/>
  <c r="DW23" i="9"/>
  <c r="DY23" i="9" s="1"/>
  <c r="DY22" i="9"/>
  <c r="DX22" i="9"/>
  <c r="DY9" i="9"/>
  <c r="DY8" i="9"/>
  <c r="CY27" i="9"/>
  <c r="CZ21" i="9"/>
  <c r="CR41" i="9"/>
  <c r="CM47" i="9"/>
  <c r="CJ15" i="9"/>
  <c r="CG34" i="9"/>
  <c r="CF13" i="9"/>
  <c r="CC28" i="9"/>
  <c r="CB18" i="9"/>
  <c r="CC18" i="9" s="1"/>
  <c r="CA43" i="9"/>
  <c r="BW27" i="9"/>
  <c r="BY26" i="9"/>
  <c r="BY22" i="9"/>
  <c r="BW13" i="9"/>
  <c r="BP18" i="9"/>
  <c r="BK45" i="9"/>
  <c r="BK39" i="9"/>
  <c r="BM34" i="9"/>
  <c r="BM28" i="9"/>
  <c r="BM26" i="9"/>
  <c r="BK25" i="9"/>
  <c r="BL13" i="9"/>
  <c r="BH45" i="9"/>
  <c r="BI28" i="9"/>
  <c r="BI24" i="9"/>
  <c r="BI22" i="9"/>
  <c r="BH18" i="9"/>
  <c r="BI18" i="9" s="1"/>
  <c r="BH13" i="9"/>
  <c r="BC37" i="9"/>
  <c r="BE32" i="9"/>
  <c r="BE22" i="9"/>
  <c r="AY45" i="9"/>
  <c r="AZ41" i="9"/>
  <c r="AY39" i="9"/>
  <c r="BA28" i="9"/>
  <c r="AY27" i="9"/>
  <c r="BA24" i="9"/>
  <c r="BA22" i="9"/>
  <c r="AZ17" i="9"/>
  <c r="AU45" i="9"/>
  <c r="AV36" i="9"/>
  <c r="AW36" i="9" s="1"/>
  <c r="AW32" i="9"/>
  <c r="AW22" i="9"/>
  <c r="AV20" i="9"/>
  <c r="AV18" i="9"/>
  <c r="AW18" i="9"/>
  <c r="AV13" i="9"/>
  <c r="AS32" i="9"/>
  <c r="AS26" i="9"/>
  <c r="AS22" i="9"/>
  <c r="AQ13" i="9"/>
  <c r="AN47" i="9"/>
  <c r="AN46" i="9"/>
  <c r="AO46" i="9" s="1"/>
  <c r="AO26" i="9"/>
  <c r="AM23" i="9"/>
  <c r="AN20" i="9"/>
  <c r="AO20" i="9"/>
  <c r="AN15" i="9"/>
  <c r="AI39" i="9"/>
  <c r="AK32" i="9"/>
  <c r="AI27" i="9"/>
  <c r="AI25" i="9"/>
  <c r="AK24" i="9"/>
  <c r="AF44" i="9"/>
  <c r="AG44" i="9" s="1"/>
  <c r="AG34" i="9"/>
  <c r="AG30" i="9"/>
  <c r="AG28" i="9"/>
  <c r="AG22" i="9"/>
  <c r="AE27" i="9"/>
  <c r="AE13" i="9"/>
  <c r="AB37" i="9"/>
  <c r="AC32" i="9"/>
  <c r="AC28" i="9"/>
  <c r="AA27" i="9"/>
  <c r="AC24" i="9"/>
  <c r="AC22" i="9"/>
  <c r="AB17" i="9"/>
  <c r="AB15" i="9"/>
  <c r="W43" i="9"/>
  <c r="Y32" i="9"/>
  <c r="Y24" i="9"/>
  <c r="W11" i="9"/>
  <c r="J49" i="9"/>
  <c r="I49" i="9"/>
  <c r="H49" i="9"/>
  <c r="G49" i="9"/>
  <c r="F49" i="9"/>
  <c r="E49" i="9"/>
  <c r="D49" i="9"/>
  <c r="C49" i="9"/>
  <c r="L47" i="9"/>
  <c r="AZ47" i="9" s="1"/>
  <c r="K47" i="9"/>
  <c r="AM47" i="9" s="1"/>
  <c r="AO47" i="9" s="1"/>
  <c r="L46" i="9"/>
  <c r="AF46" i="9" s="1"/>
  <c r="AG46" i="9" s="1"/>
  <c r="L45" i="9"/>
  <c r="AJ45" i="9" s="1"/>
  <c r="K45" i="9"/>
  <c r="W45" i="9" s="1"/>
  <c r="L44" i="9"/>
  <c r="DD44" i="9"/>
  <c r="DE44" i="9" s="1"/>
  <c r="L43" i="9"/>
  <c r="BD43" i="9" s="1"/>
  <c r="K43" i="9"/>
  <c r="AQ43" i="9" s="1"/>
  <c r="L42" i="9"/>
  <c r="L41" i="9"/>
  <c r="AJ41" i="9" s="1"/>
  <c r="BH41" i="9"/>
  <c r="K41" i="9"/>
  <c r="AA41" i="9" s="1"/>
  <c r="L40" i="9"/>
  <c r="BD40" i="9" s="1"/>
  <c r="BE40" i="9" s="1"/>
  <c r="L39" i="9"/>
  <c r="AR39" i="9" s="1"/>
  <c r="AF39" i="9"/>
  <c r="K39" i="9"/>
  <c r="BW39" i="9" s="1"/>
  <c r="L38" i="9"/>
  <c r="AB38" i="9" s="1"/>
  <c r="AC38" i="9" s="1"/>
  <c r="L37" i="9"/>
  <c r="BH37" i="9" s="1"/>
  <c r="K37" i="9"/>
  <c r="DO37" i="9" s="1"/>
  <c r="L36" i="9"/>
  <c r="BD36" i="9" s="1"/>
  <c r="BE36" i="9" s="1"/>
  <c r="L35" i="9"/>
  <c r="K35" i="9"/>
  <c r="L34" i="9"/>
  <c r="L33" i="9"/>
  <c r="K33" i="9"/>
  <c r="L32" i="9"/>
  <c r="M32" i="9" s="1"/>
  <c r="L31" i="9"/>
  <c r="K31" i="9"/>
  <c r="L30" i="9"/>
  <c r="L29" i="9"/>
  <c r="K29" i="9"/>
  <c r="BO29" i="9" s="1"/>
  <c r="L28" i="9"/>
  <c r="L27" i="9"/>
  <c r="K27" i="9"/>
  <c r="BC27" i="9" s="1"/>
  <c r="L26" i="9"/>
  <c r="L25" i="9"/>
  <c r="K25" i="9"/>
  <c r="AA25" i="9" s="1"/>
  <c r="L24" i="9"/>
  <c r="M24" i="9" s="1"/>
  <c r="L23" i="9"/>
  <c r="K23" i="9"/>
  <c r="AU23" i="9" s="1"/>
  <c r="CU23" i="9"/>
  <c r="L22" i="9"/>
  <c r="L21" i="9"/>
  <c r="X21" i="9" s="1"/>
  <c r="K21" i="9"/>
  <c r="BO21" i="9" s="1"/>
  <c r="L20" i="9"/>
  <c r="AR20" i="9" s="1"/>
  <c r="AS20" i="9" s="1"/>
  <c r="L19" i="9"/>
  <c r="AJ19" i="9" s="1"/>
  <c r="K19" i="9"/>
  <c r="BC19" i="9" s="1"/>
  <c r="AM19" i="9"/>
  <c r="L18" i="9"/>
  <c r="AF18" i="9" s="1"/>
  <c r="AG18" i="9" s="1"/>
  <c r="L17" i="9"/>
  <c r="X17" i="9" s="1"/>
  <c r="K17" i="9"/>
  <c r="AY17" i="9" s="1"/>
  <c r="BA17" i="9" s="1"/>
  <c r="L16" i="9"/>
  <c r="AV16" i="9" s="1"/>
  <c r="AW16" i="9" s="1"/>
  <c r="L15" i="9"/>
  <c r="BH15" i="9" s="1"/>
  <c r="K15" i="9"/>
  <c r="L14" i="9"/>
  <c r="L13" i="9"/>
  <c r="BP13" i="9" s="1"/>
  <c r="K13" i="9"/>
  <c r="AI13" i="9" s="1"/>
  <c r="L12" i="9"/>
  <c r="AN12" i="9" s="1"/>
  <c r="AO12" i="9" s="1"/>
  <c r="L11" i="9"/>
  <c r="AZ11" i="9" s="1"/>
  <c r="K11" i="9"/>
  <c r="CY11" i="9" s="1"/>
  <c r="L10" i="9"/>
  <c r="M10" i="9" s="1"/>
  <c r="L9" i="9"/>
  <c r="K9" i="9"/>
  <c r="M9" i="9" s="1"/>
  <c r="L8" i="9"/>
  <c r="O49" i="9"/>
  <c r="Q47" i="9"/>
  <c r="Q46" i="9"/>
  <c r="Q45" i="9"/>
  <c r="Q44" i="9"/>
  <c r="Q43" i="9"/>
  <c r="Q42" i="9"/>
  <c r="Q41" i="9"/>
  <c r="Q40" i="9"/>
  <c r="Q39" i="9"/>
  <c r="Q38" i="9"/>
  <c r="Q37" i="9"/>
  <c r="Q35" i="9"/>
  <c r="Q34" i="9"/>
  <c r="Q33" i="9"/>
  <c r="Q32" i="9"/>
  <c r="Q31" i="9"/>
  <c r="Q30" i="9"/>
  <c r="Q29" i="9"/>
  <c r="Q27" i="9"/>
  <c r="Q26" i="9"/>
  <c r="Q25" i="9"/>
  <c r="Q24" i="9"/>
  <c r="Q23" i="9"/>
  <c r="Q22" i="9"/>
  <c r="Q21" i="9"/>
  <c r="Q19" i="9"/>
  <c r="Q18" i="9"/>
  <c r="Q17" i="9"/>
  <c r="Q16" i="9"/>
  <c r="Q15" i="9"/>
  <c r="Q14" i="9"/>
  <c r="Q13" i="9"/>
  <c r="Q11" i="9"/>
  <c r="Q10" i="9"/>
  <c r="Q9" i="9"/>
  <c r="P49" i="9"/>
  <c r="Q36" i="9"/>
  <c r="BA32" i="9"/>
  <c r="Q28" i="9"/>
  <c r="AW20" i="9"/>
  <c r="Q20" i="9"/>
  <c r="Q12" i="9"/>
  <c r="DP10" i="9"/>
  <c r="DQ10" i="9" s="1"/>
  <c r="DL10" i="9"/>
  <c r="DM10" i="9"/>
  <c r="DH10" i="9"/>
  <c r="DI10" i="9"/>
  <c r="DD10" i="9"/>
  <c r="DE10" i="9" s="1"/>
  <c r="CZ10" i="9"/>
  <c r="DA10" i="9"/>
  <c r="CW10" i="9"/>
  <c r="CS10" i="9"/>
  <c r="CO10" i="9"/>
  <c r="CJ10" i="9"/>
  <c r="CK10" i="9"/>
  <c r="CF10" i="9"/>
  <c r="CG10" i="9" s="1"/>
  <c r="CB10" i="9"/>
  <c r="CC10" i="9"/>
  <c r="BX10" i="9"/>
  <c r="BY10" i="9"/>
  <c r="BT10" i="9"/>
  <c r="BU10" i="9" s="1"/>
  <c r="BQ10" i="9"/>
  <c r="BL10" i="9"/>
  <c r="BI10" i="9"/>
  <c r="BD10" i="9"/>
  <c r="BE10" i="9"/>
  <c r="AZ10" i="9"/>
  <c r="BA10" i="9"/>
  <c r="AV10" i="9"/>
  <c r="AW10" i="9" s="1"/>
  <c r="AR10" i="9"/>
  <c r="AS10" i="9"/>
  <c r="AN10" i="9"/>
  <c r="AO10" i="9"/>
  <c r="AJ10" i="9"/>
  <c r="AK10" i="9"/>
  <c r="AF10" i="9"/>
  <c r="AG10" i="9"/>
  <c r="AB10" i="9"/>
  <c r="AC10" i="9"/>
  <c r="Y10" i="9"/>
  <c r="DU9" i="9"/>
  <c r="DP9" i="9"/>
  <c r="DQ9" i="9"/>
  <c r="DL9" i="9"/>
  <c r="DH9" i="9"/>
  <c r="DI9" i="9" s="1"/>
  <c r="DD9" i="9"/>
  <c r="DC9" i="9"/>
  <c r="CZ9" i="9"/>
  <c r="DA9" i="9" s="1"/>
  <c r="CY9" i="9"/>
  <c r="CW9" i="9"/>
  <c r="CS9" i="9"/>
  <c r="CO9" i="9"/>
  <c r="CJ9" i="9"/>
  <c r="CK9" i="9" s="1"/>
  <c r="CI9" i="9"/>
  <c r="CF9" i="9"/>
  <c r="CB9" i="9"/>
  <c r="CA9" i="9"/>
  <c r="CC9" i="9"/>
  <c r="BX9" i="9"/>
  <c r="BW9" i="9"/>
  <c r="BY9" i="9" s="1"/>
  <c r="BT9" i="9"/>
  <c r="BQ9" i="9"/>
  <c r="BL9" i="9"/>
  <c r="BK9" i="9"/>
  <c r="BM9" i="9" s="1"/>
  <c r="BI9" i="9"/>
  <c r="BD9" i="9"/>
  <c r="BC9" i="9"/>
  <c r="BE9" i="9"/>
  <c r="AZ9" i="9"/>
  <c r="AY9" i="9"/>
  <c r="BA9" i="9" s="1"/>
  <c r="AV9" i="9"/>
  <c r="AU9" i="9"/>
  <c r="AW9" i="9" s="1"/>
  <c r="AR9" i="9"/>
  <c r="AS9" i="9" s="1"/>
  <c r="AQ9" i="9"/>
  <c r="AO9" i="9"/>
  <c r="AN9" i="9"/>
  <c r="AJ9" i="9"/>
  <c r="AI9" i="9"/>
  <c r="AK9" i="9" s="1"/>
  <c r="AF9" i="9"/>
  <c r="AE9" i="9"/>
  <c r="AB9" i="9"/>
  <c r="Y9" i="9"/>
  <c r="DT8" i="9"/>
  <c r="DU8" i="9" s="1"/>
  <c r="DQ8" i="9"/>
  <c r="DM8" i="9"/>
  <c r="DI8" i="9"/>
  <c r="DE8" i="9"/>
  <c r="DA8" i="9"/>
  <c r="CW8" i="9"/>
  <c r="CS8" i="9"/>
  <c r="CO8" i="9"/>
  <c r="CK8" i="9"/>
  <c r="CG8" i="9"/>
  <c r="CC8" i="9"/>
  <c r="BY8" i="9"/>
  <c r="BU8" i="9"/>
  <c r="BQ8" i="9"/>
  <c r="BM8" i="9"/>
  <c r="BI8" i="9"/>
  <c r="BE8" i="9"/>
  <c r="BA8" i="9"/>
  <c r="AW8" i="9"/>
  <c r="AS8" i="9"/>
  <c r="AO8" i="9"/>
  <c r="AJ8" i="9"/>
  <c r="AK8" i="9"/>
  <c r="AG8" i="9"/>
  <c r="AC8" i="9"/>
  <c r="Y8" i="9"/>
  <c r="M8" i="9"/>
  <c r="AK30" i="9"/>
  <c r="AK28" i="9"/>
  <c r="Q8" i="9"/>
  <c r="Q49" i="9" s="1"/>
  <c r="AG9" i="9"/>
  <c r="DM9" i="9"/>
  <c r="BU9" i="9"/>
  <c r="CG9" i="9"/>
  <c r="CK22" i="9"/>
  <c r="BU22" i="9"/>
  <c r="AK22" i="9"/>
  <c r="AW30" i="9"/>
  <c r="AO30" i="9"/>
  <c r="AS30" i="9"/>
  <c r="BQ18" i="9"/>
  <c r="CW26" i="9"/>
  <c r="BE26" i="9"/>
  <c r="Y30" i="9"/>
  <c r="Y22" i="9"/>
  <c r="Y28" i="9"/>
  <c r="T27" i="9"/>
  <c r="DA27" i="9"/>
  <c r="L49" i="9"/>
  <c r="M27" i="9"/>
  <c r="AK27" i="9"/>
  <c r="BY27" i="9"/>
  <c r="AC27" i="9"/>
  <c r="AG27" i="9"/>
  <c r="BE27" i="9"/>
  <c r="BA27" i="9"/>
  <c r="AC31" i="9"/>
  <c r="CQ15" i="9"/>
  <c r="DK15" i="9"/>
  <c r="DG15" i="9"/>
  <c r="CM15" i="9"/>
  <c r="CO15" i="9"/>
  <c r="CI15" i="9"/>
  <c r="CK15" i="9"/>
  <c r="DO15" i="9"/>
  <c r="CU15" i="9"/>
  <c r="CW15" i="9" s="1"/>
  <c r="CY15" i="9"/>
  <c r="CA15" i="9"/>
  <c r="BW15" i="9"/>
  <c r="BO15" i="9"/>
  <c r="CE15" i="9"/>
  <c r="BG15" i="9"/>
  <c r="BI15" i="9"/>
  <c r="AU15" i="9"/>
  <c r="M15" i="9"/>
  <c r="BK15" i="9"/>
  <c r="BC15" i="9"/>
  <c r="AY15" i="9"/>
  <c r="AE15" i="9"/>
  <c r="AM15" i="9"/>
  <c r="AO15" i="9"/>
  <c r="BS15" i="9"/>
  <c r="BU15" i="9" s="1"/>
  <c r="AI15" i="9"/>
  <c r="AQ15" i="9"/>
  <c r="AA15" i="9"/>
  <c r="AC15" i="9" s="1"/>
  <c r="DC15" i="9"/>
  <c r="W15" i="9"/>
  <c r="AW33" i="9"/>
  <c r="CO35" i="9"/>
  <c r="DQ35" i="9"/>
  <c r="CG35" i="9"/>
  <c r="BM35" i="9"/>
  <c r="M35" i="9"/>
  <c r="DA35" i="9"/>
  <c r="AS35" i="9"/>
  <c r="AC35" i="9"/>
  <c r="DP37" i="9"/>
  <c r="DQ37" i="9"/>
  <c r="DL37" i="9"/>
  <c r="CV37" i="9"/>
  <c r="BX37" i="9"/>
  <c r="DH37" i="9"/>
  <c r="CB37" i="9"/>
  <c r="CZ37" i="9"/>
  <c r="CR37" i="9"/>
  <c r="CJ37" i="9"/>
  <c r="CK37" i="9" s="1"/>
  <c r="CF37" i="9"/>
  <c r="BP37" i="9"/>
  <c r="DD37" i="9"/>
  <c r="BL37" i="9"/>
  <c r="AF37" i="9"/>
  <c r="BT37" i="9"/>
  <c r="AZ37" i="9"/>
  <c r="X37" i="9"/>
  <c r="CN37" i="9"/>
  <c r="BD37" i="9"/>
  <c r="BE37" i="9" s="1"/>
  <c r="AV37" i="9"/>
  <c r="AR37" i="9"/>
  <c r="AN37" i="9"/>
  <c r="AJ37" i="9"/>
  <c r="DP42" i="9"/>
  <c r="DQ42" i="9"/>
  <c r="DL42" i="9"/>
  <c r="DM42" i="9" s="1"/>
  <c r="CN42" i="9"/>
  <c r="CO42" i="9"/>
  <c r="CB42" i="9"/>
  <c r="CC42" i="9"/>
  <c r="DH42" i="9"/>
  <c r="DI42" i="9" s="1"/>
  <c r="DD42" i="9"/>
  <c r="DE42" i="9"/>
  <c r="CZ42" i="9"/>
  <c r="DA42" i="9"/>
  <c r="CJ42" i="9"/>
  <c r="CK42" i="9" s="1"/>
  <c r="CF42" i="9"/>
  <c r="CG42" i="9"/>
  <c r="CR42" i="9"/>
  <c r="CS42" i="9"/>
  <c r="BT42" i="9"/>
  <c r="BU42" i="9" s="1"/>
  <c r="BP42" i="9"/>
  <c r="BQ42" i="9"/>
  <c r="CV42" i="9"/>
  <c r="CW42" i="9" s="1"/>
  <c r="BL42" i="9"/>
  <c r="BM42" i="9" s="1"/>
  <c r="AR42" i="9"/>
  <c r="AS42" i="9"/>
  <c r="BX42" i="9"/>
  <c r="BY42" i="9"/>
  <c r="BH42" i="9"/>
  <c r="BI42" i="9" s="1"/>
  <c r="AF42" i="9"/>
  <c r="AG42" i="9"/>
  <c r="M42" i="9"/>
  <c r="BD42" i="9"/>
  <c r="T42" i="9" s="1"/>
  <c r="U42" i="9" s="1"/>
  <c r="AB42" i="9"/>
  <c r="AC42" i="9"/>
  <c r="AZ42" i="9"/>
  <c r="BA42" i="9" s="1"/>
  <c r="AV42" i="9"/>
  <c r="AW42" i="9"/>
  <c r="AN42" i="9"/>
  <c r="AO42" i="9" s="1"/>
  <c r="X42" i="9"/>
  <c r="AJ42" i="9"/>
  <c r="AK42" i="9"/>
  <c r="AG31" i="9"/>
  <c r="DQ31" i="9"/>
  <c r="CG31" i="9"/>
  <c r="BQ31" i="9"/>
  <c r="DM31" i="9"/>
  <c r="DA31" i="9"/>
  <c r="CW31" i="9"/>
  <c r="M31" i="9"/>
  <c r="BI31" i="9"/>
  <c r="DE33" i="9"/>
  <c r="CK33" i="9"/>
  <c r="BU33" i="9"/>
  <c r="CC33" i="9"/>
  <c r="BE33" i="9"/>
  <c r="M33" i="9"/>
  <c r="AK33" i="9"/>
  <c r="CV45" i="9"/>
  <c r="DL45" i="9"/>
  <c r="CF45" i="9"/>
  <c r="BX45" i="9"/>
  <c r="BY45" i="9" s="1"/>
  <c r="BT45" i="9"/>
  <c r="DP45" i="9"/>
  <c r="DH45" i="9"/>
  <c r="DD45" i="9"/>
  <c r="CJ45" i="9"/>
  <c r="CZ45" i="9"/>
  <c r="CR45" i="9"/>
  <c r="CN45" i="9"/>
  <c r="BL45" i="9"/>
  <c r="BM45" i="9" s="1"/>
  <c r="CB45" i="9"/>
  <c r="CC45" i="9" s="1"/>
  <c r="BD45" i="9"/>
  <c r="AN45" i="9"/>
  <c r="AF45" i="9"/>
  <c r="AR45" i="9"/>
  <c r="M45" i="9"/>
  <c r="X45" i="9"/>
  <c r="AK35" i="9"/>
  <c r="AV45" i="9"/>
  <c r="AW45" i="9"/>
  <c r="AZ14" i="9"/>
  <c r="AZ45" i="9"/>
  <c r="BA45" i="9" s="1"/>
  <c r="BD14" i="9"/>
  <c r="BE14" i="9"/>
  <c r="BD39" i="9"/>
  <c r="BG19" i="9"/>
  <c r="BK17" i="9"/>
  <c r="BT14" i="9"/>
  <c r="BU14" i="9"/>
  <c r="CQ19" i="9"/>
  <c r="DH16" i="9"/>
  <c r="DI16" i="9"/>
  <c r="DD16" i="9"/>
  <c r="DE16" i="9" s="1"/>
  <c r="CZ16" i="9"/>
  <c r="DA16" i="9"/>
  <c r="CV16" i="9"/>
  <c r="CW16" i="9" s="1"/>
  <c r="CN16" i="9"/>
  <c r="CO16" i="9"/>
  <c r="DP16" i="9"/>
  <c r="DQ16" i="9"/>
  <c r="BT16" i="9"/>
  <c r="BU16" i="9"/>
  <c r="CF16" i="9"/>
  <c r="CG16" i="9" s="1"/>
  <c r="CJ16" i="9"/>
  <c r="CK16" i="9" s="1"/>
  <c r="CR16" i="9"/>
  <c r="CS16" i="9" s="1"/>
  <c r="CB16" i="9"/>
  <c r="CC16" i="9" s="1"/>
  <c r="BL16" i="9"/>
  <c r="BM16" i="9"/>
  <c r="BX16" i="9"/>
  <c r="BY16" i="9"/>
  <c r="AJ16" i="9"/>
  <c r="AK16" i="9" s="1"/>
  <c r="AZ16" i="9"/>
  <c r="BA16" i="9"/>
  <c r="AF16" i="9"/>
  <c r="AG16" i="9" s="1"/>
  <c r="M16" i="9"/>
  <c r="BP16" i="9"/>
  <c r="BQ16" i="9"/>
  <c r="BH16" i="9"/>
  <c r="BI16" i="9"/>
  <c r="AN16" i="9"/>
  <c r="AB16" i="9"/>
  <c r="AC16" i="9"/>
  <c r="X16" i="9"/>
  <c r="M21" i="9"/>
  <c r="DK23" i="9"/>
  <c r="CY23" i="9"/>
  <c r="CI23" i="9"/>
  <c r="CK23" i="9"/>
  <c r="DO23" i="9"/>
  <c r="DQ23" i="9"/>
  <c r="DC23" i="9"/>
  <c r="DE23" i="9" s="1"/>
  <c r="BO23" i="9"/>
  <c r="DG23" i="9"/>
  <c r="DI23" i="9"/>
  <c r="CE23" i="9"/>
  <c r="CG23" i="9"/>
  <c r="BS23" i="9"/>
  <c r="CM23" i="9"/>
  <c r="CO23" i="9"/>
  <c r="CA23" i="9"/>
  <c r="CC23" i="9" s="1"/>
  <c r="BW23" i="9"/>
  <c r="BC23" i="9"/>
  <c r="M23" i="9"/>
  <c r="BG23" i="9"/>
  <c r="BI23" i="9"/>
  <c r="AY23" i="9"/>
  <c r="BA23" i="9" s="1"/>
  <c r="AA23" i="9"/>
  <c r="CQ23" i="9"/>
  <c r="BK23" i="9"/>
  <c r="AI23" i="9"/>
  <c r="W23" i="9"/>
  <c r="S23" i="9" s="1"/>
  <c r="U23" i="9" s="1"/>
  <c r="DG25" i="9"/>
  <c r="DC25" i="9"/>
  <c r="CQ25" i="9"/>
  <c r="CS25" i="9"/>
  <c r="CI25" i="9"/>
  <c r="CE25" i="9"/>
  <c r="BS25" i="9"/>
  <c r="DK25" i="9"/>
  <c r="CY25" i="9"/>
  <c r="CU25" i="9"/>
  <c r="BO25" i="9"/>
  <c r="CM25" i="9"/>
  <c r="CO25" i="9"/>
  <c r="DO25" i="9"/>
  <c r="BW25" i="9"/>
  <c r="BC25" i="9"/>
  <c r="BE25" i="9" s="1"/>
  <c r="AM25" i="9"/>
  <c r="AO25" i="9" s="1"/>
  <c r="M25" i="9"/>
  <c r="BG25" i="9"/>
  <c r="AY25" i="9"/>
  <c r="BA25" i="9"/>
  <c r="AE25" i="9"/>
  <c r="AG25" i="9"/>
  <c r="CU29" i="9"/>
  <c r="DG29" i="9"/>
  <c r="DC29" i="9"/>
  <c r="CY29" i="9"/>
  <c r="DA29" i="9" s="1"/>
  <c r="DK29" i="9"/>
  <c r="DO29" i="9"/>
  <c r="CE29" i="9"/>
  <c r="CG29" i="9"/>
  <c r="CQ29" i="9"/>
  <c r="CS29" i="9" s="1"/>
  <c r="CM29" i="9"/>
  <c r="CI29" i="9"/>
  <c r="CA29" i="9"/>
  <c r="CC29" i="9"/>
  <c r="BW29" i="9"/>
  <c r="BY29" i="9" s="1"/>
  <c r="AY29" i="9"/>
  <c r="AQ29" i="9"/>
  <c r="AS29" i="9"/>
  <c r="AI29" i="9"/>
  <c r="AK29" i="9"/>
  <c r="AE29" i="9"/>
  <c r="AG29" i="9" s="1"/>
  <c r="AA29" i="9"/>
  <c r="W29" i="9"/>
  <c r="BS29" i="9"/>
  <c r="BU29" i="9"/>
  <c r="BK29" i="9"/>
  <c r="BM29" i="9"/>
  <c r="AM29" i="9"/>
  <c r="AO29" i="9"/>
  <c r="DD43" i="9"/>
  <c r="CZ43" i="9"/>
  <c r="CR43" i="9"/>
  <c r="CJ43" i="9"/>
  <c r="CF43" i="9"/>
  <c r="CB43" i="9"/>
  <c r="CC43" i="9"/>
  <c r="DH43" i="9"/>
  <c r="CV43" i="9"/>
  <c r="BT43" i="9"/>
  <c r="BU43" i="9" s="1"/>
  <c r="BX43" i="9"/>
  <c r="DP43" i="9"/>
  <c r="BL43" i="9"/>
  <c r="BP43" i="9"/>
  <c r="AV43" i="9"/>
  <c r="AJ43" i="9"/>
  <c r="X43" i="9"/>
  <c r="CN43" i="9"/>
  <c r="BH43" i="9"/>
  <c r="BI43" i="9" s="1"/>
  <c r="AZ43" i="9"/>
  <c r="AF43" i="9"/>
  <c r="AB43" i="9"/>
  <c r="DL43" i="9"/>
  <c r="DL46" i="9"/>
  <c r="DM46" i="9"/>
  <c r="DD46" i="9"/>
  <c r="DE46" i="9"/>
  <c r="DP46" i="9"/>
  <c r="DQ46" i="9"/>
  <c r="DH46" i="9"/>
  <c r="DI46" i="9" s="1"/>
  <c r="CB46" i="9"/>
  <c r="CC46" i="9"/>
  <c r="CZ46" i="9"/>
  <c r="DA46" i="9" s="1"/>
  <c r="CR46" i="9"/>
  <c r="CS46" i="9"/>
  <c r="CN46" i="9"/>
  <c r="CO46" i="9"/>
  <c r="BP46" i="9"/>
  <c r="BQ46" i="9"/>
  <c r="BX46" i="9"/>
  <c r="BY46" i="9"/>
  <c r="CF46" i="9"/>
  <c r="CG46" i="9"/>
  <c r="CV46" i="9"/>
  <c r="CW46" i="9" s="1"/>
  <c r="CJ46" i="9"/>
  <c r="CK46" i="9"/>
  <c r="BL46" i="9"/>
  <c r="BM46" i="9"/>
  <c r="BT46" i="9"/>
  <c r="BU46" i="9"/>
  <c r="BH46" i="9"/>
  <c r="BI46" i="9"/>
  <c r="AZ46" i="9"/>
  <c r="BA46" i="9"/>
  <c r="AJ46" i="9"/>
  <c r="AK46" i="9" s="1"/>
  <c r="X46" i="9"/>
  <c r="M46" i="9"/>
  <c r="AV46" i="9"/>
  <c r="AW46" i="9"/>
  <c r="AB46" i="9"/>
  <c r="AC46" i="9"/>
  <c r="W19" i="9"/>
  <c r="W25" i="9"/>
  <c r="AB45" i="9"/>
  <c r="AE23" i="9"/>
  <c r="AG23" i="9" s="1"/>
  <c r="AM37" i="9"/>
  <c r="AR16" i="9"/>
  <c r="AS16" i="9" s="1"/>
  <c r="AS33" i="9"/>
  <c r="AU25" i="9"/>
  <c r="BD46" i="9"/>
  <c r="BH14" i="9"/>
  <c r="BG21" i="9"/>
  <c r="T9" i="9"/>
  <c r="AC9" i="9"/>
  <c r="DE9" i="9"/>
  <c r="BM10" i="9"/>
  <c r="T10" i="9"/>
  <c r="U10" i="9" s="1"/>
  <c r="DL12" i="9"/>
  <c r="DM12" i="9"/>
  <c r="CF12" i="9"/>
  <c r="CF49" i="9" s="1"/>
  <c r="CG12" i="9"/>
  <c r="DH12" i="9"/>
  <c r="DI12" i="9" s="1"/>
  <c r="CZ12" i="9"/>
  <c r="DA12" i="9" s="1"/>
  <c r="CV12" i="9"/>
  <c r="CW12" i="9" s="1"/>
  <c r="CR12" i="9"/>
  <c r="CS12" i="9" s="1"/>
  <c r="DD12" i="9"/>
  <c r="DE12" i="9" s="1"/>
  <c r="CN12" i="9"/>
  <c r="CO12" i="9"/>
  <c r="CJ12" i="9"/>
  <c r="BX12" i="9"/>
  <c r="BY12" i="9" s="1"/>
  <c r="BP12" i="9"/>
  <c r="BQ12" i="9"/>
  <c r="BL12" i="9"/>
  <c r="BT12" i="9"/>
  <c r="BU12" i="9"/>
  <c r="AV12" i="9"/>
  <c r="AW12" i="9" s="1"/>
  <c r="M12" i="9"/>
  <c r="DP12" i="9"/>
  <c r="DQ12" i="9" s="1"/>
  <c r="CB12" i="9"/>
  <c r="CC12" i="9"/>
  <c r="BD12" i="9"/>
  <c r="BE12" i="9" s="1"/>
  <c r="AZ12" i="9"/>
  <c r="X12" i="9"/>
  <c r="DL14" i="9"/>
  <c r="DM14" i="9"/>
  <c r="DP14" i="9"/>
  <c r="DQ14" i="9" s="1"/>
  <c r="DD14" i="9"/>
  <c r="DE14" i="9" s="1"/>
  <c r="CF14" i="9"/>
  <c r="CG14" i="9"/>
  <c r="BX14" i="9"/>
  <c r="BY14" i="9" s="1"/>
  <c r="CR14" i="9"/>
  <c r="CS14" i="9" s="1"/>
  <c r="CN14" i="9"/>
  <c r="CO14" i="9"/>
  <c r="CJ14" i="9"/>
  <c r="CK14" i="9"/>
  <c r="CV14" i="9"/>
  <c r="CB14" i="9"/>
  <c r="CC14" i="9" s="1"/>
  <c r="CZ14" i="9"/>
  <c r="DA14" i="9" s="1"/>
  <c r="BL14" i="9"/>
  <c r="BP14" i="9"/>
  <c r="BQ14" i="9"/>
  <c r="AN14" i="9"/>
  <c r="AO14" i="9" s="1"/>
  <c r="AB14" i="9"/>
  <c r="AC14" i="9"/>
  <c r="M14" i="9"/>
  <c r="AR14" i="9"/>
  <c r="AS14" i="9" s="1"/>
  <c r="AJ14" i="9"/>
  <c r="AK14" i="9" s="1"/>
  <c r="AV14" i="9"/>
  <c r="AW14" i="9"/>
  <c r="DK17" i="9"/>
  <c r="DO17" i="9"/>
  <c r="CE17" i="9"/>
  <c r="CG17" i="9" s="1"/>
  <c r="CA17" i="9"/>
  <c r="CY17" i="9"/>
  <c r="DG17" i="9"/>
  <c r="DC17" i="9"/>
  <c r="DE17" i="9"/>
  <c r="CI17" i="9"/>
  <c r="CK17" i="9" s="1"/>
  <c r="CQ17" i="9"/>
  <c r="BS17" i="9"/>
  <c r="CU17" i="9"/>
  <c r="CM17" i="9"/>
  <c r="BW17" i="9"/>
  <c r="AU17" i="9"/>
  <c r="AM17" i="9"/>
  <c r="AA17" i="9"/>
  <c r="AC17" i="9"/>
  <c r="M17" i="9"/>
  <c r="BO17" i="9"/>
  <c r="BQ17" i="9" s="1"/>
  <c r="BG17" i="9"/>
  <c r="AE17" i="9"/>
  <c r="W17" i="9"/>
  <c r="BC17" i="9"/>
  <c r="AQ17" i="9"/>
  <c r="AI17" i="9"/>
  <c r="DC19" i="9"/>
  <c r="DK19" i="9"/>
  <c r="DG19" i="9"/>
  <c r="DI19" i="9"/>
  <c r="CY19" i="9"/>
  <c r="CU19" i="9"/>
  <c r="CM19" i="9"/>
  <c r="CA19" i="9"/>
  <c r="BO19" i="9"/>
  <c r="BK19" i="9"/>
  <c r="DO19" i="9"/>
  <c r="CI19" i="9"/>
  <c r="CK19" i="9" s="1"/>
  <c r="CE19" i="9"/>
  <c r="CG19" i="9" s="1"/>
  <c r="AU19" i="9"/>
  <c r="AI19" i="9"/>
  <c r="AK19" i="9" s="1"/>
  <c r="AA19" i="9"/>
  <c r="AC19" i="9" s="1"/>
  <c r="M19" i="9"/>
  <c r="BS19" i="9"/>
  <c r="BW19" i="9"/>
  <c r="AY19" i="9"/>
  <c r="DO21" i="9"/>
  <c r="DG21" i="9"/>
  <c r="DC21" i="9"/>
  <c r="DE21" i="9" s="1"/>
  <c r="CU21" i="9"/>
  <c r="BW21" i="9"/>
  <c r="DK21" i="9"/>
  <c r="CY21" i="9"/>
  <c r="DA21" i="9"/>
  <c r="CI21" i="9"/>
  <c r="CE21" i="9"/>
  <c r="CG21" i="9" s="1"/>
  <c r="BS21" i="9"/>
  <c r="CQ21" i="9"/>
  <c r="CM21" i="9"/>
  <c r="CO21" i="9" s="1"/>
  <c r="AY21" i="9"/>
  <c r="AQ21" i="9"/>
  <c r="AI21" i="9"/>
  <c r="AE21" i="9"/>
  <c r="AG21" i="9" s="1"/>
  <c r="AA21" i="9"/>
  <c r="W21" i="9"/>
  <c r="AU21" i="9"/>
  <c r="AM21" i="9"/>
  <c r="BC21" i="9"/>
  <c r="CW23" i="9"/>
  <c r="AW23" i="9"/>
  <c r="AO23" i="9"/>
  <c r="BM25" i="9"/>
  <c r="AK25" i="9"/>
  <c r="AC25" i="9"/>
  <c r="CY37" i="9"/>
  <c r="DA37" i="9"/>
  <c r="CM37" i="9"/>
  <c r="CO37" i="9" s="1"/>
  <c r="CA37" i="9"/>
  <c r="BS37" i="9"/>
  <c r="CU37" i="9"/>
  <c r="BW37" i="9"/>
  <c r="BY37" i="9"/>
  <c r="DG37" i="9"/>
  <c r="DK37" i="9"/>
  <c r="CE37" i="9"/>
  <c r="CI37" i="9"/>
  <c r="BO37" i="9"/>
  <c r="BQ37" i="9"/>
  <c r="BG37" i="9"/>
  <c r="BI37" i="9" s="1"/>
  <c r="AY37" i="9"/>
  <c r="BA37" i="9"/>
  <c r="AU37" i="9"/>
  <c r="AW37" i="9"/>
  <c r="AE37" i="9"/>
  <c r="AG37" i="9" s="1"/>
  <c r="DC37" i="9"/>
  <c r="DE37" i="9"/>
  <c r="AI37" i="9"/>
  <c r="AK37" i="9" s="1"/>
  <c r="AA37" i="9"/>
  <c r="AC37" i="9"/>
  <c r="M37" i="9"/>
  <c r="BK37" i="9"/>
  <c r="W37" i="9"/>
  <c r="CZ39" i="9"/>
  <c r="DP39" i="9"/>
  <c r="DL39" i="9"/>
  <c r="DH39" i="9"/>
  <c r="DD39" i="9"/>
  <c r="CN39" i="9"/>
  <c r="CR39" i="9"/>
  <c r="CS39" i="9" s="1"/>
  <c r="CJ39" i="9"/>
  <c r="CF39" i="9"/>
  <c r="BT39" i="9"/>
  <c r="CV39" i="9"/>
  <c r="BX39" i="9"/>
  <c r="BY39" i="9" s="1"/>
  <c r="BH39" i="9"/>
  <c r="BL39" i="9"/>
  <c r="BM39" i="9" s="1"/>
  <c r="AZ39" i="9"/>
  <c r="BA39" i="9"/>
  <c r="AV39" i="9"/>
  <c r="CB39" i="9"/>
  <c r="BP39" i="9"/>
  <c r="AJ39" i="9"/>
  <c r="AK39" i="9"/>
  <c r="AB39" i="9"/>
  <c r="DH41" i="9"/>
  <c r="CZ41" i="9"/>
  <c r="CV41" i="9"/>
  <c r="CJ41" i="9"/>
  <c r="CF41" i="9"/>
  <c r="DP41" i="9"/>
  <c r="DL41" i="9"/>
  <c r="DD41" i="9"/>
  <c r="BP41" i="9"/>
  <c r="BQ41" i="9" s="1"/>
  <c r="CN41" i="9"/>
  <c r="CO41" i="9" s="1"/>
  <c r="BX41" i="9"/>
  <c r="CB41" i="9"/>
  <c r="AV41" i="9"/>
  <c r="AR41" i="9"/>
  <c r="AF41" i="9"/>
  <c r="AB41" i="9"/>
  <c r="AC41" i="9" s="1"/>
  <c r="X41" i="9"/>
  <c r="AN41" i="9"/>
  <c r="BL41" i="9"/>
  <c r="BD41" i="9"/>
  <c r="DL44" i="9"/>
  <c r="DM44" i="9" s="1"/>
  <c r="DH44" i="9"/>
  <c r="DI44" i="9"/>
  <c r="CV44" i="9"/>
  <c r="CW44" i="9" s="1"/>
  <c r="BX44" i="9"/>
  <c r="BY44" i="9"/>
  <c r="BP44" i="9"/>
  <c r="BQ44" i="9"/>
  <c r="CF44" i="9"/>
  <c r="CJ44" i="9"/>
  <c r="CK44" i="9"/>
  <c r="CB44" i="9"/>
  <c r="CC44" i="9"/>
  <c r="CR44" i="9"/>
  <c r="CS44" i="9" s="1"/>
  <c r="CN44" i="9"/>
  <c r="CO44" i="9" s="1"/>
  <c r="BH44" i="9"/>
  <c r="BI44" i="9"/>
  <c r="BL44" i="9"/>
  <c r="BM44" i="9"/>
  <c r="AZ44" i="9"/>
  <c r="BA44" i="9"/>
  <c r="AR44" i="9"/>
  <c r="AS44" i="9" s="1"/>
  <c r="AB44" i="9"/>
  <c r="AC44" i="9" s="1"/>
  <c r="M44" i="9"/>
  <c r="AV44" i="9"/>
  <c r="AW44" i="9" s="1"/>
  <c r="AJ44" i="9"/>
  <c r="AK44" i="9"/>
  <c r="X44" i="9"/>
  <c r="DP44" i="9"/>
  <c r="DQ44" i="9" s="1"/>
  <c r="BT44" i="9"/>
  <c r="BU44" i="9"/>
  <c r="BD44" i="9"/>
  <c r="BE44" i="9" s="1"/>
  <c r="AN44" i="9"/>
  <c r="AO44" i="9"/>
  <c r="X14" i="9"/>
  <c r="AB12" i="9"/>
  <c r="AC12" i="9"/>
  <c r="AJ12" i="9"/>
  <c r="AK12" i="9"/>
  <c r="AO33" i="9"/>
  <c r="AN39" i="9"/>
  <c r="AN43" i="9"/>
  <c r="AR12" i="9"/>
  <c r="AS12" i="9" s="1"/>
  <c r="AQ19" i="9"/>
  <c r="AQ23" i="9"/>
  <c r="AR46" i="9"/>
  <c r="AS46" i="9" s="1"/>
  <c r="BA31" i="9"/>
  <c r="BD16" i="9"/>
  <c r="BE16" i="9"/>
  <c r="BC29" i="9"/>
  <c r="BE29" i="9" s="1"/>
  <c r="BK21" i="9"/>
  <c r="BM31" i="9"/>
  <c r="CO31" i="9"/>
  <c r="CQ37" i="9"/>
  <c r="CS37" i="9" s="1"/>
  <c r="CZ44" i="9"/>
  <c r="DA44" i="9"/>
  <c r="DL16" i="9"/>
  <c r="DM16" i="9"/>
  <c r="DC11" i="9"/>
  <c r="DO11" i="9"/>
  <c r="CU11" i="9"/>
  <c r="CM11" i="9"/>
  <c r="CI11" i="9"/>
  <c r="CA11" i="9"/>
  <c r="BW11" i="9"/>
  <c r="DG11" i="9"/>
  <c r="CE11" i="9"/>
  <c r="DK11" i="9"/>
  <c r="DM11" i="9" s="1"/>
  <c r="CQ11" i="9"/>
  <c r="BO11" i="9"/>
  <c r="AY11" i="9"/>
  <c r="AQ11" i="9"/>
  <c r="M11" i="9"/>
  <c r="CY13" i="9"/>
  <c r="DG13" i="9"/>
  <c r="CQ13" i="9"/>
  <c r="CS13" i="9"/>
  <c r="DC13" i="9"/>
  <c r="DE13" i="9" s="1"/>
  <c r="DK13" i="9"/>
  <c r="DO13" i="9"/>
  <c r="CM13" i="9"/>
  <c r="CM49" i="9" s="1"/>
  <c r="CO13" i="9"/>
  <c r="CI13" i="9"/>
  <c r="CE13" i="9"/>
  <c r="CG13" i="9"/>
  <c r="BO13" i="9"/>
  <c r="BQ13" i="9"/>
  <c r="BS13" i="9"/>
  <c r="CU13" i="9"/>
  <c r="CW13" i="9"/>
  <c r="BK13" i="9"/>
  <c r="BM13" i="9"/>
  <c r="BG13" i="9"/>
  <c r="W13" i="9"/>
  <c r="CZ15" i="9"/>
  <c r="DL15" i="9"/>
  <c r="DH15" i="9"/>
  <c r="BX15" i="9"/>
  <c r="DP15" i="9"/>
  <c r="CV15" i="9"/>
  <c r="CR15" i="9"/>
  <c r="CB15" i="9"/>
  <c r="DD15" i="9"/>
  <c r="BP15" i="9"/>
  <c r="CN15" i="9"/>
  <c r="BL15" i="9"/>
  <c r="BD15" i="9"/>
  <c r="AZ15" i="9"/>
  <c r="AR15" i="9"/>
  <c r="X15" i="9"/>
  <c r="CZ17" i="9"/>
  <c r="DD17" i="9"/>
  <c r="CR17" i="9"/>
  <c r="CS17" i="9" s="1"/>
  <c r="CB17" i="9"/>
  <c r="CC17" i="9" s="1"/>
  <c r="DH17" i="9"/>
  <c r="CJ17" i="9"/>
  <c r="CF17" i="9"/>
  <c r="BX17" i="9"/>
  <c r="CN17" i="9"/>
  <c r="BP17" i="9"/>
  <c r="DP17" i="9"/>
  <c r="DL17" i="9"/>
  <c r="BT17" i="9"/>
  <c r="BH17" i="9"/>
  <c r="BD17" i="9"/>
  <c r="BE17" i="9" s="1"/>
  <c r="AF17" i="9"/>
  <c r="DL19" i="9"/>
  <c r="CZ19" i="9"/>
  <c r="CR19" i="9"/>
  <c r="CF19" i="9"/>
  <c r="DP19" i="9"/>
  <c r="CV19" i="9"/>
  <c r="CJ19" i="9"/>
  <c r="BX19" i="9"/>
  <c r="BT19" i="9"/>
  <c r="DH19" i="9"/>
  <c r="CB19" i="9"/>
  <c r="BP19" i="9"/>
  <c r="BQ19" i="9" s="1"/>
  <c r="AN19" i="9"/>
  <c r="AO19" i="9" s="1"/>
  <c r="DD21" i="9"/>
  <c r="CN21" i="9"/>
  <c r="CB21" i="9"/>
  <c r="DL21" i="9"/>
  <c r="DH21" i="9"/>
  <c r="CR21" i="9"/>
  <c r="BX21" i="9"/>
  <c r="BY21" i="9" s="1"/>
  <c r="DP21" i="9"/>
  <c r="CV21" i="9"/>
  <c r="CJ21" i="9"/>
  <c r="CF21" i="9"/>
  <c r="BT21" i="9"/>
  <c r="BL21" i="9"/>
  <c r="AV21" i="9"/>
  <c r="DA26" i="9"/>
  <c r="DQ26" i="9"/>
  <c r="CK26" i="9"/>
  <c r="CC26" i="9"/>
  <c r="BU26" i="9"/>
  <c r="DM26" i="9"/>
  <c r="DE26" i="9"/>
  <c r="BQ26" i="9"/>
  <c r="CG26" i="9"/>
  <c r="CS26" i="9"/>
  <c r="CO26" i="9"/>
  <c r="DI26" i="9"/>
  <c r="BI26" i="9"/>
  <c r="AW26" i="9"/>
  <c r="AC26" i="9"/>
  <c r="DA34" i="9"/>
  <c r="CK34" i="9"/>
  <c r="CC34" i="9"/>
  <c r="BU34" i="9"/>
  <c r="DM34" i="9"/>
  <c r="DE34" i="9"/>
  <c r="DQ34" i="9"/>
  <c r="DI34" i="9"/>
  <c r="CO34" i="9"/>
  <c r="BQ34" i="9"/>
  <c r="CW34" i="9"/>
  <c r="CS34" i="9"/>
  <c r="BY34" i="9"/>
  <c r="BA34" i="9"/>
  <c r="AW34" i="9"/>
  <c r="AC34" i="9"/>
  <c r="DH36" i="9"/>
  <c r="DI36" i="9"/>
  <c r="DP36" i="9"/>
  <c r="DQ36" i="9"/>
  <c r="DL36" i="9"/>
  <c r="DM36" i="9" s="1"/>
  <c r="DD36" i="9"/>
  <c r="DE36" i="9"/>
  <c r="CJ36" i="9"/>
  <c r="CK36" i="9"/>
  <c r="CF36" i="9"/>
  <c r="CG36" i="9" s="1"/>
  <c r="CR36" i="9"/>
  <c r="CS36" i="9"/>
  <c r="BT36" i="9"/>
  <c r="BU36" i="9"/>
  <c r="BP36" i="9"/>
  <c r="BQ36" i="9" s="1"/>
  <c r="CV36" i="9"/>
  <c r="CW36" i="9"/>
  <c r="CB36" i="9"/>
  <c r="CC36" i="9" s="1"/>
  <c r="BX36" i="9"/>
  <c r="BY36" i="9" s="1"/>
  <c r="CZ36" i="9"/>
  <c r="DA36" i="9"/>
  <c r="CN36" i="9"/>
  <c r="CO36" i="9"/>
  <c r="BL36" i="9"/>
  <c r="BH36" i="9"/>
  <c r="BI36" i="9"/>
  <c r="AR36" i="9"/>
  <c r="AS36" i="9"/>
  <c r="AB36" i="9"/>
  <c r="AC36" i="9" s="1"/>
  <c r="X36" i="9"/>
  <c r="M36" i="9"/>
  <c r="DD38" i="9"/>
  <c r="DE38" i="9"/>
  <c r="CV38" i="9"/>
  <c r="CW38" i="9" s="1"/>
  <c r="CR38" i="9"/>
  <c r="CS38" i="9"/>
  <c r="CB38" i="9"/>
  <c r="CC38" i="9"/>
  <c r="DH38" i="9"/>
  <c r="DI38" i="9" s="1"/>
  <c r="CZ38" i="9"/>
  <c r="DA38" i="9"/>
  <c r="CN38" i="9"/>
  <c r="CO38" i="9" s="1"/>
  <c r="CJ38" i="9"/>
  <c r="CK38" i="9"/>
  <c r="CF38" i="9"/>
  <c r="CG38" i="9" s="1"/>
  <c r="DP38" i="9"/>
  <c r="DQ38" i="9"/>
  <c r="DL38" i="9"/>
  <c r="DM38" i="9" s="1"/>
  <c r="BX38" i="9"/>
  <c r="BY38" i="9" s="1"/>
  <c r="BT38" i="9"/>
  <c r="BU38" i="9"/>
  <c r="BP38" i="9"/>
  <c r="BQ38" i="9"/>
  <c r="BD38" i="9"/>
  <c r="BE38" i="9" s="1"/>
  <c r="AN38" i="9"/>
  <c r="AO38" i="9"/>
  <c r="AJ38" i="9"/>
  <c r="AK38" i="9" s="1"/>
  <c r="M38" i="9"/>
  <c r="DP40" i="9"/>
  <c r="DQ40" i="9" s="1"/>
  <c r="DL40" i="9"/>
  <c r="DM40" i="9"/>
  <c r="BX40" i="9"/>
  <c r="BY40" i="9"/>
  <c r="DD40" i="9"/>
  <c r="CV40" i="9"/>
  <c r="CW40" i="9"/>
  <c r="CZ40" i="9"/>
  <c r="DA40" i="9"/>
  <c r="DH40" i="9"/>
  <c r="DI40" i="9" s="1"/>
  <c r="CR40" i="9"/>
  <c r="CS40" i="9"/>
  <c r="CN40" i="9"/>
  <c r="CO40" i="9"/>
  <c r="CB40" i="9"/>
  <c r="CC40" i="9" s="1"/>
  <c r="BL40" i="9"/>
  <c r="BM40" i="9"/>
  <c r="CF40" i="9"/>
  <c r="CG40" i="9"/>
  <c r="BH40" i="9"/>
  <c r="BI40" i="9" s="1"/>
  <c r="AN40" i="9"/>
  <c r="AO40" i="9"/>
  <c r="DG47" i="9"/>
  <c r="DI47" i="9"/>
  <c r="DC47" i="9"/>
  <c r="CU47" i="9"/>
  <c r="DK47" i="9"/>
  <c r="CA47" i="9"/>
  <c r="DO47" i="9"/>
  <c r="DQ47" i="9" s="1"/>
  <c r="CY47" i="9"/>
  <c r="BW47" i="9"/>
  <c r="BY47" i="9" s="1"/>
  <c r="BG47" i="9"/>
  <c r="AQ47" i="9"/>
  <c r="AA47" i="9"/>
  <c r="M47" i="9"/>
  <c r="X19" i="9"/>
  <c r="X40" i="9"/>
  <c r="W47" i="9"/>
  <c r="AA13" i="9"/>
  <c r="AC13" i="9" s="1"/>
  <c r="AB19" i="9"/>
  <c r="AE47" i="9"/>
  <c r="AF15" i="9"/>
  <c r="AF19" i="9"/>
  <c r="AF36" i="9"/>
  <c r="AK26" i="9"/>
  <c r="AJ36" i="9"/>
  <c r="AK36" i="9"/>
  <c r="AI47" i="9"/>
  <c r="AM13" i="9"/>
  <c r="AO34" i="9"/>
  <c r="AS34" i="9"/>
  <c r="AU11" i="9"/>
  <c r="AV17" i="9"/>
  <c r="AV40" i="9"/>
  <c r="AW40" i="9"/>
  <c r="AZ36" i="9"/>
  <c r="BA36" i="9" s="1"/>
  <c r="AZ40" i="9"/>
  <c r="BA40" i="9"/>
  <c r="BE34" i="9"/>
  <c r="BC47" i="9"/>
  <c r="BH19" i="9"/>
  <c r="BI34" i="9"/>
  <c r="BH38" i="9"/>
  <c r="BI38" i="9"/>
  <c r="BL17" i="9"/>
  <c r="BM17" i="9" s="1"/>
  <c r="BK47" i="9"/>
  <c r="BP21" i="9"/>
  <c r="BQ21" i="9"/>
  <c r="BQ29" i="9"/>
  <c r="BO47" i="9"/>
  <c r="BT15" i="9"/>
  <c r="CF15" i="9"/>
  <c r="CI47" i="9"/>
  <c r="CQ47" i="9"/>
  <c r="DD19" i="9"/>
  <c r="T8" i="9"/>
  <c r="U8" i="9" s="1"/>
  <c r="S9" i="9"/>
  <c r="DP11" i="9"/>
  <c r="DH11" i="9"/>
  <c r="DL11" i="9"/>
  <c r="CN11" i="9"/>
  <c r="CJ11" i="9"/>
  <c r="BX11" i="9"/>
  <c r="BT11" i="9"/>
  <c r="CZ11" i="9"/>
  <c r="CV11" i="9"/>
  <c r="CR11" i="9"/>
  <c r="DD11" i="9"/>
  <c r="CF11" i="9"/>
  <c r="CB11" i="9"/>
  <c r="BD11" i="9"/>
  <c r="AN11" i="9"/>
  <c r="AJ11" i="9"/>
  <c r="AB11" i="9"/>
  <c r="DD13" i="9"/>
  <c r="CZ13" i="9"/>
  <c r="CV13" i="9"/>
  <c r="CN13" i="9"/>
  <c r="CJ13" i="9"/>
  <c r="CK13" i="9" s="1"/>
  <c r="CB13" i="9"/>
  <c r="BX13" i="9"/>
  <c r="BY13" i="9" s="1"/>
  <c r="DP13" i="9"/>
  <c r="DL13" i="9"/>
  <c r="BT13" i="9"/>
  <c r="CR13" i="9"/>
  <c r="DH13" i="9"/>
  <c r="AZ13" i="9"/>
  <c r="AR13" i="9"/>
  <c r="AS13" i="9" s="1"/>
  <c r="AF13" i="9"/>
  <c r="AG13" i="9"/>
  <c r="DP18" i="9"/>
  <c r="DQ18" i="9" s="1"/>
  <c r="DH18" i="9"/>
  <c r="DI18" i="9"/>
  <c r="CJ18" i="9"/>
  <c r="CK18" i="9"/>
  <c r="BX18" i="9"/>
  <c r="BY18" i="9" s="1"/>
  <c r="DL18" i="9"/>
  <c r="DM18" i="9"/>
  <c r="DD18" i="9"/>
  <c r="DE18" i="9"/>
  <c r="CR18" i="9"/>
  <c r="CS18" i="9" s="1"/>
  <c r="CN18" i="9"/>
  <c r="CO18" i="9" s="1"/>
  <c r="BT18" i="9"/>
  <c r="BU18" i="9"/>
  <c r="CV18" i="9"/>
  <c r="CW18" i="9" s="1"/>
  <c r="CF18" i="9"/>
  <c r="CG18" i="9"/>
  <c r="CZ18" i="9"/>
  <c r="DA18" i="9" s="1"/>
  <c r="BL18" i="9"/>
  <c r="BM18" i="9" s="1"/>
  <c r="AZ18" i="9"/>
  <c r="BA18" i="9" s="1"/>
  <c r="AR18" i="9"/>
  <c r="AS18" i="9"/>
  <c r="X18" i="9"/>
  <c r="DP20" i="9"/>
  <c r="DQ20" i="9" s="1"/>
  <c r="CJ20" i="9"/>
  <c r="CK20" i="9"/>
  <c r="CB20" i="9"/>
  <c r="CC20" i="9" s="1"/>
  <c r="BP20" i="9"/>
  <c r="BQ20" i="9"/>
  <c r="DL20" i="9"/>
  <c r="DM20" i="9" s="1"/>
  <c r="CZ20" i="9"/>
  <c r="DA20" i="9" s="1"/>
  <c r="CF20" i="9"/>
  <c r="CG20" i="9"/>
  <c r="DH20" i="9"/>
  <c r="DI20" i="9"/>
  <c r="DD20" i="9"/>
  <c r="DE20" i="9" s="1"/>
  <c r="CV20" i="9"/>
  <c r="CW20" i="9"/>
  <c r="CN20" i="9"/>
  <c r="CO20" i="9" s="1"/>
  <c r="CR20" i="9"/>
  <c r="CS20" i="9"/>
  <c r="BD20" i="9"/>
  <c r="BE20" i="9" s="1"/>
  <c r="AF20" i="9"/>
  <c r="AG20" i="9"/>
  <c r="M20" i="9"/>
  <c r="DM22" i="9"/>
  <c r="DA22" i="9"/>
  <c r="DI22" i="9"/>
  <c r="CS22" i="9"/>
  <c r="CG22" i="9"/>
  <c r="DQ22" i="9"/>
  <c r="CW22" i="9"/>
  <c r="CO22" i="9"/>
  <c r="DE22" i="9"/>
  <c r="CC22" i="9"/>
  <c r="BQ22" i="9"/>
  <c r="BM22" i="9"/>
  <c r="M22" i="9"/>
  <c r="DM24" i="9"/>
  <c r="DE24" i="9"/>
  <c r="DA24" i="9"/>
  <c r="CO24" i="9"/>
  <c r="DI24" i="9"/>
  <c r="CG24" i="9"/>
  <c r="BY24" i="9"/>
  <c r="CW24" i="9"/>
  <c r="CS24" i="9"/>
  <c r="CK24" i="9"/>
  <c r="DQ24" i="9"/>
  <c r="CC24" i="9"/>
  <c r="BM24" i="9"/>
  <c r="BU24" i="9"/>
  <c r="BQ24" i="9"/>
  <c r="M26" i="9"/>
  <c r="DQ28" i="9"/>
  <c r="DI28" i="9"/>
  <c r="CW28" i="9"/>
  <c r="CS28" i="9"/>
  <c r="CG28" i="9"/>
  <c r="BY28" i="9"/>
  <c r="DM28" i="9"/>
  <c r="DE28" i="9"/>
  <c r="BQ28" i="9"/>
  <c r="DA28" i="9"/>
  <c r="CO28" i="9"/>
  <c r="BU28" i="9"/>
  <c r="CK28" i="9"/>
  <c r="M28" i="9"/>
  <c r="DM30" i="9"/>
  <c r="DE30" i="9"/>
  <c r="DQ30" i="9"/>
  <c r="CO30" i="9"/>
  <c r="CC30" i="9"/>
  <c r="BY30" i="9"/>
  <c r="BU30" i="9"/>
  <c r="DI30" i="9"/>
  <c r="DA30" i="9"/>
  <c r="CK30" i="9"/>
  <c r="CG30" i="9"/>
  <c r="BQ30" i="9"/>
  <c r="CW30" i="9"/>
  <c r="CS30" i="9"/>
  <c r="BM30" i="9"/>
  <c r="BI30" i="9"/>
  <c r="BE30" i="9"/>
  <c r="M30" i="9"/>
  <c r="DM32" i="9"/>
  <c r="DI32" i="9"/>
  <c r="DE32" i="9"/>
  <c r="DA32" i="9"/>
  <c r="CO32" i="9"/>
  <c r="BY32" i="9"/>
  <c r="BU32" i="9"/>
  <c r="DQ32" i="9"/>
  <c r="CG32" i="9"/>
  <c r="CC32" i="9"/>
  <c r="CW32" i="9"/>
  <c r="CS32" i="9"/>
  <c r="CK32" i="9"/>
  <c r="BQ32" i="9"/>
  <c r="BM32" i="9"/>
  <c r="BI32" i="9"/>
  <c r="M34" i="9"/>
  <c r="DG39" i="9"/>
  <c r="CY39" i="9"/>
  <c r="DA39" i="9" s="1"/>
  <c r="CI39" i="9"/>
  <c r="CK39" i="9" s="1"/>
  <c r="CE39" i="9"/>
  <c r="BS39" i="9"/>
  <c r="BU39" i="9" s="1"/>
  <c r="DO39" i="9"/>
  <c r="DQ39" i="9"/>
  <c r="DK39" i="9"/>
  <c r="DM39" i="9" s="1"/>
  <c r="DC39" i="9"/>
  <c r="CM39" i="9"/>
  <c r="CO39" i="9"/>
  <c r="BO39" i="9"/>
  <c r="CQ39" i="9"/>
  <c r="CA39" i="9"/>
  <c r="AQ39" i="9"/>
  <c r="AS39" i="9"/>
  <c r="AA39" i="9"/>
  <c r="AC39" i="9" s="1"/>
  <c r="W39" i="9"/>
  <c r="M39" i="9"/>
  <c r="DC41" i="9"/>
  <c r="DE41" i="9" s="1"/>
  <c r="CU41" i="9"/>
  <c r="CW41" i="9" s="1"/>
  <c r="CQ41" i="9"/>
  <c r="CS41" i="9"/>
  <c r="BS41" i="9"/>
  <c r="BW41" i="9"/>
  <c r="BY41" i="9"/>
  <c r="DO41" i="9"/>
  <c r="DK41" i="9"/>
  <c r="DM41" i="9"/>
  <c r="CY41" i="9"/>
  <c r="DA41" i="9"/>
  <c r="CM41" i="9"/>
  <c r="CA41" i="9"/>
  <c r="BO41" i="9"/>
  <c r="CI41" i="9"/>
  <c r="CE41" i="9"/>
  <c r="BC41" i="9"/>
  <c r="BE41" i="9"/>
  <c r="AI41" i="9"/>
  <c r="AK41" i="9"/>
  <c r="M41" i="9"/>
  <c r="CU43" i="9"/>
  <c r="CW43" i="9"/>
  <c r="DO43" i="9"/>
  <c r="DQ43" i="9"/>
  <c r="DK43" i="9"/>
  <c r="DM43" i="9"/>
  <c r="DG43" i="9"/>
  <c r="DI43" i="9" s="1"/>
  <c r="DC43" i="9"/>
  <c r="DE43" i="9" s="1"/>
  <c r="BW43" i="9"/>
  <c r="BY43" i="9" s="1"/>
  <c r="BS43" i="9"/>
  <c r="CQ43" i="9"/>
  <c r="CS43" i="9"/>
  <c r="CM43" i="9"/>
  <c r="BK43" i="9"/>
  <c r="BM43" i="9"/>
  <c r="CY43" i="9"/>
  <c r="DA43" i="9" s="1"/>
  <c r="BG43" i="9"/>
  <c r="BC43" i="9"/>
  <c r="BE43" i="9"/>
  <c r="AM43" i="9"/>
  <c r="AO43" i="9" s="1"/>
  <c r="M43" i="9"/>
  <c r="DO45" i="9"/>
  <c r="CY45" i="9"/>
  <c r="CM45" i="9"/>
  <c r="CO45" i="9"/>
  <c r="CA45" i="9"/>
  <c r="DK45" i="9"/>
  <c r="DG45" i="9"/>
  <c r="CE45" i="9"/>
  <c r="BS45" i="9"/>
  <c r="BU45" i="9"/>
  <c r="CU45" i="9"/>
  <c r="CI45" i="9"/>
  <c r="DC45" i="9"/>
  <c r="DE45" i="9" s="1"/>
  <c r="CQ45" i="9"/>
  <c r="CS45" i="9"/>
  <c r="BO45" i="9"/>
  <c r="BW45" i="9"/>
  <c r="AE45" i="9"/>
  <c r="DP47" i="9"/>
  <c r="CV47" i="9"/>
  <c r="CZ47" i="9"/>
  <c r="CN47" i="9"/>
  <c r="CO47" i="9" s="1"/>
  <c r="DL47" i="9"/>
  <c r="BX47" i="9"/>
  <c r="DD47" i="9"/>
  <c r="DE47" i="9" s="1"/>
  <c r="CJ47" i="9"/>
  <c r="CF47" i="9"/>
  <c r="BT47" i="9"/>
  <c r="BP47" i="9"/>
  <c r="BL47" i="9"/>
  <c r="CR47" i="9"/>
  <c r="DH47" i="9"/>
  <c r="BD47" i="9"/>
  <c r="X13" i="9"/>
  <c r="X20" i="9"/>
  <c r="W41" i="9"/>
  <c r="X47" i="9"/>
  <c r="Y47" i="9" s="1"/>
  <c r="AB13" i="9"/>
  <c r="AB40" i="9"/>
  <c r="AC40" i="9"/>
  <c r="AB47" i="9"/>
  <c r="AE39" i="9"/>
  <c r="AG39" i="9"/>
  <c r="AF11" i="9"/>
  <c r="AF21" i="9"/>
  <c r="AG26" i="9"/>
  <c r="AF38" i="9"/>
  <c r="AI11" i="9"/>
  <c r="AJ17" i="9"/>
  <c r="AJ20" i="9"/>
  <c r="AK20" i="9" s="1"/>
  <c r="AK34" i="9"/>
  <c r="AJ40" i="9"/>
  <c r="AK40" i="9"/>
  <c r="AJ47" i="9"/>
  <c r="AN13" i="9"/>
  <c r="AN17" i="9"/>
  <c r="AO17" i="9" s="1"/>
  <c r="AO24" i="9"/>
  <c r="AO32" i="9"/>
  <c r="AM39" i="9"/>
  <c r="AO39" i="9"/>
  <c r="AM45" i="9"/>
  <c r="AO45" i="9" s="1"/>
  <c r="AR11" i="9"/>
  <c r="AR17" i="9"/>
  <c r="AR21" i="9"/>
  <c r="AS24" i="9"/>
  <c r="AS28" i="9"/>
  <c r="AR38" i="9"/>
  <c r="AS38" i="9"/>
  <c r="AV11" i="9"/>
  <c r="AV15" i="9"/>
  <c r="AW24" i="9"/>
  <c r="AW28" i="9"/>
  <c r="AV38" i="9"/>
  <c r="AW38" i="9" s="1"/>
  <c r="AU41" i="9"/>
  <c r="AU47" i="9"/>
  <c r="AY13" i="9"/>
  <c r="BA13" i="9"/>
  <c r="AZ19" i="9"/>
  <c r="BA26" i="9"/>
  <c r="BA30" i="9"/>
  <c r="AY41" i="9"/>
  <c r="BA41" i="9" s="1"/>
  <c r="AY47" i="9"/>
  <c r="BA47" i="9"/>
  <c r="BC13" i="9"/>
  <c r="BD18" i="9"/>
  <c r="BE18" i="9" s="1"/>
  <c r="BD21" i="9"/>
  <c r="BE24" i="9"/>
  <c r="BE28" i="9"/>
  <c r="BC39" i="9"/>
  <c r="BC45" i="9"/>
  <c r="BG11" i="9"/>
  <c r="BH20" i="9"/>
  <c r="BI20" i="9" s="1"/>
  <c r="BG39" i="9"/>
  <c r="BI39" i="9" s="1"/>
  <c r="BK11" i="9"/>
  <c r="BL19" i="9"/>
  <c r="BL38" i="9"/>
  <c r="BM38" i="9" s="1"/>
  <c r="BP11" i="9"/>
  <c r="BP40" i="9"/>
  <c r="BQ40" i="9" s="1"/>
  <c r="BS11" i="9"/>
  <c r="BS47" i="9"/>
  <c r="BU47" i="9" s="1"/>
  <c r="BX20" i="9"/>
  <c r="BY20" i="9"/>
  <c r="CA13" i="9"/>
  <c r="CE47" i="9"/>
  <c r="CG47" i="9"/>
  <c r="CN19" i="9"/>
  <c r="CV17" i="9"/>
  <c r="DG41" i="9"/>
  <c r="DI41" i="9" s="1"/>
  <c r="DK27" i="9"/>
  <c r="DM27" i="9"/>
  <c r="DC27" i="9"/>
  <c r="DE27" i="9" s="1"/>
  <c r="CM27" i="9"/>
  <c r="CO27" i="9"/>
  <c r="CI27" i="9"/>
  <c r="CK27" i="9"/>
  <c r="BS27" i="9"/>
  <c r="BU27" i="9" s="1"/>
  <c r="CA27" i="9"/>
  <c r="CC27" i="9"/>
  <c r="DO27" i="9"/>
  <c r="DQ27" i="9"/>
  <c r="CE27" i="9"/>
  <c r="CG27" i="9" s="1"/>
  <c r="CU27" i="9"/>
  <c r="CW27" i="9"/>
  <c r="DG27" i="9"/>
  <c r="DI27" i="9"/>
  <c r="BO27" i="9"/>
  <c r="BQ27" i="9" s="1"/>
  <c r="BK27" i="9"/>
  <c r="BM27" i="9"/>
  <c r="BG27" i="9"/>
  <c r="BI27" i="9"/>
  <c r="BU11" i="9"/>
  <c r="BS49" i="9"/>
  <c r="AG32" i="9"/>
  <c r="T32" i="9"/>
  <c r="U32" i="9" s="1"/>
  <c r="Y20" i="9"/>
  <c r="CO17" i="9"/>
  <c r="BI14" i="9"/>
  <c r="AK23" i="9"/>
  <c r="AW31" i="9"/>
  <c r="AO35" i="9"/>
  <c r="BE15" i="9"/>
  <c r="CW11" i="9"/>
  <c r="DQ21" i="9"/>
  <c r="BA12" i="9"/>
  <c r="DM25" i="9"/>
  <c r="BY23" i="9"/>
  <c r="AG45" i="9"/>
  <c r="CG45" i="9"/>
  <c r="AS11" i="9"/>
  <c r="CC11" i="9"/>
  <c r="DQ11" i="9"/>
  <c r="CG37" i="9"/>
  <c r="DE29" i="9"/>
  <c r="BU25" i="9"/>
  <c r="AG33" i="9"/>
  <c r="CO33" i="9"/>
  <c r="BE31" i="9"/>
  <c r="BU31" i="9"/>
  <c r="CW35" i="9"/>
  <c r="BE39" i="9"/>
  <c r="AK11" i="9"/>
  <c r="Y41" i="9"/>
  <c r="DI45" i="9"/>
  <c r="DA45" i="9"/>
  <c r="CO43" i="9"/>
  <c r="CG41" i="9"/>
  <c r="DI39" i="9"/>
  <c r="AG24" i="9"/>
  <c r="T24" i="9"/>
  <c r="U24" i="9"/>
  <c r="CS47" i="9"/>
  <c r="AW11" i="9"/>
  <c r="T29" i="9"/>
  <c r="Y40" i="9"/>
  <c r="AC47" i="9"/>
  <c r="DA47" i="9"/>
  <c r="CW47" i="9"/>
  <c r="Y36" i="9"/>
  <c r="DI13" i="9"/>
  <c r="BA11" i="9"/>
  <c r="CG11" i="9"/>
  <c r="CK11" i="9"/>
  <c r="DC49" i="9"/>
  <c r="DE11" i="9"/>
  <c r="Y44" i="9"/>
  <c r="BM37" i="9"/>
  <c r="DM37" i="9"/>
  <c r="T23" i="9"/>
  <c r="AW21" i="9"/>
  <c r="CS21" i="9"/>
  <c r="BY19" i="9"/>
  <c r="DQ19" i="9"/>
  <c r="CO19" i="9"/>
  <c r="DM19" i="9"/>
  <c r="AW17" i="9"/>
  <c r="BU17" i="9"/>
  <c r="DI17" i="9"/>
  <c r="DQ17" i="9"/>
  <c r="BI33" i="9"/>
  <c r="T35" i="9"/>
  <c r="Y43" i="9"/>
  <c r="T31" i="9"/>
  <c r="Y29" i="9"/>
  <c r="DQ29" i="9"/>
  <c r="DI29" i="9"/>
  <c r="BI25" i="9"/>
  <c r="BY25" i="9"/>
  <c r="CW25" i="9"/>
  <c r="CG25" i="9"/>
  <c r="DI25" i="9"/>
  <c r="CS23" i="9"/>
  <c r="BQ23" i="9"/>
  <c r="DA23" i="9"/>
  <c r="Y45" i="9"/>
  <c r="S33" i="9"/>
  <c r="Y33" i="9"/>
  <c r="DI33" i="9"/>
  <c r="BM33" i="9"/>
  <c r="CG33" i="9"/>
  <c r="CS33" i="9"/>
  <c r="DQ33" i="9"/>
  <c r="Y31" i="9"/>
  <c r="S31" i="9"/>
  <c r="BY31" i="9"/>
  <c r="DI31" i="9"/>
  <c r="Y42" i="9"/>
  <c r="Y35" i="9"/>
  <c r="S35" i="9"/>
  <c r="AG35" i="9"/>
  <c r="AW35" i="9"/>
  <c r="CK35" i="9"/>
  <c r="CS35" i="9"/>
  <c r="DI35" i="9"/>
  <c r="DM35" i="9"/>
  <c r="AS15" i="9"/>
  <c r="AG15" i="9"/>
  <c r="DI15" i="9"/>
  <c r="CS11" i="9"/>
  <c r="AW25" i="9"/>
  <c r="DM33" i="9"/>
  <c r="BQ35" i="9"/>
  <c r="CC13" i="9"/>
  <c r="BE45" i="9"/>
  <c r="BM47" i="9"/>
  <c r="AO13" i="9"/>
  <c r="DM47" i="9"/>
  <c r="BU13" i="9"/>
  <c r="DK49" i="9"/>
  <c r="Y14" i="9"/>
  <c r="Y37" i="9"/>
  <c r="BA19" i="9"/>
  <c r="AS17" i="9"/>
  <c r="Y46" i="9"/>
  <c r="BQ25" i="9"/>
  <c r="DE25" i="9"/>
  <c r="BM23" i="9"/>
  <c r="Y16" i="9"/>
  <c r="BA33" i="9"/>
  <c r="CK31" i="9"/>
  <c r="CS31" i="9"/>
  <c r="DE35" i="9"/>
  <c r="S15" i="9"/>
  <c r="Y15" i="9"/>
  <c r="CG15" i="9"/>
  <c r="DA15" i="9"/>
  <c r="AW41" i="9"/>
  <c r="AG38" i="9"/>
  <c r="AC30" i="9"/>
  <c r="T30" i="9"/>
  <c r="U30" i="9" s="1"/>
  <c r="Y34" i="9"/>
  <c r="T34" i="9"/>
  <c r="U34" i="9" s="1"/>
  <c r="DM45" i="9"/>
  <c r="DQ45" i="9"/>
  <c r="CK41" i="9"/>
  <c r="CC39" i="9"/>
  <c r="DE39" i="9"/>
  <c r="CG39" i="9"/>
  <c r="AO28" i="9"/>
  <c r="T28" i="9"/>
  <c r="U28" i="9" s="1"/>
  <c r="AO22" i="9"/>
  <c r="CZ49" i="9"/>
  <c r="DA11" i="9"/>
  <c r="CN49" i="9"/>
  <c r="U9" i="9"/>
  <c r="CK47" i="9"/>
  <c r="BE47" i="9"/>
  <c r="Y26" i="9"/>
  <c r="T26" i="9"/>
  <c r="U26" i="9" s="1"/>
  <c r="DM13" i="9"/>
  <c r="DA13" i="9"/>
  <c r="CY49" i="9"/>
  <c r="DG49" i="9"/>
  <c r="DI11" i="9"/>
  <c r="CO11" i="9"/>
  <c r="BM21" i="9"/>
  <c r="DI37" i="9"/>
  <c r="CC37" i="9"/>
  <c r="T25" i="9"/>
  <c r="Y21" i="9"/>
  <c r="AS21" i="9"/>
  <c r="BU21" i="9"/>
  <c r="DM21" i="9"/>
  <c r="DI21" i="9"/>
  <c r="BU19" i="9"/>
  <c r="BM19" i="9"/>
  <c r="CW19" i="9"/>
  <c r="DE19" i="9"/>
  <c r="Y17" i="9"/>
  <c r="BY17" i="9"/>
  <c r="DA17" i="9"/>
  <c r="DM17" i="9"/>
  <c r="Y12" i="9"/>
  <c r="AO37" i="9"/>
  <c r="Y25" i="9"/>
  <c r="T33" i="9"/>
  <c r="AC29" i="9"/>
  <c r="CO29" i="9"/>
  <c r="DM29" i="9"/>
  <c r="CW29" i="9"/>
  <c r="DQ25" i="9"/>
  <c r="DA25" i="9"/>
  <c r="CK25" i="9"/>
  <c r="Y23" i="9"/>
  <c r="AC23" i="9"/>
  <c r="BE23" i="9"/>
  <c r="BU23" i="9"/>
  <c r="DM23" i="9"/>
  <c r="CS19" i="9"/>
  <c r="BI19" i="9"/>
  <c r="AC33" i="9"/>
  <c r="BQ33" i="9"/>
  <c r="BY33" i="9"/>
  <c r="DA33" i="9"/>
  <c r="CW33" i="9"/>
  <c r="AS31" i="9"/>
  <c r="AK31" i="9"/>
  <c r="AO31" i="9"/>
  <c r="DE31" i="9"/>
  <c r="CC31" i="9"/>
  <c r="BA35" i="9"/>
  <c r="BU35" i="9"/>
  <c r="BE35" i="9"/>
  <c r="BI35" i="9"/>
  <c r="CC35" i="9"/>
  <c r="BY35" i="9"/>
  <c r="BA15" i="9"/>
  <c r="AW15" i="9"/>
  <c r="BY15" i="9"/>
  <c r="DQ15" i="9"/>
  <c r="DM15" i="9"/>
  <c r="S17" i="9"/>
  <c r="BM36" i="9"/>
  <c r="BM14" i="9"/>
  <c r="BM12" i="9"/>
  <c r="BM15" i="9"/>
  <c r="DT49" i="9"/>
  <c r="DU35" i="9"/>
  <c r="DU49" i="9" s="1"/>
  <c r="U33" i="9"/>
  <c r="U35" i="9"/>
  <c r="U31" i="9"/>
  <c r="T22" i="9"/>
  <c r="U22" i="9"/>
  <c r="BQ11" i="9" l="1"/>
  <c r="CW14" i="9"/>
  <c r="CV49" i="9"/>
  <c r="BI13" i="9"/>
  <c r="DL49" i="9"/>
  <c r="AS23" i="9"/>
  <c r="CG44" i="9"/>
  <c r="T44" i="9"/>
  <c r="U44" i="9" s="1"/>
  <c r="DE40" i="9"/>
  <c r="DD49" i="9"/>
  <c r="BP49" i="9"/>
  <c r="BQ15" i="9"/>
  <c r="DQ13" i="9"/>
  <c r="DO49" i="9"/>
  <c r="DM49" i="9"/>
  <c r="CK29" i="9"/>
  <c r="CI49" i="9"/>
  <c r="CK12" i="9"/>
  <c r="BE42" i="9"/>
  <c r="DP49" i="9"/>
  <c r="CB49" i="9"/>
  <c r="CS15" i="9"/>
  <c r="CS49" i="9" s="1"/>
  <c r="CR49" i="9"/>
  <c r="BY11" i="9"/>
  <c r="BY49" i="9" s="1"/>
  <c r="BW49" i="9"/>
  <c r="CO49" i="9"/>
  <c r="Y18" i="9"/>
  <c r="T18" i="9"/>
  <c r="U18" i="9" s="1"/>
  <c r="Y39" i="9"/>
  <c r="AK47" i="9"/>
  <c r="S47" i="9"/>
  <c r="AO16" i="9"/>
  <c r="T16" i="9"/>
  <c r="U16" i="9" s="1"/>
  <c r="AW19" i="9"/>
  <c r="BX49" i="9"/>
  <c r="BA29" i="9"/>
  <c r="BE46" i="9"/>
  <c r="T46" i="9"/>
  <c r="U46" i="9" s="1"/>
  <c r="T37" i="9"/>
  <c r="BA14" i="9"/>
  <c r="CW45" i="9"/>
  <c r="DQ41" i="9"/>
  <c r="AG17" i="9"/>
  <c r="T17" i="9"/>
  <c r="U17" i="9" s="1"/>
  <c r="CW21" i="9"/>
  <c r="AK17" i="9"/>
  <c r="CC15" i="9"/>
  <c r="BQ39" i="9"/>
  <c r="BQ47" i="9"/>
  <c r="BU37" i="9"/>
  <c r="BE21" i="9"/>
  <c r="Y19" i="9"/>
  <c r="T36" i="9"/>
  <c r="U36" i="9" s="1"/>
  <c r="AG36" i="9"/>
  <c r="CK21" i="9"/>
  <c r="BI17" i="9"/>
  <c r="DE15" i="9"/>
  <c r="DE49" i="9" s="1"/>
  <c r="CW37" i="9"/>
  <c r="CC19" i="9"/>
  <c r="CC41" i="9"/>
  <c r="Y13" i="9"/>
  <c r="CK45" i="9"/>
  <c r="CW17" i="9"/>
  <c r="DA19" i="9"/>
  <c r="DA49" i="9" s="1"/>
  <c r="AF14" i="9"/>
  <c r="DH14" i="9"/>
  <c r="DX49" i="9"/>
  <c r="DY34" i="9"/>
  <c r="DY49" i="9" s="1"/>
  <c r="BE19" i="9"/>
  <c r="AV19" i="9"/>
  <c r="AV49" i="9" s="1"/>
  <c r="AR19" i="9"/>
  <c r="BD19" i="9"/>
  <c r="K49" i="9"/>
  <c r="W27" i="9"/>
  <c r="W49" i="9" s="1"/>
  <c r="AB21" i="9"/>
  <c r="AA45" i="9"/>
  <c r="AC45" i="9" s="1"/>
  <c r="AJ13" i="9"/>
  <c r="AJ49" i="9" s="1"/>
  <c r="AI43" i="9"/>
  <c r="AK43" i="9" s="1"/>
  <c r="AM27" i="9"/>
  <c r="AO27" i="9" s="1"/>
  <c r="AR43" i="9"/>
  <c r="T43" i="9" s="1"/>
  <c r="AZ20" i="9"/>
  <c r="BA20" i="9" s="1"/>
  <c r="BC11" i="9"/>
  <c r="BG29" i="9"/>
  <c r="BI29" i="9" s="1"/>
  <c r="BO43" i="9"/>
  <c r="BQ43" i="9" s="1"/>
  <c r="CA21" i="9"/>
  <c r="CJ40" i="9"/>
  <c r="CK40" i="9" s="1"/>
  <c r="M18" i="9"/>
  <c r="AE11" i="9"/>
  <c r="AJ15" i="9"/>
  <c r="AK15" i="9" s="1"/>
  <c r="AI45" i="9"/>
  <c r="AK45" i="9" s="1"/>
  <c r="AN36" i="9"/>
  <c r="AO36" i="9" s="1"/>
  <c r="AQ25" i="9"/>
  <c r="AQ45" i="9"/>
  <c r="AS45" i="9" s="1"/>
  <c r="AU27" i="9"/>
  <c r="AW27" i="9" s="1"/>
  <c r="AZ21" i="9"/>
  <c r="BA21" i="9" s="1"/>
  <c r="BD13" i="9"/>
  <c r="BD49" i="9" s="1"/>
  <c r="BH11" i="9"/>
  <c r="BI11" i="9" s="1"/>
  <c r="BI49" i="9" s="1"/>
  <c r="BP45" i="9"/>
  <c r="T45" i="9" s="1"/>
  <c r="CA25" i="9"/>
  <c r="CC25" i="9" s="1"/>
  <c r="CI43" i="9"/>
  <c r="CK43" i="9" s="1"/>
  <c r="X38" i="9"/>
  <c r="AM41" i="9"/>
  <c r="AO41" i="9" s="1"/>
  <c r="AR47" i="9"/>
  <c r="AS47" i="9" s="1"/>
  <c r="AU29" i="9"/>
  <c r="BG41" i="9"/>
  <c r="BI41" i="9" s="1"/>
  <c r="X39" i="9"/>
  <c r="T39" i="9" s="1"/>
  <c r="AE19" i="9"/>
  <c r="AJ18" i="9"/>
  <c r="AK18" i="9" s="1"/>
  <c r="AM11" i="9"/>
  <c r="AQ27" i="9"/>
  <c r="AS27" i="9" s="1"/>
  <c r="AU13" i="9"/>
  <c r="BH12" i="9"/>
  <c r="BI12" i="9" s="1"/>
  <c r="BG45" i="9"/>
  <c r="BI45" i="9" s="1"/>
  <c r="BT20" i="9"/>
  <c r="BU20" i="9" s="1"/>
  <c r="CQ27" i="9"/>
  <c r="CS27" i="9" s="1"/>
  <c r="DW49" i="9"/>
  <c r="AE41" i="9"/>
  <c r="AF40" i="9"/>
  <c r="AJ21" i="9"/>
  <c r="AK21" i="9" s="1"/>
  <c r="AQ37" i="9"/>
  <c r="AS37" i="9" s="1"/>
  <c r="AU39" i="9"/>
  <c r="AW39" i="9" s="1"/>
  <c r="BH47" i="9"/>
  <c r="BI47" i="9" s="1"/>
  <c r="BK41" i="9"/>
  <c r="BM41" i="9" s="1"/>
  <c r="BT40" i="9"/>
  <c r="BU40" i="9" s="1"/>
  <c r="CU39" i="9"/>
  <c r="M40" i="9"/>
  <c r="AA11" i="9"/>
  <c r="AE43" i="9"/>
  <c r="AG43" i="9" s="1"/>
  <c r="AN18" i="9"/>
  <c r="AU43" i="9"/>
  <c r="AW43" i="9" s="1"/>
  <c r="AZ38" i="9"/>
  <c r="BA38" i="9" s="1"/>
  <c r="BL11" i="9"/>
  <c r="BL49" i="9" s="1"/>
  <c r="BT41" i="9"/>
  <c r="BU41" i="9" s="1"/>
  <c r="CB47" i="9"/>
  <c r="CC47" i="9" s="1"/>
  <c r="X11" i="9"/>
  <c r="AF12" i="9"/>
  <c r="AR40" i="9"/>
  <c r="AS40" i="9" s="1"/>
  <c r="AV47" i="9"/>
  <c r="AW47" i="9" s="1"/>
  <c r="BH21" i="9"/>
  <c r="BI21" i="9" s="1"/>
  <c r="M29" i="9"/>
  <c r="AB18" i="9"/>
  <c r="AF47" i="9"/>
  <c r="AN21" i="9"/>
  <c r="AO21" i="9" s="1"/>
  <c r="AQ41" i="9"/>
  <c r="AS41" i="9" s="1"/>
  <c r="AY43" i="9"/>
  <c r="BA43" i="9" s="1"/>
  <c r="BL20" i="9"/>
  <c r="BM20" i="9" s="1"/>
  <c r="CE43" i="9"/>
  <c r="M13" i="9"/>
  <c r="M49" i="9" s="1"/>
  <c r="AB20" i="9"/>
  <c r="AA43" i="9"/>
  <c r="BU49" i="9" l="1"/>
  <c r="AO18" i="9"/>
  <c r="AN49" i="9"/>
  <c r="AZ49" i="9"/>
  <c r="CK49" i="9"/>
  <c r="CJ49" i="9"/>
  <c r="AW29" i="9"/>
  <c r="S29" i="9"/>
  <c r="U29" i="9" s="1"/>
  <c r="BG49" i="9"/>
  <c r="AG12" i="9"/>
  <c r="AF49" i="9"/>
  <c r="AW13" i="9"/>
  <c r="AW49" i="9" s="1"/>
  <c r="AU49" i="9"/>
  <c r="S13" i="9"/>
  <c r="U13" i="9" s="1"/>
  <c r="CC21" i="9"/>
  <c r="CC49" i="9" s="1"/>
  <c r="CA49" i="9"/>
  <c r="S21" i="9"/>
  <c r="Y11" i="9"/>
  <c r="X49" i="9"/>
  <c r="T11" i="9"/>
  <c r="AA49" i="9"/>
  <c r="AC11" i="9"/>
  <c r="S11" i="9"/>
  <c r="AG40" i="9"/>
  <c r="T40" i="9"/>
  <c r="U40" i="9" s="1"/>
  <c r="AS25" i="9"/>
  <c r="S25" i="9"/>
  <c r="U25" i="9" s="1"/>
  <c r="S45" i="9"/>
  <c r="U45" i="9" s="1"/>
  <c r="AK13" i="9"/>
  <c r="AK49" i="9" s="1"/>
  <c r="BQ45" i="9"/>
  <c r="BQ49" i="9" s="1"/>
  <c r="BK49" i="9"/>
  <c r="AG47" i="9"/>
  <c r="T47" i="9"/>
  <c r="AG41" i="9"/>
  <c r="S41" i="9"/>
  <c r="U41" i="9" s="1"/>
  <c r="AM49" i="9"/>
  <c r="AO11" i="9"/>
  <c r="AO49" i="9" s="1"/>
  <c r="Y38" i="9"/>
  <c r="T38" i="9"/>
  <c r="U38" i="9" s="1"/>
  <c r="AS43" i="9"/>
  <c r="BM11" i="9"/>
  <c r="BM49" i="9" s="1"/>
  <c r="T21" i="9"/>
  <c r="AC21" i="9"/>
  <c r="AC18" i="9"/>
  <c r="AB49" i="9"/>
  <c r="Y27" i="9"/>
  <c r="S27" i="9"/>
  <c r="U27" i="9" s="1"/>
  <c r="AG19" i="9"/>
  <c r="S19" i="9"/>
  <c r="T41" i="9"/>
  <c r="CW49" i="9"/>
  <c r="AG11" i="9"/>
  <c r="AE49" i="9"/>
  <c r="AS19" i="9"/>
  <c r="AR49" i="9"/>
  <c r="T12" i="9"/>
  <c r="U12" i="9" s="1"/>
  <c r="T15" i="9"/>
  <c r="U15" i="9" s="1"/>
  <c r="AI49" i="9"/>
  <c r="S37" i="9"/>
  <c r="U37" i="9" s="1"/>
  <c r="BO49" i="9"/>
  <c r="CG43" i="9"/>
  <c r="CG49" i="9" s="1"/>
  <c r="CE49" i="9"/>
  <c r="AG14" i="9"/>
  <c r="T14" i="9"/>
  <c r="U14" i="9" s="1"/>
  <c r="BC49" i="9"/>
  <c r="BE11" i="9"/>
  <c r="AC43" i="9"/>
  <c r="S43" i="9"/>
  <c r="U43" i="9" s="1"/>
  <c r="AC20" i="9"/>
  <c r="T20" i="9"/>
  <c r="U20" i="9" s="1"/>
  <c r="CW39" i="9"/>
  <c r="CU49" i="9"/>
  <c r="BE13" i="9"/>
  <c r="U47" i="9"/>
  <c r="BA49" i="9"/>
  <c r="S39" i="9"/>
  <c r="U39" i="9" s="1"/>
  <c r="CQ49" i="9"/>
  <c r="T13" i="9"/>
  <c r="AY49" i="9"/>
  <c r="DQ49" i="9"/>
  <c r="BH49" i="9"/>
  <c r="DI14" i="9"/>
  <c r="DI49" i="9" s="1"/>
  <c r="DH49" i="9"/>
  <c r="BT49" i="9"/>
  <c r="T19" i="9"/>
  <c r="AQ49" i="9"/>
  <c r="T49" i="9" l="1"/>
  <c r="U11" i="9"/>
  <c r="S49" i="9"/>
  <c r="U19" i="9"/>
  <c r="Y49" i="9"/>
  <c r="BE49" i="9"/>
  <c r="AS49" i="9"/>
  <c r="AC49" i="9"/>
  <c r="U21" i="9"/>
  <c r="AG49" i="9"/>
  <c r="U49" i="9" l="1"/>
</calcChain>
</file>

<file path=xl/sharedStrings.xml><?xml version="1.0" encoding="utf-8"?>
<sst xmlns="http://schemas.openxmlformats.org/spreadsheetml/2006/main" count="173" uniqueCount="46">
  <si>
    <t>Total</t>
  </si>
  <si>
    <t>Payment</t>
  </si>
  <si>
    <t>Date</t>
  </si>
  <si>
    <t>Principal</t>
  </si>
  <si>
    <t>Interest</t>
  </si>
  <si>
    <t xml:space="preserve">        UMB New Campus Center (Auxiliary)</t>
  </si>
  <si>
    <t xml:space="preserve">   UMBC Resident Hall Renovation (Auxiliary)</t>
  </si>
  <si>
    <t xml:space="preserve"> </t>
  </si>
  <si>
    <t xml:space="preserve">         TU Towsontown Garage (Auxiliary)</t>
  </si>
  <si>
    <t xml:space="preserve">      TU Towson Center Arena (Auxiliary)</t>
  </si>
  <si>
    <t xml:space="preserve">    TU West Village Infrastructure (Auxiliary)</t>
  </si>
  <si>
    <t xml:space="preserve">   UMCP Fraternity/Sorority Houses (Auxiliary)</t>
  </si>
  <si>
    <t xml:space="preserve">    BSU Holmes Hall &amp; Tubman Hall (Auxiliary)</t>
  </si>
  <si>
    <t xml:space="preserve">           CSU Parking Garage (Auxiliary)</t>
  </si>
  <si>
    <t xml:space="preserve">       FSU Lane Center Renovation (Auxiliary)</t>
  </si>
  <si>
    <t xml:space="preserve">           SU New Parking Garage (Auxiliary)</t>
  </si>
  <si>
    <t xml:space="preserve">      UMCP SCUB Utilities Facility (Auxiliary)</t>
  </si>
  <si>
    <t xml:space="preserve">   UMES Wicomico Hall Renovation (Auxiliary)</t>
  </si>
  <si>
    <t xml:space="preserve">    TU West Village Dining Commons (Auxiliary)</t>
  </si>
  <si>
    <t xml:space="preserve">    UMCP Byrd Stadium Expansion (Auxiliary)</t>
  </si>
  <si>
    <t xml:space="preserve">              UMCP Golf Course (Auxiliary)</t>
  </si>
  <si>
    <t xml:space="preserve">     UMBC Athletic Practice Fields (Auxiliary)</t>
  </si>
  <si>
    <t xml:space="preserve">       SU Dormitory Renovations (Auxiliary)</t>
  </si>
  <si>
    <t xml:space="preserve">     UMBC Dining Hall Upgrades (Auxiliary)</t>
  </si>
  <si>
    <t xml:space="preserve">    TU West Village Parking Structure (Auxiliary)</t>
  </si>
  <si>
    <t xml:space="preserve"> USMO Shady Grove Parking Garage (Auxiliary)</t>
  </si>
  <si>
    <t xml:space="preserve">          UMBC  Surface Lots (Auxiliary)</t>
  </si>
  <si>
    <t xml:space="preserve">        BSU New Student Center (Auxiliary)</t>
  </si>
  <si>
    <t xml:space="preserve">    SU Mixed-Use Student Housing (Auxiliary)</t>
  </si>
  <si>
    <t>TU Student Housing-West Village PHI (Auxiliary)</t>
  </si>
  <si>
    <t xml:space="preserve">      TU Resident Hall Renovations (Auxiliary)</t>
  </si>
  <si>
    <t>2009 Series A &amp; 2009 Series B Bond Funded Projects</t>
  </si>
  <si>
    <t xml:space="preserve">               University System of Maryland</t>
  </si>
  <si>
    <t xml:space="preserve">     Total Academic Projects - 2009 (A &amp; B)</t>
  </si>
  <si>
    <t xml:space="preserve">        Total Auxiliary Projects - 2009 (A &amp; B)</t>
  </si>
  <si>
    <t xml:space="preserve">               2009A Bonds</t>
  </si>
  <si>
    <t xml:space="preserve">               2009B Bonds</t>
  </si>
  <si>
    <t xml:space="preserve">       2009A - Ref on 2016B</t>
  </si>
  <si>
    <t xml:space="preserve">                                                                               Total Debt Services - 2009 Series A &amp; 2009 Series B</t>
  </si>
  <si>
    <t xml:space="preserve">           2009A&amp;B - Total</t>
  </si>
  <si>
    <t>Distribution of Debt Services after 2019B Bond Issue</t>
  </si>
  <si>
    <t xml:space="preserve">       2009B - Ref on 2019B</t>
  </si>
  <si>
    <t>Academic Projects</t>
  </si>
  <si>
    <t>Paid off on May'22 to USM</t>
  </si>
  <si>
    <t>Auxiliary Projects</t>
  </si>
  <si>
    <t xml:space="preserve">    Debt Svc from Earnings/Interest/Plant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</si>
</sst>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mm/dd/yy"/>
  </numFmts>
  <fonts count="3" x14ac:knownFonts="1">
    <font>
      <sz val="10"/>
      <name val="Arial"/>
    </font>
    <font>
      <sz val="10"/>
      <name val="Arial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3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left"/>
    </xf>
    <xf numFmtId="3" fontId="0" fillId="0" borderId="4" xfId="0" applyNumberFormat="1" applyBorder="1"/>
    <xf numFmtId="3" fontId="0" fillId="0" borderId="5" xfId="0" applyNumberFormat="1" applyBorder="1"/>
    <xf numFmtId="165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4" xfId="0" applyNumberFormat="1" applyBorder="1"/>
    <xf numFmtId="38" fontId="0" fillId="0" borderId="0" xfId="0" applyNumberFormat="1"/>
    <xf numFmtId="38" fontId="0" fillId="0" borderId="0" xfId="0" applyNumberFormat="1" applyAlignment="1">
      <alignment horizontal="right"/>
    </xf>
    <xf numFmtId="38" fontId="0" fillId="0" borderId="1" xfId="0" quotePrefix="1" applyNumberFormat="1" applyBorder="1" applyAlignment="1">
      <alignment horizontal="left"/>
    </xf>
    <xf numFmtId="38" fontId="0" fillId="0" borderId="4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left"/>
    </xf>
    <xf numFmtId="38" fontId="0" fillId="0" borderId="0" xfId="0" quotePrefix="1" applyNumberFormat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/>
    <xf numFmtId="38" fontId="0" fillId="2" borderId="4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164" fontId="0" fillId="0" borderId="10" xfId="0" applyNumberFormat="1" applyBorder="1"/>
    <xf numFmtId="3" fontId="0" fillId="0" borderId="0" xfId="0" applyNumberFormat="1" applyAlignment="1">
      <alignment horizontal="center"/>
    </xf>
    <xf numFmtId="164" fontId="0" fillId="0" borderId="11" xfId="0" applyNumberFormat="1" applyBorder="1"/>
    <xf numFmtId="38" fontId="0" fillId="0" borderId="10" xfId="0" applyNumberFormat="1" applyBorder="1" applyAlignment="1">
      <alignment horizontal="right"/>
    </xf>
    <xf numFmtId="164" fontId="0" fillId="0" borderId="1" xfId="0" quotePrefix="1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2" xfId="0" applyNumberFormat="1" applyBorder="1"/>
    <xf numFmtId="3" fontId="0" fillId="0" borderId="2" xfId="0" applyNumberFormat="1" applyBorder="1"/>
    <xf numFmtId="38" fontId="1" fillId="0" borderId="1" xfId="0" quotePrefix="1" applyNumberFormat="1" applyFont="1" applyBorder="1" applyAlignment="1">
      <alignment horizontal="left"/>
    </xf>
    <xf numFmtId="38" fontId="0" fillId="0" borderId="12" xfId="0" applyNumberFormat="1" applyBorder="1" applyAlignment="1">
      <alignment horizontal="right"/>
    </xf>
    <xf numFmtId="38" fontId="1" fillId="0" borderId="4" xfId="0" applyNumberFormat="1" applyFont="1" applyBorder="1" applyAlignment="1">
      <alignment horizontal="left"/>
    </xf>
    <xf numFmtId="38" fontId="1" fillId="2" borderId="1" xfId="0" quotePrefix="1" applyNumberFormat="1" applyFont="1" applyFill="1" applyBorder="1" applyAlignment="1">
      <alignment horizontal="left"/>
    </xf>
    <xf numFmtId="38" fontId="1" fillId="0" borderId="0" xfId="0" applyNumberFormat="1" applyFont="1" applyAlignment="1">
      <alignment horizontal="left"/>
    </xf>
    <xf numFmtId="38" fontId="0" fillId="0" borderId="0" xfId="0" applyNumberFormat="1" applyAlignment="1">
      <alignment horizontal="center"/>
    </xf>
    <xf numFmtId="38" fontId="1" fillId="0" borderId="0" xfId="0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3" fontId="0" fillId="0" borderId="10" xfId="0" applyNumberFormat="1" applyBorder="1"/>
    <xf numFmtId="164" fontId="0" fillId="0" borderId="12" xfId="0" applyNumberFormat="1" applyBorder="1"/>
    <xf numFmtId="164" fontId="2" fillId="0" borderId="1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D245-BBD4-484D-A2E1-8CFD3168FA17}">
  <sheetPr>
    <tabColor rgb="FF92D050"/>
  </sheetPr>
  <dimension ref="A1:DY89"/>
  <sheetViews>
    <sheetView tabSelected="1" zoomScale="130" zoomScaleNormal="130"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A54" sqref="A54"/>
    </sheetView>
  </sheetViews>
  <sheetFormatPr defaultColWidth="13.7109375" defaultRowHeight="12.75" x14ac:dyDescent="0.2"/>
  <cols>
    <col min="1" max="1" width="13.85546875" style="11" customWidth="1"/>
    <col min="2" max="2" width="3.7109375" customWidth="1"/>
    <col min="3" max="13" width="13.7109375" style="14"/>
    <col min="14" max="14" width="3.7109375" style="13" customWidth="1"/>
    <col min="15" max="17" width="13.7109375" style="13"/>
    <col min="18" max="18" width="3.7109375" style="13" customWidth="1"/>
    <col min="22" max="22" width="3.7109375" style="13" customWidth="1"/>
    <col min="26" max="26" width="3.7109375" style="13" customWidth="1"/>
    <col min="30" max="30" width="3.7109375" style="13" customWidth="1"/>
    <col min="31" max="33" width="13.7109375" style="13"/>
    <col min="34" max="34" width="3.7109375" style="13" customWidth="1"/>
    <col min="38" max="38" width="3.7109375" style="13" customWidth="1"/>
    <col min="42" max="42" width="3.7109375" style="2" customWidth="1"/>
    <col min="46" max="46" width="3.7109375" style="2" customWidth="1"/>
    <col min="47" max="49" width="13.7109375" style="2"/>
    <col min="50" max="50" width="3.7109375" style="2" customWidth="1"/>
    <col min="51" max="53" width="12.7109375" style="2" customWidth="1"/>
    <col min="54" max="54" width="3.7109375" style="2" customWidth="1"/>
    <col min="55" max="57" width="13.7109375" style="2"/>
    <col min="58" max="58" width="3.7109375" style="2" customWidth="1"/>
    <col min="59" max="61" width="13.7109375" style="2"/>
    <col min="62" max="62" width="3.7109375" style="2" customWidth="1"/>
    <col min="63" max="65" width="13.7109375" style="2"/>
    <col min="66" max="66" width="3.7109375" style="2" customWidth="1"/>
    <col min="67" max="69" width="13.7109375" style="2"/>
    <col min="70" max="70" width="3.7109375" style="2" customWidth="1"/>
    <col min="71" max="73" width="13.7109375" style="2"/>
    <col min="74" max="74" width="3.7109375" style="2" customWidth="1"/>
    <col min="75" max="77" width="12.7109375" style="2" customWidth="1"/>
    <col min="78" max="78" width="3.7109375" style="2" customWidth="1"/>
    <col min="79" max="81" width="13.7109375" style="2"/>
    <col min="82" max="82" width="3.7109375" style="2" customWidth="1"/>
    <col min="83" max="85" width="13.7109375" style="2"/>
    <col min="86" max="86" width="3.7109375" style="2" customWidth="1"/>
    <col min="87" max="89" width="13.7109375" style="2"/>
    <col min="90" max="90" width="3.7109375" style="2" customWidth="1"/>
    <col min="91" max="93" width="13.7109375" style="2"/>
    <col min="94" max="94" width="3.7109375" style="2" customWidth="1"/>
    <col min="95" max="97" width="13.7109375" style="2"/>
    <col min="98" max="98" width="3.7109375" style="2" customWidth="1"/>
    <col min="99" max="101" width="13.7109375" style="2"/>
    <col min="102" max="102" width="3.7109375" style="2" customWidth="1"/>
    <col min="103" max="105" width="13.7109375" style="2"/>
    <col min="106" max="106" width="3.7109375" style="2" customWidth="1"/>
    <col min="107" max="109" width="13.7109375" style="2"/>
    <col min="110" max="110" width="3.7109375" style="2" customWidth="1"/>
    <col min="111" max="113" width="13.7109375" style="2"/>
    <col min="114" max="114" width="3.7109375" style="2" customWidth="1"/>
    <col min="115" max="117" width="13.7109375" style="2"/>
    <col min="118" max="118" width="3.7109375" style="2" customWidth="1"/>
    <col min="119" max="121" width="13.7109375" style="2"/>
    <col min="122" max="122" width="3.7109375" style="2" customWidth="1"/>
    <col min="123" max="125" width="13.7109375" style="2"/>
    <col min="126" max="126" width="3.7109375" customWidth="1"/>
    <col min="127" max="129" width="13.7109375" style="2"/>
  </cols>
  <sheetData>
    <row r="1" spans="1:129" x14ac:dyDescent="0.2">
      <c r="B1" s="10"/>
      <c r="D1" s="20"/>
      <c r="E1" s="20"/>
      <c r="F1" s="20" t="s">
        <v>32</v>
      </c>
      <c r="K1" s="20"/>
      <c r="L1" s="20"/>
      <c r="O1" s="20"/>
      <c r="S1" s="20" t="s">
        <v>32</v>
      </c>
      <c r="W1" s="20"/>
      <c r="AA1" s="20"/>
      <c r="AE1" s="20" t="s">
        <v>32</v>
      </c>
      <c r="AI1" s="20"/>
      <c r="AM1" s="20"/>
      <c r="AQ1" s="20" t="s">
        <v>32</v>
      </c>
      <c r="AY1" s="20"/>
      <c r="BC1" s="20" t="s">
        <v>32</v>
      </c>
      <c r="BK1" s="20"/>
      <c r="BO1" s="20" t="s">
        <v>32</v>
      </c>
      <c r="BS1" s="20"/>
      <c r="CA1" s="20" t="s">
        <v>32</v>
      </c>
      <c r="CE1" s="20"/>
      <c r="CM1" s="20" t="s">
        <v>32</v>
      </c>
      <c r="CY1" s="20" t="s">
        <v>32</v>
      </c>
      <c r="DC1" s="20"/>
      <c r="DK1" s="20" t="s">
        <v>32</v>
      </c>
      <c r="DO1" s="20"/>
      <c r="DW1" s="20" t="s">
        <v>32</v>
      </c>
    </row>
    <row r="2" spans="1:129" x14ac:dyDescent="0.2">
      <c r="B2" s="10"/>
      <c r="D2" s="20"/>
      <c r="F2" s="41" t="s">
        <v>40</v>
      </c>
      <c r="K2" s="20"/>
      <c r="L2" s="20"/>
      <c r="O2" s="20"/>
      <c r="S2" s="41" t="s">
        <v>40</v>
      </c>
      <c r="W2" s="20"/>
      <c r="AA2" s="20"/>
      <c r="AE2" s="41" t="s">
        <v>40</v>
      </c>
      <c r="AI2" s="20"/>
      <c r="AM2" s="20"/>
      <c r="AQ2" s="41" t="s">
        <v>40</v>
      </c>
      <c r="AY2" s="20"/>
      <c r="BC2" s="41" t="s">
        <v>40</v>
      </c>
      <c r="BK2" s="20"/>
      <c r="BO2" s="41" t="s">
        <v>40</v>
      </c>
      <c r="BS2" s="20"/>
      <c r="CA2" s="41" t="s">
        <v>40</v>
      </c>
      <c r="CE2" s="20"/>
      <c r="CM2" s="41" t="s">
        <v>40</v>
      </c>
      <c r="CY2" s="41" t="s">
        <v>40</v>
      </c>
      <c r="DC2" s="20"/>
      <c r="DK2" s="41" t="s">
        <v>40</v>
      </c>
      <c r="DO2" s="20"/>
      <c r="DW2" s="41" t="s">
        <v>40</v>
      </c>
    </row>
    <row r="3" spans="1:129" x14ac:dyDescent="0.2">
      <c r="B3" s="10"/>
      <c r="D3" s="19"/>
      <c r="E3" s="19"/>
      <c r="F3" s="20" t="s">
        <v>31</v>
      </c>
      <c r="K3" s="19"/>
      <c r="L3" s="19"/>
      <c r="O3" s="20"/>
      <c r="S3" s="20" t="s">
        <v>31</v>
      </c>
      <c r="T3" s="1"/>
      <c r="W3" s="20"/>
      <c r="AA3" s="20"/>
      <c r="AE3" s="20" t="s">
        <v>31</v>
      </c>
      <c r="AI3" s="20"/>
      <c r="AM3" s="20"/>
      <c r="AQ3" s="20" t="s">
        <v>31</v>
      </c>
      <c r="AY3" s="20"/>
      <c r="BC3" s="20" t="s">
        <v>31</v>
      </c>
      <c r="BK3" s="20"/>
      <c r="BO3" s="20" t="s">
        <v>31</v>
      </c>
      <c r="BS3" s="20"/>
      <c r="CA3" s="20" t="s">
        <v>31</v>
      </c>
      <c r="CE3" s="20"/>
      <c r="CM3" s="20" t="s">
        <v>31</v>
      </c>
      <c r="CY3" s="20" t="s">
        <v>31</v>
      </c>
      <c r="DC3" s="20"/>
      <c r="DK3" s="20" t="s">
        <v>31</v>
      </c>
      <c r="DO3" s="20"/>
      <c r="DW3" s="20" t="s">
        <v>31</v>
      </c>
    </row>
    <row r="4" spans="1:129" x14ac:dyDescent="0.2">
      <c r="B4" s="10"/>
      <c r="C4" s="19"/>
      <c r="D4" s="20"/>
      <c r="E4" s="20"/>
      <c r="F4" s="20"/>
      <c r="G4" s="20"/>
      <c r="H4" s="20"/>
      <c r="I4" s="20"/>
      <c r="J4" s="20"/>
      <c r="K4" s="20"/>
      <c r="L4" s="20"/>
    </row>
    <row r="5" spans="1:129" x14ac:dyDescent="0.2">
      <c r="A5" s="3" t="s">
        <v>1</v>
      </c>
      <c r="C5" s="40" t="s">
        <v>38</v>
      </c>
      <c r="D5" s="23"/>
      <c r="E5" s="23"/>
      <c r="F5" s="23"/>
      <c r="G5" s="23"/>
      <c r="H5" s="23"/>
      <c r="I5" s="23"/>
      <c r="J5" s="23"/>
      <c r="K5" s="23"/>
      <c r="L5" s="23"/>
      <c r="M5" s="24"/>
      <c r="O5" s="15" t="s">
        <v>33</v>
      </c>
      <c r="P5" s="30"/>
      <c r="Q5" s="17"/>
      <c r="S5" s="15" t="s">
        <v>34</v>
      </c>
      <c r="T5" s="16"/>
      <c r="U5" s="17"/>
      <c r="W5" s="4" t="s">
        <v>19</v>
      </c>
      <c r="X5" s="5"/>
      <c r="Y5" s="6"/>
      <c r="AA5" s="4" t="s">
        <v>11</v>
      </c>
      <c r="AB5" s="5"/>
      <c r="AC5" s="6"/>
      <c r="AE5" s="4" t="s">
        <v>20</v>
      </c>
      <c r="AF5" s="5"/>
      <c r="AG5" s="6"/>
      <c r="AI5" s="4" t="s">
        <v>16</v>
      </c>
      <c r="AJ5" s="5"/>
      <c r="AK5" s="6"/>
      <c r="AM5" s="4" t="s">
        <v>5</v>
      </c>
      <c r="AN5" s="5"/>
      <c r="AO5" s="6"/>
      <c r="AQ5" s="4" t="s">
        <v>17</v>
      </c>
      <c r="AR5" s="5"/>
      <c r="AS5" s="6"/>
      <c r="AU5" s="4" t="s">
        <v>21</v>
      </c>
      <c r="AV5" s="5"/>
      <c r="AW5" s="6"/>
      <c r="AY5" s="4" t="s">
        <v>23</v>
      </c>
      <c r="AZ5" s="5"/>
      <c r="BA5" s="6"/>
      <c r="BC5" s="4" t="s">
        <v>6</v>
      </c>
      <c r="BD5" s="5"/>
      <c r="BE5" s="6"/>
      <c r="BG5" s="4" t="s">
        <v>26</v>
      </c>
      <c r="BH5" s="5"/>
      <c r="BI5" s="6"/>
      <c r="BK5" s="4" t="s">
        <v>25</v>
      </c>
      <c r="BL5" s="45"/>
      <c r="BM5" s="6"/>
      <c r="BO5" s="4" t="s">
        <v>27</v>
      </c>
      <c r="BP5" s="5"/>
      <c r="BQ5" s="6"/>
      <c r="BS5" s="4" t="s">
        <v>12</v>
      </c>
      <c r="BT5" s="5"/>
      <c r="BU5" s="6"/>
      <c r="BW5" s="4" t="s">
        <v>13</v>
      </c>
      <c r="BX5" s="5"/>
      <c r="BY5" s="6"/>
      <c r="CA5" s="4" t="s">
        <v>14</v>
      </c>
      <c r="CB5" s="5"/>
      <c r="CC5" s="6"/>
      <c r="CE5" s="4" t="s">
        <v>22</v>
      </c>
      <c r="CF5" s="5"/>
      <c r="CG5" s="6"/>
      <c r="CI5" s="4" t="s">
        <v>15</v>
      </c>
      <c r="CJ5" s="5"/>
      <c r="CK5" s="6"/>
      <c r="CM5" s="4" t="s">
        <v>28</v>
      </c>
      <c r="CN5" s="5"/>
      <c r="CO5" s="6"/>
      <c r="CQ5" s="26" t="s">
        <v>29</v>
      </c>
      <c r="CR5" s="5"/>
      <c r="CS5" s="6"/>
      <c r="CU5" s="4" t="s">
        <v>30</v>
      </c>
      <c r="CV5" s="5"/>
      <c r="CW5" s="6"/>
      <c r="CY5" s="4" t="s">
        <v>8</v>
      </c>
      <c r="CZ5" s="5"/>
      <c r="DA5" s="6"/>
      <c r="DC5" s="4" t="s">
        <v>9</v>
      </c>
      <c r="DD5" s="5"/>
      <c r="DE5" s="6"/>
      <c r="DG5" s="4" t="s">
        <v>18</v>
      </c>
      <c r="DH5" s="5"/>
      <c r="DI5" s="6"/>
      <c r="DK5" s="4" t="s">
        <v>10</v>
      </c>
      <c r="DL5" s="5"/>
      <c r="DM5" s="6"/>
      <c r="DO5" s="4" t="s">
        <v>24</v>
      </c>
      <c r="DP5" s="5"/>
      <c r="DQ5" s="6"/>
      <c r="DS5" s="26" t="s">
        <v>45</v>
      </c>
      <c r="DT5" s="5"/>
      <c r="DU5" s="6"/>
      <c r="DW5" s="26" t="s">
        <v>45</v>
      </c>
      <c r="DX5" s="5"/>
      <c r="DY5" s="6"/>
    </row>
    <row r="6" spans="1:129" s="1" customFormat="1" x14ac:dyDescent="0.2">
      <c r="A6" s="21" t="s">
        <v>2</v>
      </c>
      <c r="C6" s="37" t="s">
        <v>35</v>
      </c>
      <c r="D6" s="38"/>
      <c r="E6" s="39" t="s">
        <v>37</v>
      </c>
      <c r="F6" s="16"/>
      <c r="G6" s="37" t="s">
        <v>36</v>
      </c>
      <c r="H6" s="38"/>
      <c r="I6" s="39" t="s">
        <v>41</v>
      </c>
      <c r="J6" s="38"/>
      <c r="K6" s="16"/>
      <c r="L6" s="39" t="s">
        <v>39</v>
      </c>
      <c r="M6" s="17"/>
      <c r="N6" s="13"/>
      <c r="O6" s="29"/>
      <c r="P6" s="27">
        <v>0.32155349999999999</v>
      </c>
      <c r="Q6" s="33"/>
      <c r="R6" s="13"/>
      <c r="S6" s="29"/>
      <c r="T6" s="32">
        <f>X6+AB6+AF6+AJ6+AN6+AR6+AV6+AZ6+BD6+BH6+BM6+BP6+BT6+BX6+CB6+CF6+CJ6+CN6+CR6+CV6+CZ6+DD6+DH6+DL6+DP6</f>
        <v>0.67844650000000006</v>
      </c>
      <c r="U6" s="33"/>
      <c r="V6" s="13"/>
      <c r="W6" s="31"/>
      <c r="X6" s="12">
        <v>5.5016500000000003E-2</v>
      </c>
      <c r="Y6" s="33"/>
      <c r="Z6" s="13"/>
      <c r="AA6" s="31"/>
      <c r="AB6" s="12">
        <v>6.7163299999999995E-2</v>
      </c>
      <c r="AC6" s="33"/>
      <c r="AD6" s="13"/>
      <c r="AE6" s="31"/>
      <c r="AF6" s="12">
        <v>2.4590000000000001E-4</v>
      </c>
      <c r="AG6" s="33"/>
      <c r="AH6" s="13"/>
      <c r="AI6" s="31"/>
      <c r="AJ6" s="12">
        <v>1.4516100000000001E-2</v>
      </c>
      <c r="AK6" s="33"/>
      <c r="AL6" s="13"/>
      <c r="AM6" s="31"/>
      <c r="AN6" s="12">
        <v>6.6792500000000005E-2</v>
      </c>
      <c r="AO6" s="33"/>
      <c r="AQ6" s="31"/>
      <c r="AR6" s="12">
        <v>1.05296E-2</v>
      </c>
      <c r="AS6" s="33"/>
      <c r="AU6" s="31"/>
      <c r="AV6" s="12">
        <v>5.8489999999999996E-4</v>
      </c>
      <c r="AW6" s="33"/>
      <c r="AY6" s="31"/>
      <c r="AZ6" s="12">
        <v>6.7372999999999999E-3</v>
      </c>
      <c r="BA6" s="33"/>
      <c r="BC6" s="31"/>
      <c r="BD6" s="12">
        <v>9.4185999999999992E-3</v>
      </c>
      <c r="BE6" s="33"/>
      <c r="BG6" s="31"/>
      <c r="BH6" s="12">
        <v>1.3175999999999999E-3</v>
      </c>
      <c r="BI6" s="33"/>
      <c r="BK6" s="47" t="s">
        <v>43</v>
      </c>
      <c r="BM6" s="46">
        <v>6.8447999999999998E-3</v>
      </c>
      <c r="BO6" s="31"/>
      <c r="BP6" s="12">
        <v>3.8900000000000002E-4</v>
      </c>
      <c r="BQ6" s="33"/>
      <c r="BS6" s="31"/>
      <c r="BT6" s="12">
        <v>1.3749000000000001E-3</v>
      </c>
      <c r="BU6" s="33"/>
      <c r="BW6" s="31"/>
      <c r="BX6" s="12">
        <v>4.9976999999999999E-3</v>
      </c>
      <c r="BY6" s="33"/>
      <c r="CA6" s="31"/>
      <c r="CB6" s="12">
        <v>3.4129600000000003E-2</v>
      </c>
      <c r="CC6" s="33"/>
      <c r="CE6" s="31"/>
      <c r="CF6" s="12">
        <v>0.14125109999999999</v>
      </c>
      <c r="CG6" s="33"/>
      <c r="CI6" s="31"/>
      <c r="CJ6" s="12">
        <v>2.5966800000000002E-2</v>
      </c>
      <c r="CK6" s="33"/>
      <c r="CM6" s="31"/>
      <c r="CN6" s="12">
        <v>8.8901900000000006E-2</v>
      </c>
      <c r="CO6" s="33"/>
      <c r="CQ6" s="31"/>
      <c r="CR6" s="12">
        <v>1.8954499999999999E-2</v>
      </c>
      <c r="CS6" s="33"/>
      <c r="CU6" s="31"/>
      <c r="CV6" s="12">
        <v>1.5441999999999999E-3</v>
      </c>
      <c r="CW6" s="33"/>
      <c r="CY6" s="31"/>
      <c r="CZ6" s="12">
        <v>1.8416999999999999E-3</v>
      </c>
      <c r="DA6" s="33"/>
      <c r="DC6" s="31"/>
      <c r="DD6" s="12">
        <v>3.7561999999999999E-3</v>
      </c>
      <c r="DE6" s="33"/>
      <c r="DG6" s="31"/>
      <c r="DH6" s="12">
        <v>0.1035336</v>
      </c>
      <c r="DI6" s="33"/>
      <c r="DK6" s="31"/>
      <c r="DL6" s="12">
        <v>4.0210000000000003E-3</v>
      </c>
      <c r="DM6" s="33"/>
      <c r="DO6" s="31"/>
      <c r="DP6" s="12">
        <v>8.6172000000000002E-3</v>
      </c>
      <c r="DQ6" s="33"/>
      <c r="DS6" s="31"/>
      <c r="DT6" s="12" t="s">
        <v>44</v>
      </c>
      <c r="DU6" s="22"/>
      <c r="DW6" s="31"/>
      <c r="DX6" s="12" t="s">
        <v>42</v>
      </c>
      <c r="DY6" s="22"/>
    </row>
    <row r="7" spans="1:129" x14ac:dyDescent="0.2">
      <c r="A7" s="7"/>
      <c r="C7" s="18" t="s">
        <v>3</v>
      </c>
      <c r="D7" s="18" t="s">
        <v>4</v>
      </c>
      <c r="E7" s="18" t="s">
        <v>3</v>
      </c>
      <c r="F7" s="18" t="s">
        <v>4</v>
      </c>
      <c r="G7" s="18" t="s">
        <v>3</v>
      </c>
      <c r="H7" s="18" t="s">
        <v>4</v>
      </c>
      <c r="I7" s="18" t="s">
        <v>3</v>
      </c>
      <c r="J7" s="18" t="s">
        <v>4</v>
      </c>
      <c r="K7" s="18" t="s">
        <v>3</v>
      </c>
      <c r="L7" s="18" t="s">
        <v>4</v>
      </c>
      <c r="M7" s="18" t="s">
        <v>0</v>
      </c>
      <c r="O7" s="18" t="s">
        <v>3</v>
      </c>
      <c r="P7" s="18" t="s">
        <v>4</v>
      </c>
      <c r="Q7" s="18" t="s">
        <v>0</v>
      </c>
      <c r="S7" s="18" t="s">
        <v>3</v>
      </c>
      <c r="T7" s="18" t="s">
        <v>4</v>
      </c>
      <c r="U7" s="18" t="s">
        <v>0</v>
      </c>
      <c r="W7" s="8" t="s">
        <v>3</v>
      </c>
      <c r="X7" s="8" t="s">
        <v>4</v>
      </c>
      <c r="Y7" s="8" t="s">
        <v>0</v>
      </c>
      <c r="AA7" s="8" t="s">
        <v>3</v>
      </c>
      <c r="AB7" s="8" t="s">
        <v>4</v>
      </c>
      <c r="AC7" s="8" t="s">
        <v>0</v>
      </c>
      <c r="AE7" s="8" t="s">
        <v>3</v>
      </c>
      <c r="AF7" s="8" t="s">
        <v>4</v>
      </c>
      <c r="AG7" s="8" t="s">
        <v>0</v>
      </c>
      <c r="AI7" s="8" t="s">
        <v>3</v>
      </c>
      <c r="AJ7" s="8" t="s">
        <v>4</v>
      </c>
      <c r="AK7" s="8" t="s">
        <v>0</v>
      </c>
      <c r="AM7" s="8" t="s">
        <v>3</v>
      </c>
      <c r="AN7" s="8" t="s">
        <v>4</v>
      </c>
      <c r="AO7" s="8" t="s">
        <v>0</v>
      </c>
      <c r="AQ7" s="8" t="s">
        <v>3</v>
      </c>
      <c r="AR7" s="8" t="s">
        <v>4</v>
      </c>
      <c r="AS7" s="8" t="s">
        <v>0</v>
      </c>
      <c r="AU7" s="8" t="s">
        <v>3</v>
      </c>
      <c r="AV7" s="8" t="s">
        <v>4</v>
      </c>
      <c r="AW7" s="8" t="s">
        <v>0</v>
      </c>
      <c r="AY7" s="8" t="s">
        <v>3</v>
      </c>
      <c r="AZ7" s="8" t="s">
        <v>4</v>
      </c>
      <c r="BA7" s="8" t="s">
        <v>0</v>
      </c>
      <c r="BC7" s="8" t="s">
        <v>3</v>
      </c>
      <c r="BD7" s="8" t="s">
        <v>4</v>
      </c>
      <c r="BE7" s="8" t="s">
        <v>0</v>
      </c>
      <c r="BG7" s="8" t="s">
        <v>3</v>
      </c>
      <c r="BH7" s="8" t="s">
        <v>4</v>
      </c>
      <c r="BI7" s="8" t="s">
        <v>0</v>
      </c>
      <c r="BK7" s="8" t="s">
        <v>3</v>
      </c>
      <c r="BL7" s="8" t="s">
        <v>4</v>
      </c>
      <c r="BM7" s="8" t="s">
        <v>0</v>
      </c>
      <c r="BO7" s="8" t="s">
        <v>3</v>
      </c>
      <c r="BP7" s="8" t="s">
        <v>4</v>
      </c>
      <c r="BQ7" s="8" t="s">
        <v>0</v>
      </c>
      <c r="BS7" s="8" t="s">
        <v>3</v>
      </c>
      <c r="BT7" s="8" t="s">
        <v>4</v>
      </c>
      <c r="BU7" s="8" t="s">
        <v>0</v>
      </c>
      <c r="BW7" s="8" t="s">
        <v>3</v>
      </c>
      <c r="BX7" s="8" t="s">
        <v>4</v>
      </c>
      <c r="BY7" s="8" t="s">
        <v>0</v>
      </c>
      <c r="CA7" s="8" t="s">
        <v>3</v>
      </c>
      <c r="CB7" s="8" t="s">
        <v>4</v>
      </c>
      <c r="CC7" s="8" t="s">
        <v>0</v>
      </c>
      <c r="CE7" s="8" t="s">
        <v>3</v>
      </c>
      <c r="CF7" s="8" t="s">
        <v>4</v>
      </c>
      <c r="CG7" s="8" t="s">
        <v>0</v>
      </c>
      <c r="CI7" s="8" t="s">
        <v>3</v>
      </c>
      <c r="CJ7" s="8" t="s">
        <v>4</v>
      </c>
      <c r="CK7" s="8" t="s">
        <v>0</v>
      </c>
      <c r="CM7" s="8" t="s">
        <v>3</v>
      </c>
      <c r="CN7" s="8" t="s">
        <v>4</v>
      </c>
      <c r="CO7" s="8" t="s">
        <v>0</v>
      </c>
      <c r="CQ7" s="8" t="s">
        <v>3</v>
      </c>
      <c r="CR7" s="8" t="s">
        <v>4</v>
      </c>
      <c r="CS7" s="8" t="s">
        <v>0</v>
      </c>
      <c r="CU7" s="8" t="s">
        <v>3</v>
      </c>
      <c r="CV7" s="8" t="s">
        <v>4</v>
      </c>
      <c r="CW7" s="8" t="s">
        <v>0</v>
      </c>
      <c r="CY7" s="8" t="s">
        <v>3</v>
      </c>
      <c r="CZ7" s="8" t="s">
        <v>4</v>
      </c>
      <c r="DA7" s="8" t="s">
        <v>0</v>
      </c>
      <c r="DC7" s="8" t="s">
        <v>3</v>
      </c>
      <c r="DD7" s="8" t="s">
        <v>4</v>
      </c>
      <c r="DE7" s="8" t="s">
        <v>0</v>
      </c>
      <c r="DG7" s="8" t="s">
        <v>3</v>
      </c>
      <c r="DH7" s="8" t="s">
        <v>4</v>
      </c>
      <c r="DI7" s="8" t="s">
        <v>0</v>
      </c>
      <c r="DJ7" s="28"/>
      <c r="DK7" s="8" t="s">
        <v>3</v>
      </c>
      <c r="DL7" s="8" t="s">
        <v>4</v>
      </c>
      <c r="DM7" s="8" t="s">
        <v>0</v>
      </c>
      <c r="DO7" s="8" t="s">
        <v>3</v>
      </c>
      <c r="DP7" s="8" t="s">
        <v>4</v>
      </c>
      <c r="DQ7" s="8" t="s">
        <v>0</v>
      </c>
      <c r="DS7" s="8" t="s">
        <v>3</v>
      </c>
      <c r="DT7" s="8" t="s">
        <v>4</v>
      </c>
      <c r="DU7" s="8" t="s">
        <v>0</v>
      </c>
      <c r="DW7" s="8" t="s">
        <v>3</v>
      </c>
      <c r="DX7" s="8" t="s">
        <v>4</v>
      </c>
      <c r="DY7" s="8" t="s">
        <v>0</v>
      </c>
    </row>
    <row r="8" spans="1:129" x14ac:dyDescent="0.2">
      <c r="A8" s="11">
        <v>40087</v>
      </c>
      <c r="D8" s="14">
        <v>644944</v>
      </c>
      <c r="H8" s="14">
        <v>442293</v>
      </c>
      <c r="L8" s="14">
        <f>D8+H8+F8+J8</f>
        <v>1087237</v>
      </c>
      <c r="M8" s="14">
        <f>K8+L8</f>
        <v>1087237</v>
      </c>
      <c r="P8" s="13">
        <v>0</v>
      </c>
      <c r="Q8" s="13">
        <f>O8+P8</f>
        <v>0</v>
      </c>
      <c r="S8" s="13"/>
      <c r="T8" s="14">
        <f>X8+AB8+AF8+AJ8+AN8+AR8+AV8+AZ8+BD8+BL8+BT8+BX8+CB8+CF8+CJ8+CZ8+DD8+DH8+DL8+DP8+DT8+BH8+BP8+CN8+CR8+CV8</f>
        <v>1087236</v>
      </c>
      <c r="U8" s="13">
        <f>S8+T8</f>
        <v>1087236</v>
      </c>
      <c r="W8" s="2"/>
      <c r="X8" s="2">
        <v>25267</v>
      </c>
      <c r="Y8" s="2">
        <f>W8+X8</f>
        <v>25267</v>
      </c>
      <c r="AA8" s="2"/>
      <c r="AB8" s="2">
        <v>4930</v>
      </c>
      <c r="AC8" s="2">
        <f>AA8+AB8</f>
        <v>4930</v>
      </c>
      <c r="AF8" s="13">
        <v>37</v>
      </c>
      <c r="AG8" s="13">
        <f>AE8+AF8</f>
        <v>37</v>
      </c>
      <c r="AI8" s="2"/>
      <c r="AJ8" s="2">
        <f>6877</f>
        <v>6877</v>
      </c>
      <c r="AK8" s="2">
        <f>AI8+AJ8</f>
        <v>6877</v>
      </c>
      <c r="AM8" s="2"/>
      <c r="AN8" s="2">
        <v>20780</v>
      </c>
      <c r="AO8" s="2">
        <f>AM8+AN8</f>
        <v>20780</v>
      </c>
      <c r="AP8" s="13"/>
      <c r="AQ8" s="2"/>
      <c r="AR8" s="2">
        <v>6427</v>
      </c>
      <c r="AS8" s="2">
        <f>AQ8+AR8</f>
        <v>6427</v>
      </c>
      <c r="AT8" s="13"/>
      <c r="AU8" s="13"/>
      <c r="AV8" s="13">
        <v>27</v>
      </c>
      <c r="AW8" s="13">
        <f>AU8+AV8</f>
        <v>27</v>
      </c>
      <c r="AX8" s="13"/>
      <c r="AY8" s="13"/>
      <c r="AZ8" s="13">
        <v>3262</v>
      </c>
      <c r="BA8" s="13">
        <f>AY8+AZ8</f>
        <v>3262</v>
      </c>
      <c r="BB8" s="13"/>
      <c r="BC8" s="13"/>
      <c r="BD8" s="13">
        <v>9407</v>
      </c>
      <c r="BE8" s="13">
        <f>BC8+BD8</f>
        <v>9407</v>
      </c>
      <c r="BF8" s="13"/>
      <c r="BG8" s="13"/>
      <c r="BH8" s="13">
        <v>0</v>
      </c>
      <c r="BI8" s="13">
        <f>BG8+BH8</f>
        <v>0</v>
      </c>
      <c r="BJ8" s="13"/>
      <c r="BK8" s="13"/>
      <c r="BL8" s="13">
        <v>0</v>
      </c>
      <c r="BM8" s="13">
        <f>BK8+BL8</f>
        <v>0</v>
      </c>
      <c r="BN8" s="13"/>
      <c r="BO8" s="13"/>
      <c r="BP8" s="13">
        <v>0</v>
      </c>
      <c r="BQ8" s="13">
        <f>BO8+BP8</f>
        <v>0</v>
      </c>
      <c r="BR8" s="13"/>
      <c r="BS8" s="13"/>
      <c r="BT8" s="13">
        <v>814</v>
      </c>
      <c r="BU8" s="13">
        <f>BS8+BT8</f>
        <v>814</v>
      </c>
      <c r="BV8" s="13"/>
      <c r="BW8" s="13"/>
      <c r="BX8" s="13">
        <v>456</v>
      </c>
      <c r="BY8" s="13">
        <f>BW8+BX8</f>
        <v>456</v>
      </c>
      <c r="BZ8" s="13"/>
      <c r="CA8" s="13"/>
      <c r="CB8" s="13">
        <v>2332</v>
      </c>
      <c r="CC8" s="13">
        <f>CA8+CB8</f>
        <v>2332</v>
      </c>
      <c r="CD8" s="13"/>
      <c r="CE8" s="13"/>
      <c r="CF8" s="13">
        <v>49704</v>
      </c>
      <c r="CG8" s="13">
        <f>CE8+CF8</f>
        <v>49704</v>
      </c>
      <c r="CH8" s="13"/>
      <c r="CI8" s="13"/>
      <c r="CJ8" s="13">
        <v>0</v>
      </c>
      <c r="CK8" s="13">
        <f>CI8+CJ8</f>
        <v>0</v>
      </c>
      <c r="CL8" s="13"/>
      <c r="CM8" s="13"/>
      <c r="CN8" s="13">
        <v>0</v>
      </c>
      <c r="CO8" s="13">
        <f>CM8+CN8</f>
        <v>0</v>
      </c>
      <c r="CP8" s="13"/>
      <c r="CQ8" s="13"/>
      <c r="CR8" s="13">
        <v>0</v>
      </c>
      <c r="CS8" s="13">
        <f>CQ8+CR8</f>
        <v>0</v>
      </c>
      <c r="CT8" s="13"/>
      <c r="CU8" s="13"/>
      <c r="CV8" s="13">
        <v>0</v>
      </c>
      <c r="CW8" s="13">
        <f>CU8+CV8</f>
        <v>0</v>
      </c>
      <c r="CX8" s="13"/>
      <c r="CY8" s="13"/>
      <c r="CZ8" s="13">
        <v>1163</v>
      </c>
      <c r="DA8" s="13">
        <f>CY8+CZ8</f>
        <v>1163</v>
      </c>
      <c r="DB8" s="13"/>
      <c r="DC8" s="13"/>
      <c r="DD8" s="13">
        <v>0</v>
      </c>
      <c r="DE8" s="13">
        <f>DC8+DD8</f>
        <v>0</v>
      </c>
      <c r="DF8" s="13"/>
      <c r="DG8" s="13"/>
      <c r="DH8" s="13">
        <v>96</v>
      </c>
      <c r="DI8" s="13">
        <f>DG8+DH8</f>
        <v>96</v>
      </c>
      <c r="DJ8" s="13"/>
      <c r="DK8" s="13"/>
      <c r="DL8" s="13">
        <v>0</v>
      </c>
      <c r="DM8" s="13">
        <f>DK8+DL8</f>
        <v>0</v>
      </c>
      <c r="DN8" s="13"/>
      <c r="DO8" s="13"/>
      <c r="DP8" s="13">
        <v>0</v>
      </c>
      <c r="DQ8" s="13">
        <f>DO8+DP8</f>
        <v>0</v>
      </c>
      <c r="DR8" s="13"/>
      <c r="DS8" s="13"/>
      <c r="DT8" s="13">
        <f>513364+442293</f>
        <v>955657</v>
      </c>
      <c r="DU8" s="13">
        <f>DT8</f>
        <v>955657</v>
      </c>
      <c r="DW8" s="13"/>
      <c r="DX8" s="13"/>
      <c r="DY8" s="13">
        <f>DX8</f>
        <v>0</v>
      </c>
    </row>
    <row r="9" spans="1:129" x14ac:dyDescent="0.2">
      <c r="A9" s="11">
        <v>40269</v>
      </c>
      <c r="C9" s="14">
        <v>4180000</v>
      </c>
      <c r="D9" s="14">
        <v>1222000</v>
      </c>
      <c r="H9" s="14">
        <v>838030</v>
      </c>
      <c r="K9" s="14">
        <f>C9+G9+E9+I9</f>
        <v>4180000</v>
      </c>
      <c r="L9" s="14">
        <f t="shared" ref="L9:L47" si="0">D9+H9+F9+J9</f>
        <v>2060030</v>
      </c>
      <c r="M9" s="14">
        <f t="shared" ref="M9:M47" si="1">K9+L9</f>
        <v>6240030</v>
      </c>
      <c r="O9" s="13">
        <v>1480241</v>
      </c>
      <c r="P9" s="13">
        <v>482480</v>
      </c>
      <c r="Q9" s="13">
        <f>O9+P9</f>
        <v>1962721</v>
      </c>
      <c r="S9" s="13">
        <f>W9+AA9+AE9+AI9+AM9+AQ9+AU9+AY9+BC9+BK9+BS9+BW9+CA9+CE9+CI9+CY9+DC9+DG9+DK9+DO9+DS9+BG9+BO9+CM9+CQ9+CU9</f>
        <v>2699761</v>
      </c>
      <c r="T9" s="14">
        <f>X9+AB9+AF9+AJ9+AN9+AR9+AV9+AZ9+BD9+BL9+BT9+BX9+CB9+CF9+CJ9+CZ9+DD9+DH9+DL9+DP9+DT9+BH9+BP9+CN9+CR9+CV9</f>
        <v>1577550</v>
      </c>
      <c r="U9" s="13">
        <f>S9+T9</f>
        <v>4277311</v>
      </c>
      <c r="W9" s="2">
        <v>420982</v>
      </c>
      <c r="X9" s="2">
        <v>123072</v>
      </c>
      <c r="Y9" s="2">
        <f>W9+X9</f>
        <v>544054</v>
      </c>
      <c r="AA9" s="2">
        <v>216275</v>
      </c>
      <c r="AB9" s="2">
        <f>63227+9413</f>
        <v>72640</v>
      </c>
      <c r="AC9" s="2">
        <f>AA9+AB9</f>
        <v>288915</v>
      </c>
      <c r="AE9" s="13">
        <f>1631</f>
        <v>1631</v>
      </c>
      <c r="AF9" s="13">
        <f>477</f>
        <v>477</v>
      </c>
      <c r="AG9" s="13">
        <f>AE9+AF9</f>
        <v>2108</v>
      </c>
      <c r="AI9" s="2">
        <f>91533</f>
        <v>91533</v>
      </c>
      <c r="AJ9" s="2">
        <f>26759+637</f>
        <v>27396</v>
      </c>
      <c r="AK9" s="2">
        <f>AI9+AJ9</f>
        <v>118929</v>
      </c>
      <c r="AM9" s="2">
        <v>446315</v>
      </c>
      <c r="AN9" s="2">
        <f>130478+13697</f>
        <v>144175</v>
      </c>
      <c r="AO9" s="2">
        <f>AM9+AN9</f>
        <v>590490</v>
      </c>
      <c r="AP9" s="13"/>
      <c r="AQ9" s="2">
        <f>79688</f>
        <v>79688</v>
      </c>
      <c r="AR9" s="2">
        <f>23296</f>
        <v>23296</v>
      </c>
      <c r="AS9" s="2">
        <f>AQ9+AR9</f>
        <v>102984</v>
      </c>
      <c r="AT9" s="13"/>
      <c r="AU9" s="13">
        <f>3268</f>
        <v>3268</v>
      </c>
      <c r="AV9" s="13">
        <f>955</f>
        <v>955</v>
      </c>
      <c r="AW9" s="13">
        <f>AU9+AV9</f>
        <v>4223</v>
      </c>
      <c r="AX9" s="13"/>
      <c r="AY9" s="13">
        <f>48447</f>
        <v>48447</v>
      </c>
      <c r="AZ9" s="13">
        <f>14163</f>
        <v>14163</v>
      </c>
      <c r="BA9" s="13">
        <f>AY9+AZ9</f>
        <v>62610</v>
      </c>
      <c r="BB9" s="13"/>
      <c r="BC9" s="13">
        <f>41469</f>
        <v>41469</v>
      </c>
      <c r="BD9" s="13">
        <f>12123+124</f>
        <v>12247</v>
      </c>
      <c r="BE9" s="13">
        <f>BC9+BD9</f>
        <v>53716</v>
      </c>
      <c r="BF9" s="13"/>
      <c r="BG9" s="13">
        <v>0</v>
      </c>
      <c r="BH9" s="13">
        <v>0</v>
      </c>
      <c r="BI9" s="13">
        <f>BG9+BH9</f>
        <v>0</v>
      </c>
      <c r="BJ9" s="13"/>
      <c r="BK9" s="13">
        <f>50196</f>
        <v>50196</v>
      </c>
      <c r="BL9" s="13">
        <f>14674</f>
        <v>14674</v>
      </c>
      <c r="BM9" s="13">
        <f>BK9+BL9</f>
        <v>64870</v>
      </c>
      <c r="BN9" s="13"/>
      <c r="BO9" s="13">
        <v>0</v>
      </c>
      <c r="BP9" s="13">
        <v>0</v>
      </c>
      <c r="BQ9" s="13">
        <f>BO9+BP9</f>
        <v>0</v>
      </c>
      <c r="BR9" s="13"/>
      <c r="BS9" s="13">
        <v>9775</v>
      </c>
      <c r="BT9" s="13">
        <f>2858</f>
        <v>2858</v>
      </c>
      <c r="BU9" s="13">
        <f>BS9+BT9</f>
        <v>12633</v>
      </c>
      <c r="BV9" s="13"/>
      <c r="BW9" s="13">
        <f>15936</f>
        <v>15936</v>
      </c>
      <c r="BX9" s="13">
        <f>4659</f>
        <v>4659</v>
      </c>
      <c r="BY9" s="13">
        <f>BW9+BX9</f>
        <v>20595</v>
      </c>
      <c r="BZ9" s="13"/>
      <c r="CA9" s="13">
        <f>38851</f>
        <v>38851</v>
      </c>
      <c r="CB9" s="13">
        <f>11358+13683</f>
        <v>25041</v>
      </c>
      <c r="CC9" s="13">
        <f>CA9+CB9</f>
        <v>63892</v>
      </c>
      <c r="CD9" s="13"/>
      <c r="CE9" s="13">
        <v>745255</v>
      </c>
      <c r="CF9" s="13">
        <f>217871+16565</f>
        <v>234436</v>
      </c>
      <c r="CG9" s="13">
        <f>CE9+CF9</f>
        <v>979691</v>
      </c>
      <c r="CH9" s="13"/>
      <c r="CI9" s="13">
        <f>159251</f>
        <v>159251</v>
      </c>
      <c r="CJ9" s="13">
        <f>46556+241</f>
        <v>46797</v>
      </c>
      <c r="CK9" s="13">
        <f>CI9+CJ9</f>
        <v>206048</v>
      </c>
      <c r="CL9" s="13"/>
      <c r="CM9" s="13">
        <v>0</v>
      </c>
      <c r="CN9" s="13">
        <v>59814</v>
      </c>
      <c r="CO9" s="13">
        <f>CM9+CN9</f>
        <v>59814</v>
      </c>
      <c r="CP9" s="13"/>
      <c r="CQ9" s="13">
        <v>0</v>
      </c>
      <c r="CR9" s="13">
        <v>0</v>
      </c>
      <c r="CS9" s="13">
        <f>CQ9+CR9</f>
        <v>0</v>
      </c>
      <c r="CT9" s="13"/>
      <c r="CU9" s="13">
        <v>0</v>
      </c>
      <c r="CV9" s="13">
        <v>0</v>
      </c>
      <c r="CW9" s="13">
        <f>CU9+CV9</f>
        <v>0</v>
      </c>
      <c r="CX9" s="13"/>
      <c r="CY9" s="13">
        <f>14092</f>
        <v>14092</v>
      </c>
      <c r="CZ9" s="13">
        <f>4120</f>
        <v>4120</v>
      </c>
      <c r="DA9" s="13">
        <f>CY9+CZ9</f>
        <v>18212</v>
      </c>
      <c r="DB9" s="13"/>
      <c r="DC9" s="13">
        <f>2566</f>
        <v>2566</v>
      </c>
      <c r="DD9" s="13">
        <f>750</f>
        <v>750</v>
      </c>
      <c r="DE9" s="13">
        <f>DC9+DD9</f>
        <v>3316</v>
      </c>
      <c r="DF9" s="13"/>
      <c r="DG9" s="13">
        <v>308520</v>
      </c>
      <c r="DH9" s="13">
        <f>90194+43189</f>
        <v>133383</v>
      </c>
      <c r="DI9" s="13">
        <f>DG9+DH9</f>
        <v>441903</v>
      </c>
      <c r="DJ9" s="13"/>
      <c r="DK9" s="13">
        <v>5697</v>
      </c>
      <c r="DL9" s="13">
        <f>1665+23</f>
        <v>1688</v>
      </c>
      <c r="DM9" s="13">
        <f>DK9+DL9</f>
        <v>7385</v>
      </c>
      <c r="DN9" s="13"/>
      <c r="DO9" s="13">
        <v>14</v>
      </c>
      <c r="DP9" s="13">
        <f>4+6280</f>
        <v>6284</v>
      </c>
      <c r="DQ9" s="13">
        <f>DO9+DP9</f>
        <v>6298</v>
      </c>
      <c r="DR9" s="13"/>
      <c r="DS9" s="13"/>
      <c r="DT9" s="13">
        <v>624625</v>
      </c>
      <c r="DU9" s="13">
        <f>DS9+DT9</f>
        <v>624625</v>
      </c>
      <c r="DW9" s="13"/>
      <c r="DX9" s="13"/>
      <c r="DY9" s="13">
        <f>DW9+DX9</f>
        <v>0</v>
      </c>
    </row>
    <row r="10" spans="1:129" x14ac:dyDescent="0.2">
      <c r="A10" s="11">
        <v>40452</v>
      </c>
      <c r="D10" s="14">
        <v>1159300</v>
      </c>
      <c r="H10" s="14">
        <v>838030</v>
      </c>
      <c r="L10" s="14">
        <f t="shared" si="0"/>
        <v>1997330</v>
      </c>
      <c r="M10" s="14">
        <f t="shared" si="1"/>
        <v>1997330</v>
      </c>
      <c r="O10" s="35"/>
      <c r="P10" s="35">
        <v>605584</v>
      </c>
      <c r="Q10" s="35">
        <f t="shared" ref="Q10:Q47" si="2">O10+P10</f>
        <v>605584</v>
      </c>
      <c r="S10" s="35"/>
      <c r="T10" s="34">
        <f>X10+AB10+AF10+AJ10+AN10+AR10+AV10+AZ10+BD10+BL10+BT10+BX10+CB10+CF10+CJ10+CZ10+DD10+DH10+DL10+DP10+DT10+BH10+BP10+CN10+CR10+CV10</f>
        <v>1391745</v>
      </c>
      <c r="U10" s="35">
        <f>S10+T10</f>
        <v>1391745</v>
      </c>
      <c r="W10" s="36"/>
      <c r="X10" s="36">
        <v>116757</v>
      </c>
      <c r="Y10" s="36">
        <f>W10+X10</f>
        <v>116757</v>
      </c>
      <c r="AA10" s="36"/>
      <c r="AB10" s="36">
        <f>59983+76810</f>
        <v>136793</v>
      </c>
      <c r="AC10" s="36">
        <f>AA10+AB10</f>
        <v>136793</v>
      </c>
      <c r="AE10" s="35"/>
      <c r="AF10" s="35">
        <f>452+65</f>
        <v>517</v>
      </c>
      <c r="AG10" s="35">
        <f>AE10+AF10</f>
        <v>517</v>
      </c>
      <c r="AI10" s="36"/>
      <c r="AJ10" s="36">
        <f>25386+5043</f>
        <v>30429</v>
      </c>
      <c r="AK10" s="36">
        <f>AI10+AJ10</f>
        <v>30429</v>
      </c>
      <c r="AM10" s="36"/>
      <c r="AN10" s="36">
        <f>123783+16716</f>
        <v>140499</v>
      </c>
      <c r="AO10" s="36">
        <f>AM10+AN10</f>
        <v>140499</v>
      </c>
      <c r="AP10" s="13"/>
      <c r="AQ10" s="36"/>
      <c r="AR10" s="36">
        <f>22101+228</f>
        <v>22329</v>
      </c>
      <c r="AS10" s="36">
        <f>AQ10+AR10</f>
        <v>22329</v>
      </c>
      <c r="AT10" s="13"/>
      <c r="AU10" s="35"/>
      <c r="AV10" s="35">
        <f>906+312</f>
        <v>1218</v>
      </c>
      <c r="AW10" s="35">
        <f>AU10+AV10</f>
        <v>1218</v>
      </c>
      <c r="AX10" s="13"/>
      <c r="AY10" s="35"/>
      <c r="AZ10" s="35">
        <f>13437+802</f>
        <v>14239</v>
      </c>
      <c r="BA10" s="35">
        <f>AY10+AZ10</f>
        <v>14239</v>
      </c>
      <c r="BB10" s="13"/>
      <c r="BC10" s="35"/>
      <c r="BD10" s="35">
        <f>11501+7897</f>
        <v>19398</v>
      </c>
      <c r="BE10" s="35">
        <f>BC10+BD10</f>
        <v>19398</v>
      </c>
      <c r="BF10" s="13"/>
      <c r="BG10" s="35"/>
      <c r="BH10" s="35">
        <v>2602</v>
      </c>
      <c r="BI10" s="35">
        <f>BG10+BH10</f>
        <v>2602</v>
      </c>
      <c r="BJ10" s="13"/>
      <c r="BK10" s="35"/>
      <c r="BL10" s="35">
        <f>13921+563</f>
        <v>14484</v>
      </c>
      <c r="BM10" s="35">
        <f>BK10+BL10</f>
        <v>14484</v>
      </c>
      <c r="BN10" s="13"/>
      <c r="BO10" s="35"/>
      <c r="BP10" s="35">
        <v>768</v>
      </c>
      <c r="BQ10" s="35">
        <f>BO10+BP10</f>
        <v>768</v>
      </c>
      <c r="BR10" s="13"/>
      <c r="BS10" s="35"/>
      <c r="BT10" s="35">
        <f>2711+192</f>
        <v>2903</v>
      </c>
      <c r="BU10" s="35">
        <f>BS10+BT10</f>
        <v>2903</v>
      </c>
      <c r="BV10" s="13"/>
      <c r="BW10" s="35"/>
      <c r="BX10" s="35">
        <f>4420+5756</f>
        <v>10176</v>
      </c>
      <c r="BY10" s="35">
        <f>BW10+BX10</f>
        <v>10176</v>
      </c>
      <c r="BZ10" s="13"/>
      <c r="CA10" s="35"/>
      <c r="CB10" s="35">
        <f>10775+57367</f>
        <v>68142</v>
      </c>
      <c r="CC10" s="35">
        <f>CA10+CB10</f>
        <v>68142</v>
      </c>
      <c r="CD10" s="13"/>
      <c r="CE10" s="35"/>
      <c r="CF10" s="35">
        <f>206692+86599</f>
        <v>293291</v>
      </c>
      <c r="CG10" s="35">
        <f>CE10+CF10</f>
        <v>293291</v>
      </c>
      <c r="CH10" s="13"/>
      <c r="CI10" s="35"/>
      <c r="CJ10" s="35">
        <f>44167+10179</f>
        <v>54346</v>
      </c>
      <c r="CK10" s="35">
        <f>CI10+CJ10</f>
        <v>54346</v>
      </c>
      <c r="CL10" s="13"/>
      <c r="CM10" s="35"/>
      <c r="CN10" s="35">
        <v>175546</v>
      </c>
      <c r="CO10" s="35">
        <f>CM10+CN10</f>
        <v>175546</v>
      </c>
      <c r="CP10" s="13"/>
      <c r="CQ10" s="35"/>
      <c r="CR10" s="35">
        <v>37428</v>
      </c>
      <c r="CS10" s="35">
        <f>CQ10+CR10</f>
        <v>37428</v>
      </c>
      <c r="CT10" s="13"/>
      <c r="CU10" s="35"/>
      <c r="CV10" s="35">
        <v>3049</v>
      </c>
      <c r="CW10" s="35">
        <f>CU10+CV10</f>
        <v>3049</v>
      </c>
      <c r="CX10" s="13"/>
      <c r="CY10" s="35"/>
      <c r="CZ10" s="35">
        <f>3908</f>
        <v>3908</v>
      </c>
      <c r="DA10" s="35">
        <f>CY10+CZ10</f>
        <v>3908</v>
      </c>
      <c r="DB10" s="13"/>
      <c r="DC10" s="35"/>
      <c r="DD10" s="35">
        <f>712+6755</f>
        <v>7467</v>
      </c>
      <c r="DE10" s="35">
        <f>DC10+DD10</f>
        <v>7467</v>
      </c>
      <c r="DF10" s="13"/>
      <c r="DG10" s="35"/>
      <c r="DH10" s="35">
        <f>85566+124824</f>
        <v>210390</v>
      </c>
      <c r="DI10" s="35">
        <f>DG10+DH10</f>
        <v>210390</v>
      </c>
      <c r="DJ10" s="13"/>
      <c r="DK10" s="35"/>
      <c r="DL10" s="35">
        <f>1580+6470</f>
        <v>8050</v>
      </c>
      <c r="DM10" s="35">
        <f>DK10+DL10</f>
        <v>8050</v>
      </c>
      <c r="DN10" s="13"/>
      <c r="DO10" s="35"/>
      <c r="DP10" s="35">
        <f>4+17012</f>
        <v>17016</v>
      </c>
      <c r="DQ10" s="35">
        <f>DO10+DP10</f>
        <v>17016</v>
      </c>
      <c r="DR10" s="13"/>
      <c r="DS10" s="35"/>
      <c r="DT10" s="35"/>
      <c r="DU10" s="35"/>
      <c r="DW10" s="35"/>
      <c r="DX10" s="35"/>
      <c r="DY10" s="35"/>
    </row>
    <row r="11" spans="1:129" x14ac:dyDescent="0.2">
      <c r="A11" s="11">
        <v>40634</v>
      </c>
      <c r="C11" s="14">
        <v>3335000</v>
      </c>
      <c r="D11" s="14">
        <v>1159300</v>
      </c>
      <c r="H11" s="14">
        <v>838030</v>
      </c>
      <c r="K11" s="14">
        <f t="shared" ref="K11:K47" si="3">C11+G11+E11+I11</f>
        <v>3335000</v>
      </c>
      <c r="L11" s="14">
        <f t="shared" si="0"/>
        <v>1997330</v>
      </c>
      <c r="M11" s="14">
        <f t="shared" si="1"/>
        <v>5332330</v>
      </c>
      <c r="O11" s="13">
        <v>1072381</v>
      </c>
      <c r="P11" s="13">
        <v>642248</v>
      </c>
      <c r="Q11" s="13">
        <f t="shared" si="2"/>
        <v>1714629</v>
      </c>
      <c r="S11" s="13">
        <f>W11+AA11+AE11+AI11+AM11+AQ11+AU11+AY11+BC11+BK11+BS11+BW11+CA11+CE11+CI11+CY11+DC11+DG11+DK11+DO11+DS11+BG11+BO11+CM11+CQ11+CU11</f>
        <v>2262619.0774999997</v>
      </c>
      <c r="T11" s="14">
        <f>X11+AB11+AF11+AJ11+AN11+AR11+AV11+AZ11+BD11+BL11+BT11+BX11+CB11+CF11+CJ11+CZ11+DD11+DH11+DL11+DP11+DT11+BH11+BP11+CN11+CR11+CV11</f>
        <v>1355081.5478449999</v>
      </c>
      <c r="U11" s="13">
        <f>S11+T11</f>
        <v>3617700.6253449996</v>
      </c>
      <c r="W11" s="2">
        <f>K11*$X$6</f>
        <v>183480.0275</v>
      </c>
      <c r="X11" s="2">
        <f>L11*$X$6</f>
        <v>109886.105945</v>
      </c>
      <c r="Y11" s="2">
        <f>W11+X11</f>
        <v>293366.13344499998</v>
      </c>
      <c r="AA11" s="2">
        <f>K11*$AB$6</f>
        <v>223989.60549999998</v>
      </c>
      <c r="AB11" s="2">
        <f>L11*$AB$6</f>
        <v>134147.27398899998</v>
      </c>
      <c r="AC11" s="2">
        <f>AA11+AB11</f>
        <v>358136.87948899996</v>
      </c>
      <c r="AE11" s="13">
        <f>K11*$AF$6</f>
        <v>820.07650000000001</v>
      </c>
      <c r="AF11" s="13">
        <f>L11*$AF$6</f>
        <v>491.14344700000004</v>
      </c>
      <c r="AG11" s="13">
        <f>AE11+AF11</f>
        <v>1311.219947</v>
      </c>
      <c r="AI11" s="2">
        <f>K11*$AJ$6</f>
        <v>48411.193500000001</v>
      </c>
      <c r="AJ11" s="2">
        <f>L11*$AJ$6</f>
        <v>28993.442013</v>
      </c>
      <c r="AK11" s="2">
        <f>AI11+AJ11</f>
        <v>77404.635513000001</v>
      </c>
      <c r="AM11" s="2">
        <f>K11*$AN$6</f>
        <v>222752.98750000002</v>
      </c>
      <c r="AN11" s="2">
        <f>L11*$AN$6</f>
        <v>133406.66402500001</v>
      </c>
      <c r="AO11" s="2">
        <f>AM11+AN11</f>
        <v>356159.65152499999</v>
      </c>
      <c r="AP11" s="13"/>
      <c r="AQ11" s="2">
        <f>K11*$AR$6</f>
        <v>35116.216</v>
      </c>
      <c r="AR11" s="2">
        <f>L11*$AR$6</f>
        <v>21031.085967999999</v>
      </c>
      <c r="AS11" s="2">
        <f>AQ11+AR11</f>
        <v>56147.301968</v>
      </c>
      <c r="AT11" s="13"/>
      <c r="AU11" s="13">
        <f>K11*$AV$6</f>
        <v>1950.6415</v>
      </c>
      <c r="AV11" s="13">
        <f>L11*$AV$6</f>
        <v>1168.2383169999998</v>
      </c>
      <c r="AW11" s="13">
        <f>AU11+AV11</f>
        <v>3118.879817</v>
      </c>
      <c r="AX11" s="13"/>
      <c r="AY11" s="13">
        <f>K11*$AZ$6</f>
        <v>22468.895499999999</v>
      </c>
      <c r="AZ11" s="13">
        <f>L11*$AZ$6</f>
        <v>13456.611408999999</v>
      </c>
      <c r="BA11" s="13">
        <f>AY11+AZ11</f>
        <v>35925.506908999996</v>
      </c>
      <c r="BB11" s="13"/>
      <c r="BC11" s="13">
        <f>K11*$BD$6</f>
        <v>31411.030999999999</v>
      </c>
      <c r="BD11" s="13">
        <f>L11*$BD$6</f>
        <v>18812.052337999998</v>
      </c>
      <c r="BE11" s="13">
        <f>BC11+BD11</f>
        <v>50223.083337999997</v>
      </c>
      <c r="BF11" s="13"/>
      <c r="BG11" s="13">
        <f>K11*$BH$6</f>
        <v>4394.1959999999999</v>
      </c>
      <c r="BH11" s="13">
        <f>L11*$BH$6</f>
        <v>2631.6820079999998</v>
      </c>
      <c r="BI11" s="13">
        <f>BG11+BH11</f>
        <v>7025.8780079999997</v>
      </c>
      <c r="BJ11" s="13"/>
      <c r="BK11" s="13">
        <f>K11*$BM$6</f>
        <v>22827.407999999999</v>
      </c>
      <c r="BL11" s="13">
        <f>L11*$BM$6</f>
        <v>13671.324384</v>
      </c>
      <c r="BM11" s="13">
        <f>BK11+BL11</f>
        <v>36498.732384000003</v>
      </c>
      <c r="BN11" s="13"/>
      <c r="BO11" s="13">
        <f>K11*$BP$6</f>
        <v>1297.3150000000001</v>
      </c>
      <c r="BP11" s="13">
        <f>L11*$BP$6</f>
        <v>776.9613700000001</v>
      </c>
      <c r="BQ11" s="13">
        <f>BO11+BP11</f>
        <v>2074.27637</v>
      </c>
      <c r="BR11" s="13"/>
      <c r="BS11" s="13">
        <f>K11*$BT$6</f>
        <v>4585.2915000000003</v>
      </c>
      <c r="BT11" s="13">
        <f>L11*$BT$6</f>
        <v>2746.1290170000002</v>
      </c>
      <c r="BU11" s="13">
        <f>BS11+BT11</f>
        <v>7331.4205170000005</v>
      </c>
      <c r="BV11" s="13"/>
      <c r="BW11" s="13">
        <f>K11*$BX$6</f>
        <v>16667.3295</v>
      </c>
      <c r="BX11" s="13">
        <f>L11*$BX$6</f>
        <v>9982.0561409999991</v>
      </c>
      <c r="BY11" s="13">
        <f>BW11+BX11</f>
        <v>26649.385641000001</v>
      </c>
      <c r="BZ11" s="13"/>
      <c r="CA11" s="13">
        <f>K11*$CB$6</f>
        <v>113822.21600000001</v>
      </c>
      <c r="CB11" s="13">
        <f>L11*$CB$6</f>
        <v>68168.073968000012</v>
      </c>
      <c r="CC11" s="13">
        <f>CA11+CB11</f>
        <v>181990.28996800003</v>
      </c>
      <c r="CD11" s="13"/>
      <c r="CE11" s="13">
        <f>K11*$CF$6</f>
        <v>471072.41849999997</v>
      </c>
      <c r="CF11" s="13">
        <f>L11*$CF$6</f>
        <v>282125.05956299999</v>
      </c>
      <c r="CG11" s="13">
        <f>CE11+CF11</f>
        <v>753197.4780629999</v>
      </c>
      <c r="CH11" s="13"/>
      <c r="CI11" s="13">
        <f>K11*$CJ$6</f>
        <v>86599.278000000006</v>
      </c>
      <c r="CJ11" s="13">
        <f>L11*$CJ$6</f>
        <v>51864.268644000003</v>
      </c>
      <c r="CK11" s="13">
        <f>CI11+CJ11</f>
        <v>138463.54664400002</v>
      </c>
      <c r="CL11" s="13"/>
      <c r="CM11" s="13">
        <f>K11*$CN$6</f>
        <v>296487.83650000003</v>
      </c>
      <c r="CN11" s="13">
        <f>L11*$CN$6</f>
        <v>177566.431927</v>
      </c>
      <c r="CO11" s="13">
        <f>CM11+CN11</f>
        <v>474054.26842700003</v>
      </c>
      <c r="CP11" s="13"/>
      <c r="CQ11" s="13">
        <f>K11*$CR$6</f>
        <v>63213.2575</v>
      </c>
      <c r="CR11" s="13">
        <f>L11*$CR$6</f>
        <v>37858.391485</v>
      </c>
      <c r="CS11" s="13">
        <f>CQ11+CR11</f>
        <v>101071.64898500001</v>
      </c>
      <c r="CT11" s="13"/>
      <c r="CU11" s="13">
        <f>K11*$CV$6</f>
        <v>5149.9070000000002</v>
      </c>
      <c r="CV11" s="13">
        <f>L11*$CV$6</f>
        <v>3084.2769859999999</v>
      </c>
      <c r="CW11" s="13">
        <f>CU11+CV11</f>
        <v>8234.183986</v>
      </c>
      <c r="CX11" s="13"/>
      <c r="CY11" s="13">
        <f>K11*$CZ$6</f>
        <v>6142.0694999999996</v>
      </c>
      <c r="CZ11" s="13">
        <f>L11*$CZ$6</f>
        <v>3678.482661</v>
      </c>
      <c r="DA11" s="13">
        <f>CY11+CZ11</f>
        <v>9820.5521609999996</v>
      </c>
      <c r="DB11" s="13"/>
      <c r="DC11" s="13">
        <f>K11*$DD$6</f>
        <v>12526.927</v>
      </c>
      <c r="DD11" s="13">
        <f>L11*$DD$6</f>
        <v>7502.370946</v>
      </c>
      <c r="DE11" s="13">
        <f>DC11+DD11</f>
        <v>20029.297945999999</v>
      </c>
      <c r="DF11" s="13"/>
      <c r="DG11" s="13">
        <f>K11*$DH$6</f>
        <v>345284.55599999998</v>
      </c>
      <c r="DH11" s="13">
        <f>L11*$DH$6</f>
        <v>206790.765288</v>
      </c>
      <c r="DI11" s="13">
        <f>DG11+DH11</f>
        <v>552075.32128799998</v>
      </c>
      <c r="DJ11" s="13"/>
      <c r="DK11" s="13">
        <f>K11*$DL$6</f>
        <v>13410.035000000002</v>
      </c>
      <c r="DL11" s="13">
        <f>L11*$DL$6</f>
        <v>8031.263930000001</v>
      </c>
      <c r="DM11" s="13">
        <f>DK11+DL11</f>
        <v>21441.298930000004</v>
      </c>
      <c r="DN11" s="13"/>
      <c r="DO11" s="13">
        <f>K11*$DP$6</f>
        <v>28738.362000000001</v>
      </c>
      <c r="DP11" s="13">
        <f>L11*$DP$6</f>
        <v>17211.392076</v>
      </c>
      <c r="DQ11" s="13">
        <f>DO11+DP11</f>
        <v>45949.754075999997</v>
      </c>
      <c r="DR11" s="13"/>
      <c r="DS11" s="13"/>
      <c r="DT11" s="13"/>
      <c r="DU11" s="13"/>
      <c r="DW11" s="13"/>
      <c r="DX11" s="13"/>
      <c r="DY11" s="13"/>
    </row>
    <row r="12" spans="1:129" x14ac:dyDescent="0.2">
      <c r="A12" s="11">
        <v>40817</v>
      </c>
      <c r="D12" s="14">
        <v>1109275</v>
      </c>
      <c r="H12" s="14">
        <v>838030</v>
      </c>
      <c r="L12" s="14">
        <f t="shared" si="0"/>
        <v>1947305</v>
      </c>
      <c r="M12" s="14">
        <f t="shared" si="1"/>
        <v>1947305</v>
      </c>
      <c r="P12" s="13">
        <v>626163</v>
      </c>
      <c r="Q12" s="13">
        <f t="shared" si="2"/>
        <v>626163</v>
      </c>
      <c r="S12" s="13"/>
      <c r="T12" s="14">
        <f t="shared" ref="T12:T47" si="4">X12+AB12+AF12+AJ12+AN12+AR12+AV12+AZ12+BD12+BL12+BT12+BX12+CB12+CF12+CJ12+CZ12+DD12+DH12+DL12+DP12+DT12+BH12+BP12+CN12+CR12+CV12</f>
        <v>1321142.2616824997</v>
      </c>
      <c r="U12" s="13">
        <f t="shared" ref="U12:U47" si="5">S12+T12</f>
        <v>1321142.2616824997</v>
      </c>
      <c r="W12" s="2"/>
      <c r="X12" s="2">
        <f t="shared" ref="X12:X47" si="6">L12*$X$6</f>
        <v>107133.90553250001</v>
      </c>
      <c r="Y12" s="2">
        <f t="shared" ref="Y12:Y47" si="7">W12+X12</f>
        <v>107133.90553250001</v>
      </c>
      <c r="AA12" s="2"/>
      <c r="AB12" s="2">
        <f t="shared" ref="AB12:AB47" si="8">L12*$AB$6</f>
        <v>130787.42990649999</v>
      </c>
      <c r="AC12" s="2">
        <f t="shared" ref="AC12:AC47" si="9">AA12+AB12</f>
        <v>130787.42990649999</v>
      </c>
      <c r="AF12" s="13">
        <f t="shared" ref="AF12:AF47" si="10">L12*$AF$6</f>
        <v>478.84229950000002</v>
      </c>
      <c r="AG12" s="13">
        <f t="shared" ref="AG12:AG47" si="11">AE12+AF12</f>
        <v>478.84229950000002</v>
      </c>
      <c r="AI12" s="2"/>
      <c r="AJ12" s="2">
        <f t="shared" ref="AJ12:AJ47" si="12">L12*$AJ$6</f>
        <v>28267.274110500002</v>
      </c>
      <c r="AK12" s="2">
        <f t="shared" ref="AK12:AK47" si="13">AI12+AJ12</f>
        <v>28267.274110500002</v>
      </c>
      <c r="AM12" s="2"/>
      <c r="AN12" s="2">
        <f t="shared" ref="AN12:AN47" si="14">L12*$AN$6</f>
        <v>130065.36921250001</v>
      </c>
      <c r="AO12" s="2">
        <f t="shared" ref="AO12:AO47" si="15">AM12+AN12</f>
        <v>130065.36921250001</v>
      </c>
      <c r="AP12" s="13"/>
      <c r="AQ12" s="2"/>
      <c r="AR12" s="2">
        <f t="shared" ref="AR12:AR47" si="16">L12*$AR$6</f>
        <v>20504.342728</v>
      </c>
      <c r="AS12" s="2">
        <f t="shared" ref="AS12:AS47" si="17">AQ12+AR12</f>
        <v>20504.342728</v>
      </c>
      <c r="AT12" s="13"/>
      <c r="AU12" s="13"/>
      <c r="AV12" s="13">
        <f t="shared" ref="AV12:AV47" si="18">L12*$AV$6</f>
        <v>1138.9786944999998</v>
      </c>
      <c r="AW12" s="13">
        <f t="shared" ref="AW12:AW47" si="19">AU12+AV12</f>
        <v>1138.9786944999998</v>
      </c>
      <c r="AX12" s="13"/>
      <c r="AY12" s="13"/>
      <c r="AZ12" s="13">
        <f t="shared" ref="AZ12:AZ47" si="20">L12*$AZ$6</f>
        <v>13119.577976500001</v>
      </c>
      <c r="BA12" s="13">
        <f t="shared" ref="BA12:BA47" si="21">AY12+AZ12</f>
        <v>13119.577976500001</v>
      </c>
      <c r="BB12" s="13"/>
      <c r="BC12" s="13"/>
      <c r="BD12" s="13">
        <f t="shared" ref="BD12:BD47" si="22">L12*$BD$6</f>
        <v>18340.886872999999</v>
      </c>
      <c r="BE12" s="13">
        <f t="shared" ref="BE12:BE47" si="23">BC12+BD12</f>
        <v>18340.886872999999</v>
      </c>
      <c r="BF12" s="13"/>
      <c r="BG12" s="13"/>
      <c r="BH12" s="13">
        <f t="shared" ref="BH12:BH47" si="24">L12*$BH$6</f>
        <v>2565.7690680000001</v>
      </c>
      <c r="BI12" s="13">
        <f t="shared" ref="BI12:BI47" si="25">BG12+BH12</f>
        <v>2565.7690680000001</v>
      </c>
      <c r="BJ12" s="13"/>
      <c r="BK12" s="13"/>
      <c r="BL12" s="13">
        <f t="shared" ref="BL12:BL21" si="26">L12*$BM$6</f>
        <v>13328.913263999999</v>
      </c>
      <c r="BM12" s="13">
        <f t="shared" ref="BM12:BM47" si="27">BK12+BL12</f>
        <v>13328.913263999999</v>
      </c>
      <c r="BN12" s="13"/>
      <c r="BO12" s="13"/>
      <c r="BP12" s="13">
        <f t="shared" ref="BP12:BP47" si="28">L12*$BP$6</f>
        <v>757.50164500000005</v>
      </c>
      <c r="BQ12" s="13">
        <f t="shared" ref="BQ12:BQ47" si="29">BO12+BP12</f>
        <v>757.50164500000005</v>
      </c>
      <c r="BR12" s="13"/>
      <c r="BS12" s="13"/>
      <c r="BT12" s="13">
        <f t="shared" ref="BT12:BT47" si="30">L12*$BT$6</f>
        <v>2677.3496445000001</v>
      </c>
      <c r="BU12" s="13">
        <f t="shared" ref="BU12:BU47" si="31">BS12+BT12</f>
        <v>2677.3496445000001</v>
      </c>
      <c r="BV12" s="13"/>
      <c r="BW12" s="13"/>
      <c r="BX12" s="13">
        <f t="shared" ref="BX12:BX47" si="32">L12*$BX$6</f>
        <v>9732.0461985000002</v>
      </c>
      <c r="BY12" s="13">
        <f t="shared" ref="BY12:BY47" si="33">BW12+BX12</f>
        <v>9732.0461985000002</v>
      </c>
      <c r="BZ12" s="13"/>
      <c r="CA12" s="13"/>
      <c r="CB12" s="13">
        <f t="shared" ref="CB12:CB47" si="34">L12*$CB$6</f>
        <v>66460.740728000004</v>
      </c>
      <c r="CC12" s="13">
        <f t="shared" ref="CC12:CC47" si="35">CA12+CB12</f>
        <v>66460.740728000004</v>
      </c>
      <c r="CD12" s="13"/>
      <c r="CE12" s="13"/>
      <c r="CF12" s="13">
        <f t="shared" ref="CF12:CF47" si="36">L12*$CF$6</f>
        <v>275058.97328549996</v>
      </c>
      <c r="CG12" s="13">
        <f t="shared" ref="CG12:CG47" si="37">CE12+CF12</f>
        <v>275058.97328549996</v>
      </c>
      <c r="CH12" s="13"/>
      <c r="CI12" s="13"/>
      <c r="CJ12" s="13">
        <f t="shared" ref="CJ12:CJ47" si="38">L12*$CJ$6</f>
        <v>50565.279474000003</v>
      </c>
      <c r="CK12" s="13">
        <f t="shared" ref="CK12:CK47" si="39">CI12+CJ12</f>
        <v>50565.279474000003</v>
      </c>
      <c r="CL12" s="13"/>
      <c r="CM12" s="13"/>
      <c r="CN12" s="13">
        <f t="shared" ref="CN12:CN47" si="40">L12*$CN$6</f>
        <v>173119.11437950001</v>
      </c>
      <c r="CO12" s="13">
        <f t="shared" ref="CO12:CO47" si="41">CM12+CN12</f>
        <v>173119.11437950001</v>
      </c>
      <c r="CP12" s="13"/>
      <c r="CQ12" s="13"/>
      <c r="CR12" s="13">
        <f t="shared" ref="CR12:CR47" si="42">L12*$CR$6</f>
        <v>36910.192622499999</v>
      </c>
      <c r="CS12" s="13">
        <f t="shared" ref="CS12:CS47" si="43">CQ12+CR12</f>
        <v>36910.192622499999</v>
      </c>
      <c r="CT12" s="13"/>
      <c r="CU12" s="13"/>
      <c r="CV12" s="13">
        <f t="shared" ref="CV12:CV47" si="44">L12*$CV$6</f>
        <v>3007.0283809999996</v>
      </c>
      <c r="CW12" s="13">
        <f t="shared" ref="CW12:CW47" si="45">CU12+CV12</f>
        <v>3007.0283809999996</v>
      </c>
      <c r="CX12" s="13"/>
      <c r="CY12" s="13"/>
      <c r="CZ12" s="13">
        <f t="shared" ref="CZ12:CZ47" si="46">L12*$CZ$6</f>
        <v>3586.3516184999999</v>
      </c>
      <c r="DA12" s="13">
        <f t="shared" ref="DA12:DA47" si="47">CY12+CZ12</f>
        <v>3586.3516184999999</v>
      </c>
      <c r="DB12" s="13"/>
      <c r="DC12" s="13"/>
      <c r="DD12" s="13">
        <f t="shared" ref="DD12:DD47" si="48">L12*$DD$6</f>
        <v>7314.4670409999999</v>
      </c>
      <c r="DE12" s="13">
        <f t="shared" ref="DE12:DE47" si="49">DC12+DD12</f>
        <v>7314.4670409999999</v>
      </c>
      <c r="DF12" s="13"/>
      <c r="DG12" s="13"/>
      <c r="DH12" s="13">
        <f t="shared" ref="DH12:DH47" si="50">L12*$DH$6</f>
        <v>201611.49694800001</v>
      </c>
      <c r="DI12" s="13">
        <f t="shared" ref="DI12:DI47" si="51">DG12+DH12</f>
        <v>201611.49694800001</v>
      </c>
      <c r="DJ12" s="13"/>
      <c r="DK12" s="13"/>
      <c r="DL12" s="13">
        <f t="shared" ref="DL12:DL47" si="52">L12*$DL$6</f>
        <v>7830.113405000001</v>
      </c>
      <c r="DM12" s="13">
        <f t="shared" ref="DM12:DM47" si="53">DK12+DL12</f>
        <v>7830.113405000001</v>
      </c>
      <c r="DN12" s="13"/>
      <c r="DO12" s="13"/>
      <c r="DP12" s="13">
        <f t="shared" ref="DP12:DP47" si="54">L12*$DP$6</f>
        <v>16780.316645999999</v>
      </c>
      <c r="DQ12" s="13">
        <f t="shared" ref="DQ12:DQ47" si="55">DO12+DP12</f>
        <v>16780.316645999999</v>
      </c>
      <c r="DR12" s="13"/>
      <c r="DS12" s="13"/>
      <c r="DT12" s="13"/>
      <c r="DU12" s="13"/>
      <c r="DW12" s="13"/>
      <c r="DX12" s="13"/>
      <c r="DY12" s="13"/>
    </row>
    <row r="13" spans="1:129" x14ac:dyDescent="0.2">
      <c r="A13" s="11">
        <v>41000</v>
      </c>
      <c r="C13" s="14">
        <v>3435000</v>
      </c>
      <c r="D13" s="14">
        <v>1109275</v>
      </c>
      <c r="H13" s="14">
        <v>838030</v>
      </c>
      <c r="K13" s="14">
        <f t="shared" si="3"/>
        <v>3435000</v>
      </c>
      <c r="L13" s="14">
        <f t="shared" si="0"/>
        <v>1947305</v>
      </c>
      <c r="M13" s="14">
        <f t="shared" si="1"/>
        <v>5382305</v>
      </c>
      <c r="O13" s="13">
        <v>1104536</v>
      </c>
      <c r="P13" s="13">
        <v>626163</v>
      </c>
      <c r="Q13" s="13">
        <f t="shared" si="2"/>
        <v>1730699</v>
      </c>
      <c r="S13" s="13">
        <f t="shared" ref="S13:S47" si="56">W13+AA13+AE13+AI13+AM13+AQ13+AU13+AY13+BC13+BK13+BS13+BW13+CA13+CE13+CI13+CY13+DC13+DG13+DK13+DO13+DS13+BG13+BO13+CM13+CQ13+CU13</f>
        <v>2330463.7275</v>
      </c>
      <c r="T13" s="14">
        <f t="shared" si="4"/>
        <v>1321142.2616824997</v>
      </c>
      <c r="U13" s="13">
        <f t="shared" si="5"/>
        <v>3651605.9891824997</v>
      </c>
      <c r="W13" s="2">
        <f>K13*$X$6</f>
        <v>188981.67750000002</v>
      </c>
      <c r="X13" s="2">
        <f t="shared" si="6"/>
        <v>107133.90553250001</v>
      </c>
      <c r="Y13" s="2">
        <f t="shared" si="7"/>
        <v>296115.5830325</v>
      </c>
      <c r="AA13" s="2">
        <f>K13*$AB$6</f>
        <v>230705.93549999999</v>
      </c>
      <c r="AB13" s="2">
        <f t="shared" si="8"/>
        <v>130787.42990649999</v>
      </c>
      <c r="AC13" s="2">
        <f t="shared" si="9"/>
        <v>361493.3654065</v>
      </c>
      <c r="AE13" s="13">
        <f>K13*$AF$6</f>
        <v>844.66650000000004</v>
      </c>
      <c r="AF13" s="13">
        <f t="shared" si="10"/>
        <v>478.84229950000002</v>
      </c>
      <c r="AG13" s="13">
        <f t="shared" si="11"/>
        <v>1323.5087995000001</v>
      </c>
      <c r="AI13" s="2">
        <f>K13*$AJ$6</f>
        <v>49862.803500000002</v>
      </c>
      <c r="AJ13" s="2">
        <f t="shared" si="12"/>
        <v>28267.274110500002</v>
      </c>
      <c r="AK13" s="2">
        <f t="shared" si="13"/>
        <v>78130.077610500011</v>
      </c>
      <c r="AM13" s="2">
        <f>K13*$AN$6</f>
        <v>229432.23750000002</v>
      </c>
      <c r="AN13" s="2">
        <f t="shared" si="14"/>
        <v>130065.36921250001</v>
      </c>
      <c r="AO13" s="2">
        <f t="shared" si="15"/>
        <v>359497.60671250004</v>
      </c>
      <c r="AP13" s="13"/>
      <c r="AQ13" s="2">
        <f>K13*$AR$6</f>
        <v>36169.175999999999</v>
      </c>
      <c r="AR13" s="2">
        <f t="shared" si="16"/>
        <v>20504.342728</v>
      </c>
      <c r="AS13" s="2">
        <f t="shared" si="17"/>
        <v>56673.518727999995</v>
      </c>
      <c r="AT13" s="13"/>
      <c r="AU13" s="13">
        <f>K13*$AV$6</f>
        <v>2009.1315</v>
      </c>
      <c r="AV13" s="13">
        <f t="shared" si="18"/>
        <v>1138.9786944999998</v>
      </c>
      <c r="AW13" s="13">
        <f t="shared" si="19"/>
        <v>3148.1101945</v>
      </c>
      <c r="AX13" s="13"/>
      <c r="AY13" s="13">
        <f>K13*$AZ$6</f>
        <v>23142.625499999998</v>
      </c>
      <c r="AZ13" s="13">
        <f t="shared" si="20"/>
        <v>13119.577976500001</v>
      </c>
      <c r="BA13" s="13">
        <f t="shared" si="21"/>
        <v>36262.203476499999</v>
      </c>
      <c r="BB13" s="13"/>
      <c r="BC13" s="13">
        <f>K13*$BD$6</f>
        <v>32352.890999999996</v>
      </c>
      <c r="BD13" s="13">
        <f t="shared" si="22"/>
        <v>18340.886872999999</v>
      </c>
      <c r="BE13" s="13">
        <f t="shared" si="23"/>
        <v>50693.777872999999</v>
      </c>
      <c r="BF13" s="13"/>
      <c r="BG13" s="13">
        <f>K13*$BH$6</f>
        <v>4525.9560000000001</v>
      </c>
      <c r="BH13" s="13">
        <f t="shared" si="24"/>
        <v>2565.7690680000001</v>
      </c>
      <c r="BI13" s="13">
        <f t="shared" si="25"/>
        <v>7091.7250679999997</v>
      </c>
      <c r="BJ13" s="13"/>
      <c r="BK13" s="13">
        <f>K13*$BM$6</f>
        <v>23511.887999999999</v>
      </c>
      <c r="BL13" s="13">
        <f t="shared" si="26"/>
        <v>13328.913263999999</v>
      </c>
      <c r="BM13" s="13">
        <f t="shared" si="27"/>
        <v>36840.801263999994</v>
      </c>
      <c r="BN13" s="13"/>
      <c r="BO13" s="13">
        <f>K13*$BP$6</f>
        <v>1336.2150000000001</v>
      </c>
      <c r="BP13" s="13">
        <f t="shared" si="28"/>
        <v>757.50164500000005</v>
      </c>
      <c r="BQ13" s="13">
        <f t="shared" si="29"/>
        <v>2093.7166450000004</v>
      </c>
      <c r="BR13" s="13"/>
      <c r="BS13" s="13">
        <f>K13*$BT$6</f>
        <v>4722.7815000000001</v>
      </c>
      <c r="BT13" s="13">
        <f t="shared" si="30"/>
        <v>2677.3496445000001</v>
      </c>
      <c r="BU13" s="13">
        <f t="shared" si="31"/>
        <v>7400.1311445000001</v>
      </c>
      <c r="BV13" s="13"/>
      <c r="BW13" s="13">
        <f>K13*$BX$6</f>
        <v>17167.0995</v>
      </c>
      <c r="BX13" s="13">
        <f t="shared" si="32"/>
        <v>9732.0461985000002</v>
      </c>
      <c r="BY13" s="13">
        <f t="shared" si="33"/>
        <v>26899.1456985</v>
      </c>
      <c r="BZ13" s="13"/>
      <c r="CA13" s="13">
        <f>K13*$CB$6</f>
        <v>117235.17600000001</v>
      </c>
      <c r="CB13" s="13">
        <f t="shared" si="34"/>
        <v>66460.740728000004</v>
      </c>
      <c r="CC13" s="13">
        <f t="shared" si="35"/>
        <v>183695.91672800001</v>
      </c>
      <c r="CD13" s="13"/>
      <c r="CE13" s="13">
        <f>K13*$CF$6</f>
        <v>485197.52849999996</v>
      </c>
      <c r="CF13" s="13">
        <f t="shared" si="36"/>
        <v>275058.97328549996</v>
      </c>
      <c r="CG13" s="13">
        <f t="shared" si="37"/>
        <v>760256.50178549998</v>
      </c>
      <c r="CH13" s="13"/>
      <c r="CI13" s="13">
        <f>K13*$CJ$6</f>
        <v>89195.957999999999</v>
      </c>
      <c r="CJ13" s="13">
        <f t="shared" si="38"/>
        <v>50565.279474000003</v>
      </c>
      <c r="CK13" s="13">
        <f t="shared" si="39"/>
        <v>139761.23747399999</v>
      </c>
      <c r="CL13" s="13"/>
      <c r="CM13" s="13">
        <f>K13*$CN$6</f>
        <v>305378.02650000004</v>
      </c>
      <c r="CN13" s="13">
        <f t="shared" si="40"/>
        <v>173119.11437950001</v>
      </c>
      <c r="CO13" s="13">
        <f t="shared" si="41"/>
        <v>478497.14087950008</v>
      </c>
      <c r="CP13" s="13"/>
      <c r="CQ13" s="13">
        <f>K13*$CR$6</f>
        <v>65108.707499999997</v>
      </c>
      <c r="CR13" s="13">
        <f t="shared" si="42"/>
        <v>36910.192622499999</v>
      </c>
      <c r="CS13" s="13">
        <f t="shared" si="43"/>
        <v>102018.9001225</v>
      </c>
      <c r="CT13" s="13"/>
      <c r="CU13" s="13">
        <f>K13*$CV$6</f>
        <v>5304.3269999999993</v>
      </c>
      <c r="CV13" s="13">
        <f t="shared" si="44"/>
        <v>3007.0283809999996</v>
      </c>
      <c r="CW13" s="13">
        <f t="shared" si="45"/>
        <v>8311.3553809999994</v>
      </c>
      <c r="CX13" s="13"/>
      <c r="CY13" s="13">
        <f>K13*$CZ$6</f>
        <v>6326.2394999999997</v>
      </c>
      <c r="CZ13" s="13">
        <f t="shared" si="46"/>
        <v>3586.3516184999999</v>
      </c>
      <c r="DA13" s="13">
        <f t="shared" si="47"/>
        <v>9912.5911185000004</v>
      </c>
      <c r="DB13" s="13"/>
      <c r="DC13" s="13">
        <f>K13*$DD$6</f>
        <v>12902.547</v>
      </c>
      <c r="DD13" s="13">
        <f t="shared" si="48"/>
        <v>7314.4670409999999</v>
      </c>
      <c r="DE13" s="13">
        <f t="shared" si="49"/>
        <v>20217.014041000002</v>
      </c>
      <c r="DF13" s="13"/>
      <c r="DG13" s="13">
        <f>K13*$DH$6</f>
        <v>355637.91600000003</v>
      </c>
      <c r="DH13" s="13">
        <f t="shared" si="50"/>
        <v>201611.49694800001</v>
      </c>
      <c r="DI13" s="13">
        <f t="shared" si="51"/>
        <v>557249.41294800001</v>
      </c>
      <c r="DJ13" s="13"/>
      <c r="DK13" s="13">
        <f>K13*$DL$6</f>
        <v>13812.135</v>
      </c>
      <c r="DL13" s="13">
        <f t="shared" si="52"/>
        <v>7830.113405000001</v>
      </c>
      <c r="DM13" s="13">
        <f t="shared" si="53"/>
        <v>21642.248405000002</v>
      </c>
      <c r="DN13" s="13"/>
      <c r="DO13" s="13">
        <f>K13*$DP$6</f>
        <v>29600.082000000002</v>
      </c>
      <c r="DP13" s="13">
        <f t="shared" si="54"/>
        <v>16780.316645999999</v>
      </c>
      <c r="DQ13" s="13">
        <f t="shared" si="55"/>
        <v>46380.398646000001</v>
      </c>
      <c r="DR13" s="13"/>
      <c r="DS13" s="13"/>
      <c r="DT13" s="13"/>
      <c r="DU13" s="13"/>
      <c r="DW13" s="13"/>
      <c r="DX13" s="13"/>
      <c r="DY13" s="13"/>
    </row>
    <row r="14" spans="1:129" x14ac:dyDescent="0.2">
      <c r="A14" s="11">
        <v>41183</v>
      </c>
      <c r="D14" s="14">
        <v>1040575</v>
      </c>
      <c r="H14" s="14">
        <v>838030</v>
      </c>
      <c r="L14" s="14">
        <f t="shared" si="0"/>
        <v>1878605</v>
      </c>
      <c r="M14" s="14">
        <f t="shared" si="1"/>
        <v>1878605</v>
      </c>
      <c r="P14" s="13">
        <v>604072</v>
      </c>
      <c r="Q14" s="13">
        <f t="shared" si="2"/>
        <v>604072</v>
      </c>
      <c r="S14" s="13"/>
      <c r="T14" s="14">
        <f t="shared" si="4"/>
        <v>1274532.9871324999</v>
      </c>
      <c r="U14" s="13">
        <f t="shared" si="5"/>
        <v>1274532.9871324999</v>
      </c>
      <c r="W14" s="2"/>
      <c r="X14" s="2">
        <f t="shared" si="6"/>
        <v>103354.27198250001</v>
      </c>
      <c r="Y14" s="2">
        <f t="shared" si="7"/>
        <v>103354.27198250001</v>
      </c>
      <c r="AA14" s="2"/>
      <c r="AB14" s="2">
        <f t="shared" si="8"/>
        <v>126173.31119649998</v>
      </c>
      <c r="AC14" s="2">
        <f t="shared" si="9"/>
        <v>126173.31119649998</v>
      </c>
      <c r="AF14" s="13">
        <f t="shared" si="10"/>
        <v>461.94896950000003</v>
      </c>
      <c r="AG14" s="13">
        <f t="shared" si="11"/>
        <v>461.94896950000003</v>
      </c>
      <c r="AI14" s="2"/>
      <c r="AJ14" s="2">
        <f t="shared" si="12"/>
        <v>27270.018040499999</v>
      </c>
      <c r="AK14" s="2">
        <f t="shared" si="13"/>
        <v>27270.018040499999</v>
      </c>
      <c r="AM14" s="2"/>
      <c r="AN14" s="2">
        <f t="shared" si="14"/>
        <v>125476.7244625</v>
      </c>
      <c r="AO14" s="2">
        <f t="shared" si="15"/>
        <v>125476.7244625</v>
      </c>
      <c r="AP14" s="13"/>
      <c r="AQ14" s="2"/>
      <c r="AR14" s="2">
        <f t="shared" si="16"/>
        <v>19780.959208</v>
      </c>
      <c r="AS14" s="2">
        <f t="shared" si="17"/>
        <v>19780.959208</v>
      </c>
      <c r="AT14" s="13"/>
      <c r="AU14" s="13"/>
      <c r="AV14" s="13">
        <f t="shared" si="18"/>
        <v>1098.7960644999998</v>
      </c>
      <c r="AW14" s="13">
        <f t="shared" si="19"/>
        <v>1098.7960644999998</v>
      </c>
      <c r="AX14" s="13"/>
      <c r="AY14" s="13"/>
      <c r="AZ14" s="13">
        <f t="shared" si="20"/>
        <v>12656.7254665</v>
      </c>
      <c r="BA14" s="13">
        <f t="shared" si="21"/>
        <v>12656.7254665</v>
      </c>
      <c r="BB14" s="13"/>
      <c r="BC14" s="13"/>
      <c r="BD14" s="13">
        <f t="shared" si="22"/>
        <v>17693.829052999998</v>
      </c>
      <c r="BE14" s="13">
        <f t="shared" si="23"/>
        <v>17693.829052999998</v>
      </c>
      <c r="BF14" s="13"/>
      <c r="BG14" s="13"/>
      <c r="BH14" s="13">
        <f t="shared" si="24"/>
        <v>2475.2499479999997</v>
      </c>
      <c r="BI14" s="13">
        <f t="shared" si="25"/>
        <v>2475.2499479999997</v>
      </c>
      <c r="BJ14" s="13"/>
      <c r="BK14" s="13"/>
      <c r="BL14" s="13">
        <f t="shared" si="26"/>
        <v>12858.675503999999</v>
      </c>
      <c r="BM14" s="13">
        <f t="shared" si="27"/>
        <v>12858.675503999999</v>
      </c>
      <c r="BN14" s="13"/>
      <c r="BO14" s="13"/>
      <c r="BP14" s="13">
        <f t="shared" si="28"/>
        <v>730.77734500000008</v>
      </c>
      <c r="BQ14" s="13">
        <f t="shared" si="29"/>
        <v>730.77734500000008</v>
      </c>
      <c r="BR14" s="13"/>
      <c r="BS14" s="13"/>
      <c r="BT14" s="13">
        <f t="shared" si="30"/>
        <v>2582.8940145000001</v>
      </c>
      <c r="BU14" s="13">
        <f t="shared" si="31"/>
        <v>2582.8940145000001</v>
      </c>
      <c r="BV14" s="13"/>
      <c r="BW14" s="13"/>
      <c r="BX14" s="13">
        <f t="shared" si="32"/>
        <v>9388.7042084999994</v>
      </c>
      <c r="BY14" s="13">
        <f t="shared" si="33"/>
        <v>9388.7042084999994</v>
      </c>
      <c r="BZ14" s="13"/>
      <c r="CA14" s="13"/>
      <c r="CB14" s="13">
        <f t="shared" si="34"/>
        <v>64116.037208000009</v>
      </c>
      <c r="CC14" s="13">
        <f t="shared" si="35"/>
        <v>64116.037208000009</v>
      </c>
      <c r="CD14" s="13"/>
      <c r="CE14" s="13"/>
      <c r="CF14" s="13">
        <f t="shared" si="36"/>
        <v>265355.02271549997</v>
      </c>
      <c r="CG14" s="13">
        <f t="shared" si="37"/>
        <v>265355.02271549997</v>
      </c>
      <c r="CH14" s="13"/>
      <c r="CI14" s="13"/>
      <c r="CJ14" s="13">
        <f t="shared" si="38"/>
        <v>48781.360314000005</v>
      </c>
      <c r="CK14" s="13">
        <f t="shared" si="39"/>
        <v>48781.360314000005</v>
      </c>
      <c r="CL14" s="13"/>
      <c r="CM14" s="13"/>
      <c r="CN14" s="13">
        <f t="shared" si="40"/>
        <v>167011.55384950002</v>
      </c>
      <c r="CO14" s="13">
        <f t="shared" si="41"/>
        <v>167011.55384950002</v>
      </c>
      <c r="CP14" s="13"/>
      <c r="CQ14" s="13"/>
      <c r="CR14" s="13">
        <f t="shared" si="42"/>
        <v>35608.0184725</v>
      </c>
      <c r="CS14" s="13">
        <f t="shared" si="43"/>
        <v>35608.0184725</v>
      </c>
      <c r="CT14" s="13"/>
      <c r="CU14" s="13"/>
      <c r="CV14" s="13">
        <f t="shared" si="44"/>
        <v>2900.9418409999998</v>
      </c>
      <c r="CW14" s="13">
        <f t="shared" si="45"/>
        <v>2900.9418409999998</v>
      </c>
      <c r="CX14" s="13"/>
      <c r="CY14" s="13"/>
      <c r="CZ14" s="13">
        <f t="shared" si="46"/>
        <v>3459.8268284999999</v>
      </c>
      <c r="DA14" s="13">
        <f t="shared" si="47"/>
        <v>3459.8268284999999</v>
      </c>
      <c r="DB14" s="13"/>
      <c r="DC14" s="13"/>
      <c r="DD14" s="13">
        <f t="shared" si="48"/>
        <v>7056.4161009999998</v>
      </c>
      <c r="DE14" s="13">
        <f t="shared" si="49"/>
        <v>7056.4161009999998</v>
      </c>
      <c r="DF14" s="13"/>
      <c r="DG14" s="13"/>
      <c r="DH14" s="13">
        <f t="shared" si="50"/>
        <v>194498.73862799999</v>
      </c>
      <c r="DI14" s="13">
        <f t="shared" si="51"/>
        <v>194498.73862799999</v>
      </c>
      <c r="DJ14" s="13"/>
      <c r="DK14" s="13"/>
      <c r="DL14" s="13">
        <f t="shared" si="52"/>
        <v>7553.8707050000003</v>
      </c>
      <c r="DM14" s="13">
        <f t="shared" si="53"/>
        <v>7553.8707050000003</v>
      </c>
      <c r="DN14" s="13"/>
      <c r="DO14" s="13"/>
      <c r="DP14" s="13">
        <f t="shared" si="54"/>
        <v>16188.315006000001</v>
      </c>
      <c r="DQ14" s="13">
        <f t="shared" si="55"/>
        <v>16188.315006000001</v>
      </c>
      <c r="DR14" s="13"/>
      <c r="DS14" s="13"/>
      <c r="DT14" s="13"/>
      <c r="DU14" s="13"/>
      <c r="DW14" s="13"/>
      <c r="DX14" s="13"/>
      <c r="DY14" s="13"/>
    </row>
    <row r="15" spans="1:129" x14ac:dyDescent="0.2">
      <c r="A15" s="11">
        <v>41365</v>
      </c>
      <c r="B15" t="s">
        <v>7</v>
      </c>
      <c r="C15" s="14">
        <v>3570000</v>
      </c>
      <c r="D15" s="14">
        <v>1040575</v>
      </c>
      <c r="H15" s="14">
        <v>838030</v>
      </c>
      <c r="K15" s="14">
        <f t="shared" si="3"/>
        <v>3570000</v>
      </c>
      <c r="L15" s="14">
        <f t="shared" si="0"/>
        <v>1878605</v>
      </c>
      <c r="M15" s="14">
        <f t="shared" si="1"/>
        <v>5448605</v>
      </c>
      <c r="O15" s="13">
        <v>1147946</v>
      </c>
      <c r="P15" s="13">
        <v>604072</v>
      </c>
      <c r="Q15" s="13">
        <f t="shared" si="2"/>
        <v>1752018</v>
      </c>
      <c r="S15" s="13">
        <f t="shared" si="56"/>
        <v>2422054.0050000004</v>
      </c>
      <c r="T15" s="14">
        <f t="shared" si="4"/>
        <v>1274532.9871324999</v>
      </c>
      <c r="U15" s="13">
        <f t="shared" si="5"/>
        <v>3696586.9921325003</v>
      </c>
      <c r="W15" s="2">
        <f>K15*$X$6</f>
        <v>196408.905</v>
      </c>
      <c r="X15" s="2">
        <f t="shared" si="6"/>
        <v>103354.27198250001</v>
      </c>
      <c r="Y15" s="2">
        <f t="shared" si="7"/>
        <v>299763.17698250001</v>
      </c>
      <c r="AA15" s="2">
        <f>K15*$AB$6</f>
        <v>239772.98099999997</v>
      </c>
      <c r="AB15" s="2">
        <f t="shared" si="8"/>
        <v>126173.31119649998</v>
      </c>
      <c r="AC15" s="2">
        <f t="shared" si="9"/>
        <v>365946.29219649994</v>
      </c>
      <c r="AE15" s="13">
        <f>K15*$AF$6</f>
        <v>877.86300000000006</v>
      </c>
      <c r="AF15" s="13">
        <f t="shared" si="10"/>
        <v>461.94896950000003</v>
      </c>
      <c r="AG15" s="13">
        <f t="shared" si="11"/>
        <v>1339.8119695</v>
      </c>
      <c r="AI15" s="2">
        <f>K15*$AJ$6</f>
        <v>51822.476999999999</v>
      </c>
      <c r="AJ15" s="2">
        <f t="shared" si="12"/>
        <v>27270.018040499999</v>
      </c>
      <c r="AK15" s="2">
        <f t="shared" si="13"/>
        <v>79092.495040499998</v>
      </c>
      <c r="AM15" s="2">
        <f>K15*$AN$6</f>
        <v>238449.22500000001</v>
      </c>
      <c r="AN15" s="2">
        <f t="shared" si="14"/>
        <v>125476.7244625</v>
      </c>
      <c r="AO15" s="2">
        <f t="shared" si="15"/>
        <v>363925.94946249999</v>
      </c>
      <c r="AP15" s="13"/>
      <c r="AQ15" s="2">
        <f>K15*$AR$6</f>
        <v>37590.671999999999</v>
      </c>
      <c r="AR15" s="2">
        <f t="shared" si="16"/>
        <v>19780.959208</v>
      </c>
      <c r="AS15" s="2">
        <f t="shared" si="17"/>
        <v>57371.631207999999</v>
      </c>
      <c r="AT15" s="13"/>
      <c r="AU15" s="13">
        <f>K15*$AV$6</f>
        <v>2088.0929999999998</v>
      </c>
      <c r="AV15" s="13">
        <f t="shared" si="18"/>
        <v>1098.7960644999998</v>
      </c>
      <c r="AW15" s="13">
        <f t="shared" si="19"/>
        <v>3186.8890644999997</v>
      </c>
      <c r="AX15" s="13"/>
      <c r="AY15" s="13">
        <f>K15*$AZ$6</f>
        <v>24052.161</v>
      </c>
      <c r="AZ15" s="13">
        <f t="shared" si="20"/>
        <v>12656.7254665</v>
      </c>
      <c r="BA15" s="13">
        <f t="shared" si="21"/>
        <v>36708.8864665</v>
      </c>
      <c r="BB15" s="13"/>
      <c r="BC15" s="13">
        <f>K15*$BD$6</f>
        <v>33624.401999999995</v>
      </c>
      <c r="BD15" s="13">
        <f t="shared" si="22"/>
        <v>17693.829052999998</v>
      </c>
      <c r="BE15" s="13">
        <f t="shared" si="23"/>
        <v>51318.231052999996</v>
      </c>
      <c r="BF15" s="13"/>
      <c r="BG15" s="13">
        <f>K15*$BH$6</f>
        <v>4703.8319999999994</v>
      </c>
      <c r="BH15" s="13">
        <f t="shared" si="24"/>
        <v>2475.2499479999997</v>
      </c>
      <c r="BI15" s="13">
        <f t="shared" si="25"/>
        <v>7179.0819479999991</v>
      </c>
      <c r="BJ15" s="13"/>
      <c r="BK15" s="13">
        <f>K15*$BM$6</f>
        <v>24435.935999999998</v>
      </c>
      <c r="BL15" s="13">
        <f t="shared" si="26"/>
        <v>12858.675503999999</v>
      </c>
      <c r="BM15" s="13">
        <f t="shared" si="27"/>
        <v>37294.611504</v>
      </c>
      <c r="BN15" s="13"/>
      <c r="BO15" s="13">
        <f>K15*$BP$6</f>
        <v>1388.73</v>
      </c>
      <c r="BP15" s="13">
        <f t="shared" si="28"/>
        <v>730.77734500000008</v>
      </c>
      <c r="BQ15" s="13">
        <f t="shared" si="29"/>
        <v>2119.507345</v>
      </c>
      <c r="BR15" s="13"/>
      <c r="BS15" s="13">
        <f>K15*$BT$6</f>
        <v>4908.393</v>
      </c>
      <c r="BT15" s="13">
        <f t="shared" si="30"/>
        <v>2582.8940145000001</v>
      </c>
      <c r="BU15" s="13">
        <f t="shared" si="31"/>
        <v>7491.2870144999997</v>
      </c>
      <c r="BV15" s="13"/>
      <c r="BW15" s="13">
        <f>K15*$BX$6</f>
        <v>17841.789000000001</v>
      </c>
      <c r="BX15" s="13">
        <f t="shared" si="32"/>
        <v>9388.7042084999994</v>
      </c>
      <c r="BY15" s="13">
        <f t="shared" si="33"/>
        <v>27230.4932085</v>
      </c>
      <c r="BZ15" s="13"/>
      <c r="CA15" s="13">
        <f>K15*$CB$6</f>
        <v>121842.67200000001</v>
      </c>
      <c r="CB15" s="13">
        <f t="shared" si="34"/>
        <v>64116.037208000009</v>
      </c>
      <c r="CC15" s="13">
        <f t="shared" si="35"/>
        <v>185958.70920800001</v>
      </c>
      <c r="CD15" s="13"/>
      <c r="CE15" s="13">
        <f>K15*$CF$6</f>
        <v>504266.42699999997</v>
      </c>
      <c r="CF15" s="13">
        <f t="shared" si="36"/>
        <v>265355.02271549997</v>
      </c>
      <c r="CG15" s="13">
        <f t="shared" si="37"/>
        <v>769621.4497155</v>
      </c>
      <c r="CH15" s="13"/>
      <c r="CI15" s="13">
        <f>K15*$CJ$6</f>
        <v>92701.47600000001</v>
      </c>
      <c r="CJ15" s="13">
        <f t="shared" si="38"/>
        <v>48781.360314000005</v>
      </c>
      <c r="CK15" s="13">
        <f t="shared" si="39"/>
        <v>141482.83631400001</v>
      </c>
      <c r="CL15" s="13"/>
      <c r="CM15" s="13">
        <f>K15*$CN$6</f>
        <v>317379.783</v>
      </c>
      <c r="CN15" s="13">
        <f t="shared" si="40"/>
        <v>167011.55384950002</v>
      </c>
      <c r="CO15" s="13">
        <f t="shared" si="41"/>
        <v>484391.33684950002</v>
      </c>
      <c r="CP15" s="13"/>
      <c r="CQ15" s="13">
        <f>K15*$CR$6</f>
        <v>67667.565000000002</v>
      </c>
      <c r="CR15" s="13">
        <f t="shared" si="42"/>
        <v>35608.0184725</v>
      </c>
      <c r="CS15" s="13">
        <f t="shared" si="43"/>
        <v>103275.5834725</v>
      </c>
      <c r="CT15" s="13"/>
      <c r="CU15" s="13">
        <f>K15*$CV$6</f>
        <v>5512.7939999999999</v>
      </c>
      <c r="CV15" s="13">
        <f t="shared" si="44"/>
        <v>2900.9418409999998</v>
      </c>
      <c r="CW15" s="13">
        <f t="shared" si="45"/>
        <v>8413.7358409999997</v>
      </c>
      <c r="CX15" s="13"/>
      <c r="CY15" s="13">
        <f>K15*$CZ$6</f>
        <v>6574.8689999999997</v>
      </c>
      <c r="CZ15" s="13">
        <f t="shared" si="46"/>
        <v>3459.8268284999999</v>
      </c>
      <c r="DA15" s="13">
        <f t="shared" si="47"/>
        <v>10034.6958285</v>
      </c>
      <c r="DB15" s="13"/>
      <c r="DC15" s="13">
        <f>K15*$DD$6</f>
        <v>13409.634</v>
      </c>
      <c r="DD15" s="13">
        <f t="shared" si="48"/>
        <v>7056.4161009999998</v>
      </c>
      <c r="DE15" s="13">
        <f t="shared" si="49"/>
        <v>20466.050101000001</v>
      </c>
      <c r="DF15" s="13"/>
      <c r="DG15" s="13">
        <f>K15*$DH$6</f>
        <v>369614.95199999999</v>
      </c>
      <c r="DH15" s="13">
        <f t="shared" si="50"/>
        <v>194498.73862799999</v>
      </c>
      <c r="DI15" s="13">
        <f t="shared" si="51"/>
        <v>564113.69062799995</v>
      </c>
      <c r="DJ15" s="13"/>
      <c r="DK15" s="13">
        <f>K15*$DL$6</f>
        <v>14354.970000000001</v>
      </c>
      <c r="DL15" s="13">
        <f t="shared" si="52"/>
        <v>7553.8707050000003</v>
      </c>
      <c r="DM15" s="13">
        <f t="shared" si="53"/>
        <v>21908.840705000002</v>
      </c>
      <c r="DN15" s="13"/>
      <c r="DO15" s="13">
        <f>K15*$DP$6</f>
        <v>30763.404000000002</v>
      </c>
      <c r="DP15" s="13">
        <f t="shared" si="54"/>
        <v>16188.315006000001</v>
      </c>
      <c r="DQ15" s="13">
        <f t="shared" si="55"/>
        <v>46951.719005999999</v>
      </c>
      <c r="DR15" s="13"/>
      <c r="DS15" s="13"/>
      <c r="DT15" s="13"/>
      <c r="DU15" s="13"/>
      <c r="DW15" s="13"/>
      <c r="DX15" s="13"/>
      <c r="DY15" s="13"/>
    </row>
    <row r="16" spans="1:129" x14ac:dyDescent="0.2">
      <c r="A16" s="11">
        <v>41548</v>
      </c>
      <c r="D16" s="14">
        <v>951325</v>
      </c>
      <c r="H16" s="14">
        <v>838030</v>
      </c>
      <c r="L16" s="14">
        <f t="shared" si="0"/>
        <v>1789355</v>
      </c>
      <c r="M16" s="14">
        <f t="shared" si="1"/>
        <v>1789355</v>
      </c>
      <c r="P16" s="13">
        <v>575373</v>
      </c>
      <c r="Q16" s="13">
        <f t="shared" si="2"/>
        <v>575373</v>
      </c>
      <c r="S16" s="13"/>
      <c r="T16" s="14">
        <f t="shared" si="4"/>
        <v>1213981.6370074998</v>
      </c>
      <c r="U16" s="13">
        <f t="shared" si="5"/>
        <v>1213981.6370074998</v>
      </c>
      <c r="W16" s="2"/>
      <c r="X16" s="2">
        <f t="shared" si="6"/>
        <v>98444.0493575</v>
      </c>
      <c r="Y16" s="2">
        <f t="shared" si="7"/>
        <v>98444.0493575</v>
      </c>
      <c r="AA16" s="2"/>
      <c r="AB16" s="2">
        <f t="shared" si="8"/>
        <v>120178.9866715</v>
      </c>
      <c r="AC16" s="2">
        <f t="shared" si="9"/>
        <v>120178.9866715</v>
      </c>
      <c r="AF16" s="13">
        <f t="shared" si="10"/>
        <v>440.00239450000004</v>
      </c>
      <c r="AG16" s="13">
        <f t="shared" si="11"/>
        <v>440.00239450000004</v>
      </c>
      <c r="AI16" s="2"/>
      <c r="AJ16" s="2">
        <f t="shared" si="12"/>
        <v>25974.456115500001</v>
      </c>
      <c r="AK16" s="2">
        <f t="shared" si="13"/>
        <v>25974.456115500001</v>
      </c>
      <c r="AM16" s="2"/>
      <c r="AN16" s="2">
        <f t="shared" si="14"/>
        <v>119515.49383750001</v>
      </c>
      <c r="AO16" s="2">
        <f t="shared" si="15"/>
        <v>119515.49383750001</v>
      </c>
      <c r="AP16" s="13"/>
      <c r="AQ16" s="2"/>
      <c r="AR16" s="2">
        <f t="shared" si="16"/>
        <v>18841.192407999999</v>
      </c>
      <c r="AS16" s="2">
        <f t="shared" si="17"/>
        <v>18841.192407999999</v>
      </c>
      <c r="AT16" s="13"/>
      <c r="AU16" s="13"/>
      <c r="AV16" s="13">
        <f t="shared" si="18"/>
        <v>1046.5937394999999</v>
      </c>
      <c r="AW16" s="13">
        <f t="shared" si="19"/>
        <v>1046.5937394999999</v>
      </c>
      <c r="AX16" s="13"/>
      <c r="AY16" s="13"/>
      <c r="AZ16" s="13">
        <f t="shared" si="20"/>
        <v>12055.421441500001</v>
      </c>
      <c r="BA16" s="13">
        <f t="shared" si="21"/>
        <v>12055.421441500001</v>
      </c>
      <c r="BB16" s="13"/>
      <c r="BC16" s="13"/>
      <c r="BD16" s="13">
        <f t="shared" si="22"/>
        <v>16853.219002999998</v>
      </c>
      <c r="BE16" s="13">
        <f t="shared" si="23"/>
        <v>16853.219002999998</v>
      </c>
      <c r="BF16" s="13"/>
      <c r="BG16" s="13"/>
      <c r="BH16" s="13">
        <f t="shared" si="24"/>
        <v>2357.6541480000001</v>
      </c>
      <c r="BI16" s="13">
        <f t="shared" si="25"/>
        <v>2357.6541480000001</v>
      </c>
      <c r="BJ16" s="13"/>
      <c r="BK16" s="13"/>
      <c r="BL16" s="13">
        <f t="shared" si="26"/>
        <v>12247.777103999999</v>
      </c>
      <c r="BM16" s="13">
        <f t="shared" si="27"/>
        <v>12247.777103999999</v>
      </c>
      <c r="BN16" s="13"/>
      <c r="BO16" s="13"/>
      <c r="BP16" s="13">
        <f t="shared" si="28"/>
        <v>696.05909500000007</v>
      </c>
      <c r="BQ16" s="13">
        <f t="shared" si="29"/>
        <v>696.05909500000007</v>
      </c>
      <c r="BR16" s="13"/>
      <c r="BS16" s="13"/>
      <c r="BT16" s="13">
        <f t="shared" si="30"/>
        <v>2460.1841895000002</v>
      </c>
      <c r="BU16" s="13">
        <f t="shared" si="31"/>
        <v>2460.1841895000002</v>
      </c>
      <c r="BV16" s="13"/>
      <c r="BW16" s="13"/>
      <c r="BX16" s="13">
        <f t="shared" si="32"/>
        <v>8942.6594834999996</v>
      </c>
      <c r="BY16" s="13">
        <f t="shared" si="33"/>
        <v>8942.6594834999996</v>
      </c>
      <c r="BZ16" s="13"/>
      <c r="CA16" s="13"/>
      <c r="CB16" s="13">
        <f t="shared" si="34"/>
        <v>61069.970408000008</v>
      </c>
      <c r="CC16" s="13">
        <f t="shared" si="35"/>
        <v>61069.970408000008</v>
      </c>
      <c r="CD16" s="13"/>
      <c r="CE16" s="13"/>
      <c r="CF16" s="13">
        <f t="shared" si="36"/>
        <v>252748.36204049998</v>
      </c>
      <c r="CG16" s="13">
        <f t="shared" si="37"/>
        <v>252748.36204049998</v>
      </c>
      <c r="CH16" s="13"/>
      <c r="CI16" s="13"/>
      <c r="CJ16" s="13">
        <f t="shared" si="38"/>
        <v>46463.823414000006</v>
      </c>
      <c r="CK16" s="13">
        <f t="shared" si="39"/>
        <v>46463.823414000006</v>
      </c>
      <c r="CL16" s="13"/>
      <c r="CM16" s="13"/>
      <c r="CN16" s="13">
        <f t="shared" si="40"/>
        <v>159077.0592745</v>
      </c>
      <c r="CO16" s="13">
        <f t="shared" si="41"/>
        <v>159077.0592745</v>
      </c>
      <c r="CP16" s="13"/>
      <c r="CQ16" s="13"/>
      <c r="CR16" s="13">
        <f t="shared" si="42"/>
        <v>33916.329347499995</v>
      </c>
      <c r="CS16" s="13">
        <f t="shared" si="43"/>
        <v>33916.329347499995</v>
      </c>
      <c r="CT16" s="13"/>
      <c r="CU16" s="13"/>
      <c r="CV16" s="13">
        <f t="shared" si="44"/>
        <v>2763.121991</v>
      </c>
      <c r="CW16" s="13">
        <f t="shared" si="45"/>
        <v>2763.121991</v>
      </c>
      <c r="CX16" s="13"/>
      <c r="CY16" s="13"/>
      <c r="CZ16" s="13">
        <f t="shared" si="46"/>
        <v>3295.4551035</v>
      </c>
      <c r="DA16" s="13">
        <f t="shared" si="47"/>
        <v>3295.4551035</v>
      </c>
      <c r="DB16" s="13"/>
      <c r="DC16" s="13"/>
      <c r="DD16" s="13">
        <f t="shared" si="48"/>
        <v>6721.1752509999997</v>
      </c>
      <c r="DE16" s="13">
        <f t="shared" si="49"/>
        <v>6721.1752509999997</v>
      </c>
      <c r="DF16" s="13"/>
      <c r="DG16" s="13"/>
      <c r="DH16" s="13">
        <f t="shared" si="50"/>
        <v>185258.36482800002</v>
      </c>
      <c r="DI16" s="13">
        <f t="shared" si="51"/>
        <v>185258.36482800002</v>
      </c>
      <c r="DJ16" s="13"/>
      <c r="DK16" s="13"/>
      <c r="DL16" s="13">
        <f t="shared" si="52"/>
        <v>7194.9964550000004</v>
      </c>
      <c r="DM16" s="13">
        <f t="shared" si="53"/>
        <v>7194.9964550000004</v>
      </c>
      <c r="DN16" s="13"/>
      <c r="DO16" s="13"/>
      <c r="DP16" s="13">
        <f t="shared" si="54"/>
        <v>15419.229906</v>
      </c>
      <c r="DQ16" s="13">
        <f t="shared" si="55"/>
        <v>15419.229906</v>
      </c>
      <c r="DR16" s="13"/>
      <c r="DS16" s="13"/>
      <c r="DT16" s="13"/>
      <c r="DU16" s="13"/>
      <c r="DW16" s="13"/>
      <c r="DX16" s="13"/>
      <c r="DY16" s="13"/>
    </row>
    <row r="17" spans="1:129" x14ac:dyDescent="0.2">
      <c r="A17" s="11">
        <v>41730</v>
      </c>
      <c r="C17" s="14">
        <v>3750000</v>
      </c>
      <c r="D17" s="14">
        <v>951325</v>
      </c>
      <c r="H17" s="14">
        <v>838030</v>
      </c>
      <c r="K17" s="14">
        <f t="shared" si="3"/>
        <v>3750000</v>
      </c>
      <c r="L17" s="14">
        <f t="shared" si="0"/>
        <v>1789355</v>
      </c>
      <c r="M17" s="14">
        <f t="shared" si="1"/>
        <v>5539355</v>
      </c>
      <c r="O17" s="13">
        <v>1205826</v>
      </c>
      <c r="P17" s="13">
        <v>575373</v>
      </c>
      <c r="Q17" s="13">
        <f t="shared" si="2"/>
        <v>1781199</v>
      </c>
      <c r="S17" s="13">
        <f t="shared" si="56"/>
        <v>2544174.375</v>
      </c>
      <c r="T17" s="14">
        <f t="shared" si="4"/>
        <v>1213981.6370074998</v>
      </c>
      <c r="U17" s="13">
        <f t="shared" si="5"/>
        <v>3758156.0120075</v>
      </c>
      <c r="W17" s="2">
        <f>K17*$X$6</f>
        <v>206311.875</v>
      </c>
      <c r="X17" s="2">
        <f t="shared" si="6"/>
        <v>98444.0493575</v>
      </c>
      <c r="Y17" s="2">
        <f t="shared" si="7"/>
        <v>304755.92435749999</v>
      </c>
      <c r="AA17" s="2">
        <f>K17*$AB$6</f>
        <v>251862.37499999997</v>
      </c>
      <c r="AB17" s="2">
        <f t="shared" si="8"/>
        <v>120178.9866715</v>
      </c>
      <c r="AC17" s="2">
        <f t="shared" si="9"/>
        <v>372041.36167149997</v>
      </c>
      <c r="AE17" s="13">
        <f>K17*$AF$6</f>
        <v>922.125</v>
      </c>
      <c r="AF17" s="13">
        <f t="shared" si="10"/>
        <v>440.00239450000004</v>
      </c>
      <c r="AG17" s="13">
        <f t="shared" si="11"/>
        <v>1362.1273945</v>
      </c>
      <c r="AI17" s="2">
        <f>K17*$AJ$6</f>
        <v>54435.375</v>
      </c>
      <c r="AJ17" s="2">
        <f t="shared" si="12"/>
        <v>25974.456115500001</v>
      </c>
      <c r="AK17" s="2">
        <f t="shared" si="13"/>
        <v>80409.831115499997</v>
      </c>
      <c r="AM17" s="2">
        <f>K17*$AN$6</f>
        <v>250471.87500000003</v>
      </c>
      <c r="AN17" s="2">
        <f t="shared" si="14"/>
        <v>119515.49383750001</v>
      </c>
      <c r="AO17" s="2">
        <f t="shared" si="15"/>
        <v>369987.36883750005</v>
      </c>
      <c r="AP17" s="13"/>
      <c r="AQ17" s="2">
        <f>K17*$AR$6</f>
        <v>39486</v>
      </c>
      <c r="AR17" s="2">
        <f t="shared" si="16"/>
        <v>18841.192407999999</v>
      </c>
      <c r="AS17" s="2">
        <f t="shared" si="17"/>
        <v>58327.192408000003</v>
      </c>
      <c r="AT17" s="13"/>
      <c r="AU17" s="13">
        <f>K17*$AV$6</f>
        <v>2193.375</v>
      </c>
      <c r="AV17" s="13">
        <f t="shared" si="18"/>
        <v>1046.5937394999999</v>
      </c>
      <c r="AW17" s="13">
        <f t="shared" si="19"/>
        <v>3239.9687395000001</v>
      </c>
      <c r="AX17" s="13"/>
      <c r="AY17" s="13">
        <f>K17*$AZ$6</f>
        <v>25264.875</v>
      </c>
      <c r="AZ17" s="13">
        <f t="shared" si="20"/>
        <v>12055.421441500001</v>
      </c>
      <c r="BA17" s="13">
        <f t="shared" si="21"/>
        <v>37320.296441500002</v>
      </c>
      <c r="BB17" s="13"/>
      <c r="BC17" s="13">
        <f>K17*$BD$6</f>
        <v>35319.75</v>
      </c>
      <c r="BD17" s="13">
        <f t="shared" si="22"/>
        <v>16853.219002999998</v>
      </c>
      <c r="BE17" s="13">
        <f t="shared" si="23"/>
        <v>52172.969002999998</v>
      </c>
      <c r="BF17" s="13"/>
      <c r="BG17" s="13">
        <f>K17*$BH$6</f>
        <v>4941</v>
      </c>
      <c r="BH17" s="13">
        <f t="shared" si="24"/>
        <v>2357.6541480000001</v>
      </c>
      <c r="BI17" s="13">
        <f t="shared" si="25"/>
        <v>7298.6541479999996</v>
      </c>
      <c r="BJ17" s="13"/>
      <c r="BK17" s="13">
        <f>K17*$BM$6</f>
        <v>25668</v>
      </c>
      <c r="BL17" s="13">
        <f t="shared" si="26"/>
        <v>12247.777103999999</v>
      </c>
      <c r="BM17" s="13">
        <f t="shared" si="27"/>
        <v>37915.777104000001</v>
      </c>
      <c r="BN17" s="13"/>
      <c r="BO17" s="13">
        <f>K17*$BP$6</f>
        <v>1458.75</v>
      </c>
      <c r="BP17" s="13">
        <f t="shared" si="28"/>
        <v>696.05909500000007</v>
      </c>
      <c r="BQ17" s="13">
        <f t="shared" si="29"/>
        <v>2154.8090950000001</v>
      </c>
      <c r="BR17" s="13"/>
      <c r="BS17" s="13">
        <f>K17*$BT$6</f>
        <v>5155.875</v>
      </c>
      <c r="BT17" s="13">
        <f t="shared" si="30"/>
        <v>2460.1841895000002</v>
      </c>
      <c r="BU17" s="13">
        <f t="shared" si="31"/>
        <v>7616.0591894999998</v>
      </c>
      <c r="BV17" s="13"/>
      <c r="BW17" s="13">
        <f>K17*$BX$6</f>
        <v>18741.375</v>
      </c>
      <c r="BX17" s="13">
        <f t="shared" si="32"/>
        <v>8942.6594834999996</v>
      </c>
      <c r="BY17" s="13">
        <f t="shared" si="33"/>
        <v>27684.0344835</v>
      </c>
      <c r="BZ17" s="13"/>
      <c r="CA17" s="13">
        <f>K17*$CB$6</f>
        <v>127986.00000000001</v>
      </c>
      <c r="CB17" s="13">
        <f t="shared" si="34"/>
        <v>61069.970408000008</v>
      </c>
      <c r="CC17" s="13">
        <f t="shared" si="35"/>
        <v>189055.97040800002</v>
      </c>
      <c r="CD17" s="13"/>
      <c r="CE17" s="13">
        <f>K17*$CF$6</f>
        <v>529691.625</v>
      </c>
      <c r="CF17" s="13">
        <f t="shared" si="36"/>
        <v>252748.36204049998</v>
      </c>
      <c r="CG17" s="13">
        <f t="shared" si="37"/>
        <v>782439.98704049992</v>
      </c>
      <c r="CH17" s="13"/>
      <c r="CI17" s="13">
        <f>K17*$CJ$6</f>
        <v>97375.5</v>
      </c>
      <c r="CJ17" s="13">
        <f t="shared" si="38"/>
        <v>46463.823414000006</v>
      </c>
      <c r="CK17" s="13">
        <f t="shared" si="39"/>
        <v>143839.32341400001</v>
      </c>
      <c r="CL17" s="13"/>
      <c r="CM17" s="13">
        <f>K17*$CN$6</f>
        <v>333382.125</v>
      </c>
      <c r="CN17" s="13">
        <f t="shared" si="40"/>
        <v>159077.0592745</v>
      </c>
      <c r="CO17" s="13">
        <f t="shared" si="41"/>
        <v>492459.1842745</v>
      </c>
      <c r="CP17" s="13"/>
      <c r="CQ17" s="13">
        <f>K17*$CR$6</f>
        <v>71079.375</v>
      </c>
      <c r="CR17" s="13">
        <f t="shared" si="42"/>
        <v>33916.329347499995</v>
      </c>
      <c r="CS17" s="13">
        <f t="shared" si="43"/>
        <v>104995.7043475</v>
      </c>
      <c r="CT17" s="13"/>
      <c r="CU17" s="13">
        <f>K17*$CV$6</f>
        <v>5790.75</v>
      </c>
      <c r="CV17" s="13">
        <f t="shared" si="44"/>
        <v>2763.121991</v>
      </c>
      <c r="CW17" s="13">
        <f t="shared" si="45"/>
        <v>8553.871991</v>
      </c>
      <c r="CX17" s="13"/>
      <c r="CY17" s="13">
        <f>K17*$CZ$6</f>
        <v>6906.375</v>
      </c>
      <c r="CZ17" s="13">
        <f t="shared" si="46"/>
        <v>3295.4551035</v>
      </c>
      <c r="DA17" s="13">
        <f t="shared" si="47"/>
        <v>10201.8301035</v>
      </c>
      <c r="DB17" s="13"/>
      <c r="DC17" s="13">
        <f>K17*$DD$6</f>
        <v>14085.75</v>
      </c>
      <c r="DD17" s="13">
        <f t="shared" si="48"/>
        <v>6721.1752509999997</v>
      </c>
      <c r="DE17" s="13">
        <f t="shared" si="49"/>
        <v>20806.925251000001</v>
      </c>
      <c r="DF17" s="13"/>
      <c r="DG17" s="13">
        <f>K17*$DH$6</f>
        <v>388251</v>
      </c>
      <c r="DH17" s="13">
        <f t="shared" si="50"/>
        <v>185258.36482800002</v>
      </c>
      <c r="DI17" s="13">
        <f t="shared" si="51"/>
        <v>573509.36482800008</v>
      </c>
      <c r="DJ17" s="13"/>
      <c r="DK17" s="13">
        <f>K17*$DL$6</f>
        <v>15078.750000000002</v>
      </c>
      <c r="DL17" s="13">
        <f t="shared" si="52"/>
        <v>7194.9964550000004</v>
      </c>
      <c r="DM17" s="13">
        <f t="shared" si="53"/>
        <v>22273.746455</v>
      </c>
      <c r="DN17" s="13"/>
      <c r="DO17" s="13">
        <f>K17*$DP$6</f>
        <v>32314.5</v>
      </c>
      <c r="DP17" s="13">
        <f t="shared" si="54"/>
        <v>15419.229906</v>
      </c>
      <c r="DQ17" s="13">
        <f t="shared" si="55"/>
        <v>47733.729906</v>
      </c>
      <c r="DR17" s="13"/>
      <c r="DS17" s="13"/>
      <c r="DT17" s="13"/>
      <c r="DU17" s="13"/>
      <c r="DW17" s="13"/>
      <c r="DX17" s="13"/>
      <c r="DY17" s="13"/>
    </row>
    <row r="18" spans="1:129" x14ac:dyDescent="0.2">
      <c r="A18" s="11">
        <v>41913</v>
      </c>
      <c r="D18" s="14">
        <v>857575</v>
      </c>
      <c r="H18" s="14">
        <v>838030</v>
      </c>
      <c r="L18" s="14">
        <f t="shared" si="0"/>
        <v>1695605</v>
      </c>
      <c r="M18" s="14">
        <f t="shared" si="1"/>
        <v>1695605</v>
      </c>
      <c r="P18" s="13">
        <v>545228</v>
      </c>
      <c r="Q18" s="13">
        <f t="shared" si="2"/>
        <v>545228</v>
      </c>
      <c r="S18" s="13"/>
      <c r="T18" s="14">
        <f t="shared" si="4"/>
        <v>1150377.2776325005</v>
      </c>
      <c r="U18" s="13">
        <f t="shared" si="5"/>
        <v>1150377.2776325005</v>
      </c>
      <c r="W18" s="2"/>
      <c r="X18" s="2">
        <f t="shared" si="6"/>
        <v>93286.2524825</v>
      </c>
      <c r="Y18" s="2">
        <f t="shared" si="7"/>
        <v>93286.2524825</v>
      </c>
      <c r="AA18" s="2"/>
      <c r="AB18" s="2">
        <f t="shared" si="8"/>
        <v>113882.4272965</v>
      </c>
      <c r="AC18" s="2">
        <f t="shared" si="9"/>
        <v>113882.4272965</v>
      </c>
      <c r="AF18" s="13">
        <f t="shared" si="10"/>
        <v>416.94926950000001</v>
      </c>
      <c r="AG18" s="13">
        <f t="shared" si="11"/>
        <v>416.94926950000001</v>
      </c>
      <c r="AI18" s="2"/>
      <c r="AJ18" s="2">
        <f t="shared" si="12"/>
        <v>24613.5717405</v>
      </c>
      <c r="AK18" s="2">
        <f t="shared" si="13"/>
        <v>24613.5717405</v>
      </c>
      <c r="AM18" s="2"/>
      <c r="AN18" s="2">
        <f t="shared" si="14"/>
        <v>113253.69696250001</v>
      </c>
      <c r="AO18" s="2">
        <f t="shared" si="15"/>
        <v>113253.69696250001</v>
      </c>
      <c r="AP18" s="13"/>
      <c r="AQ18" s="2"/>
      <c r="AR18" s="2">
        <f t="shared" si="16"/>
        <v>17854.042408000001</v>
      </c>
      <c r="AS18" s="2">
        <f t="shared" si="17"/>
        <v>17854.042408000001</v>
      </c>
      <c r="AT18" s="13"/>
      <c r="AU18" s="13"/>
      <c r="AV18" s="13">
        <f t="shared" si="18"/>
        <v>991.75936449999995</v>
      </c>
      <c r="AW18" s="13">
        <f t="shared" si="19"/>
        <v>991.75936449999995</v>
      </c>
      <c r="AX18" s="13"/>
      <c r="AY18" s="13"/>
      <c r="AZ18" s="13">
        <f t="shared" si="20"/>
        <v>11423.7995665</v>
      </c>
      <c r="BA18" s="13">
        <f t="shared" si="21"/>
        <v>11423.7995665</v>
      </c>
      <c r="BB18" s="13"/>
      <c r="BC18" s="13"/>
      <c r="BD18" s="13">
        <f t="shared" si="22"/>
        <v>15970.225252999999</v>
      </c>
      <c r="BE18" s="13">
        <f t="shared" si="23"/>
        <v>15970.225252999999</v>
      </c>
      <c r="BF18" s="13"/>
      <c r="BG18" s="13"/>
      <c r="BH18" s="13">
        <f t="shared" si="24"/>
        <v>2234.129148</v>
      </c>
      <c r="BI18" s="13">
        <f t="shared" si="25"/>
        <v>2234.129148</v>
      </c>
      <c r="BJ18" s="13"/>
      <c r="BK18" s="13"/>
      <c r="BL18" s="13">
        <f t="shared" si="26"/>
        <v>11606.077104</v>
      </c>
      <c r="BM18" s="13">
        <f t="shared" si="27"/>
        <v>11606.077104</v>
      </c>
      <c r="BN18" s="13"/>
      <c r="BO18" s="13"/>
      <c r="BP18" s="13">
        <f t="shared" si="28"/>
        <v>659.59034500000007</v>
      </c>
      <c r="BQ18" s="13">
        <f t="shared" si="29"/>
        <v>659.59034500000007</v>
      </c>
      <c r="BR18" s="13"/>
      <c r="BS18" s="13"/>
      <c r="BT18" s="13">
        <f t="shared" si="30"/>
        <v>2331.2873145000003</v>
      </c>
      <c r="BU18" s="13">
        <f t="shared" si="31"/>
        <v>2331.2873145000003</v>
      </c>
      <c r="BV18" s="13"/>
      <c r="BW18" s="13"/>
      <c r="BX18" s="13">
        <f t="shared" si="32"/>
        <v>8474.1251085000004</v>
      </c>
      <c r="BY18" s="13">
        <f t="shared" si="33"/>
        <v>8474.1251085000004</v>
      </c>
      <c r="BZ18" s="13"/>
      <c r="CA18" s="13"/>
      <c r="CB18" s="13">
        <f t="shared" si="34"/>
        <v>57870.320408000007</v>
      </c>
      <c r="CC18" s="13">
        <f t="shared" si="35"/>
        <v>57870.320408000007</v>
      </c>
      <c r="CD18" s="13"/>
      <c r="CE18" s="13"/>
      <c r="CF18" s="13">
        <f t="shared" si="36"/>
        <v>239506.07141549999</v>
      </c>
      <c r="CG18" s="13">
        <f t="shared" si="37"/>
        <v>239506.07141549999</v>
      </c>
      <c r="CH18" s="13"/>
      <c r="CI18" s="13"/>
      <c r="CJ18" s="13">
        <f t="shared" si="38"/>
        <v>44029.435914000002</v>
      </c>
      <c r="CK18" s="13">
        <f t="shared" si="39"/>
        <v>44029.435914000002</v>
      </c>
      <c r="CL18" s="13"/>
      <c r="CM18" s="13"/>
      <c r="CN18" s="13">
        <f t="shared" si="40"/>
        <v>150742.5061495</v>
      </c>
      <c r="CO18" s="13">
        <f t="shared" si="41"/>
        <v>150742.5061495</v>
      </c>
      <c r="CP18" s="13"/>
      <c r="CQ18" s="13"/>
      <c r="CR18" s="13">
        <f t="shared" si="42"/>
        <v>32139.344972499999</v>
      </c>
      <c r="CS18" s="13">
        <f t="shared" si="43"/>
        <v>32139.344972499999</v>
      </c>
      <c r="CT18" s="13"/>
      <c r="CU18" s="13"/>
      <c r="CV18" s="13">
        <f t="shared" si="44"/>
        <v>2618.3532409999998</v>
      </c>
      <c r="CW18" s="13">
        <f t="shared" si="45"/>
        <v>2618.3532409999998</v>
      </c>
      <c r="CX18" s="13"/>
      <c r="CY18" s="13"/>
      <c r="CZ18" s="13">
        <f t="shared" si="46"/>
        <v>3122.7957284999998</v>
      </c>
      <c r="DA18" s="13">
        <f t="shared" si="47"/>
        <v>3122.7957284999998</v>
      </c>
      <c r="DB18" s="13"/>
      <c r="DC18" s="13"/>
      <c r="DD18" s="13">
        <f t="shared" si="48"/>
        <v>6369.0315009999995</v>
      </c>
      <c r="DE18" s="13">
        <f t="shared" si="49"/>
        <v>6369.0315009999995</v>
      </c>
      <c r="DF18" s="13"/>
      <c r="DG18" s="13"/>
      <c r="DH18" s="13">
        <f t="shared" si="50"/>
        <v>175552.089828</v>
      </c>
      <c r="DI18" s="13">
        <f t="shared" si="51"/>
        <v>175552.089828</v>
      </c>
      <c r="DJ18" s="13"/>
      <c r="DK18" s="13"/>
      <c r="DL18" s="13">
        <f t="shared" si="52"/>
        <v>6818.0277050000004</v>
      </c>
      <c r="DM18" s="13">
        <f t="shared" si="53"/>
        <v>6818.0277050000004</v>
      </c>
      <c r="DN18" s="13"/>
      <c r="DO18" s="13"/>
      <c r="DP18" s="13">
        <f t="shared" si="54"/>
        <v>14611.367406000001</v>
      </c>
      <c r="DQ18" s="13">
        <f t="shared" si="55"/>
        <v>14611.367406000001</v>
      </c>
      <c r="DR18" s="13"/>
      <c r="DS18" s="13"/>
      <c r="DT18" s="13"/>
      <c r="DU18" s="13"/>
      <c r="DW18" s="13"/>
      <c r="DX18" s="13"/>
      <c r="DY18" s="13"/>
    </row>
    <row r="19" spans="1:129" x14ac:dyDescent="0.2">
      <c r="A19" s="11">
        <v>42095</v>
      </c>
      <c r="C19" s="14">
        <v>3935000</v>
      </c>
      <c r="D19" s="14">
        <v>857575</v>
      </c>
      <c r="H19" s="14">
        <v>838030</v>
      </c>
      <c r="K19" s="14">
        <f t="shared" si="3"/>
        <v>3935000</v>
      </c>
      <c r="L19" s="14">
        <f t="shared" si="0"/>
        <v>1695605</v>
      </c>
      <c r="M19" s="14">
        <f t="shared" si="1"/>
        <v>5630605</v>
      </c>
      <c r="O19" s="13">
        <v>1265313</v>
      </c>
      <c r="P19" s="13">
        <v>545228</v>
      </c>
      <c r="Q19" s="13">
        <f t="shared" si="2"/>
        <v>1810541</v>
      </c>
      <c r="S19" s="13">
        <f t="shared" si="56"/>
        <v>2669686.9774999996</v>
      </c>
      <c r="T19" s="14">
        <f t="shared" si="4"/>
        <v>1150377.2776325005</v>
      </c>
      <c r="U19" s="13">
        <f t="shared" si="5"/>
        <v>3820064.2551325001</v>
      </c>
      <c r="W19" s="2">
        <f>K19*$X$6</f>
        <v>216489.92750000002</v>
      </c>
      <c r="X19" s="2">
        <f t="shared" si="6"/>
        <v>93286.2524825</v>
      </c>
      <c r="Y19" s="2">
        <f t="shared" si="7"/>
        <v>309776.17998250003</v>
      </c>
      <c r="AA19" s="2">
        <f>K19*$AB$6</f>
        <v>264287.58549999999</v>
      </c>
      <c r="AB19" s="2">
        <f t="shared" si="8"/>
        <v>113882.4272965</v>
      </c>
      <c r="AC19" s="2">
        <f t="shared" si="9"/>
        <v>378170.0127965</v>
      </c>
      <c r="AE19" s="13">
        <f>K19*$AF$6</f>
        <v>967.61650000000009</v>
      </c>
      <c r="AF19" s="13">
        <f t="shared" si="10"/>
        <v>416.94926950000001</v>
      </c>
      <c r="AG19" s="13">
        <f t="shared" si="11"/>
        <v>1384.5657695</v>
      </c>
      <c r="AI19" s="2">
        <f>K19*$AJ$6</f>
        <v>57120.853500000005</v>
      </c>
      <c r="AJ19" s="2">
        <f t="shared" si="12"/>
        <v>24613.5717405</v>
      </c>
      <c r="AK19" s="2">
        <f t="shared" si="13"/>
        <v>81734.425240500001</v>
      </c>
      <c r="AM19" s="2">
        <f>K19*$AN$6</f>
        <v>262828.48750000005</v>
      </c>
      <c r="AN19" s="2">
        <f t="shared" si="14"/>
        <v>113253.69696250001</v>
      </c>
      <c r="AO19" s="2">
        <f t="shared" si="15"/>
        <v>376082.18446250004</v>
      </c>
      <c r="AP19" s="13"/>
      <c r="AQ19" s="2">
        <f>K19*$AR$6</f>
        <v>41433.976000000002</v>
      </c>
      <c r="AR19" s="2">
        <f t="shared" si="16"/>
        <v>17854.042408000001</v>
      </c>
      <c r="AS19" s="2">
        <f t="shared" si="17"/>
        <v>59288.018408000004</v>
      </c>
      <c r="AT19" s="13"/>
      <c r="AU19" s="13">
        <f>K19*$AV$6</f>
        <v>2301.5814999999998</v>
      </c>
      <c r="AV19" s="13">
        <f t="shared" si="18"/>
        <v>991.75936449999995</v>
      </c>
      <c r="AW19" s="13">
        <f t="shared" si="19"/>
        <v>3293.3408645</v>
      </c>
      <c r="AX19" s="13"/>
      <c r="AY19" s="13">
        <f>K19*$AZ$6</f>
        <v>26511.2755</v>
      </c>
      <c r="AZ19" s="13">
        <f t="shared" si="20"/>
        <v>11423.7995665</v>
      </c>
      <c r="BA19" s="13">
        <f t="shared" si="21"/>
        <v>37935.075066500001</v>
      </c>
      <c r="BB19" s="13"/>
      <c r="BC19" s="13">
        <f>K19*$BD$6</f>
        <v>37062.190999999999</v>
      </c>
      <c r="BD19" s="13">
        <f t="shared" si="22"/>
        <v>15970.225252999999</v>
      </c>
      <c r="BE19" s="13">
        <f t="shared" si="23"/>
        <v>53032.416252999996</v>
      </c>
      <c r="BF19" s="13"/>
      <c r="BG19" s="13">
        <f>K19*$BH$6</f>
        <v>5184.7559999999994</v>
      </c>
      <c r="BH19" s="13">
        <f t="shared" si="24"/>
        <v>2234.129148</v>
      </c>
      <c r="BI19" s="13">
        <f t="shared" si="25"/>
        <v>7418.8851479999994</v>
      </c>
      <c r="BJ19" s="13"/>
      <c r="BK19" s="13">
        <f>K19*$BM$6</f>
        <v>26934.288</v>
      </c>
      <c r="BL19" s="13">
        <f t="shared" si="26"/>
        <v>11606.077104</v>
      </c>
      <c r="BM19" s="13">
        <f t="shared" si="27"/>
        <v>38540.365103999997</v>
      </c>
      <c r="BN19" s="13"/>
      <c r="BO19" s="13">
        <f>K19*$BP$6</f>
        <v>1530.7150000000001</v>
      </c>
      <c r="BP19" s="13">
        <f t="shared" si="28"/>
        <v>659.59034500000007</v>
      </c>
      <c r="BQ19" s="13">
        <f t="shared" si="29"/>
        <v>2190.3053450000002</v>
      </c>
      <c r="BR19" s="13"/>
      <c r="BS19" s="13">
        <f>K19*$BT$6</f>
        <v>5410.2314999999999</v>
      </c>
      <c r="BT19" s="13">
        <f t="shared" si="30"/>
        <v>2331.2873145000003</v>
      </c>
      <c r="BU19" s="13">
        <f t="shared" si="31"/>
        <v>7741.5188145000002</v>
      </c>
      <c r="BV19" s="13"/>
      <c r="BW19" s="13">
        <f>K19*$BX$6</f>
        <v>19665.949499999999</v>
      </c>
      <c r="BX19" s="13">
        <f t="shared" si="32"/>
        <v>8474.1251085000004</v>
      </c>
      <c r="BY19" s="13">
        <f t="shared" si="33"/>
        <v>28140.074608499999</v>
      </c>
      <c r="BZ19" s="13"/>
      <c r="CA19" s="13">
        <f>K19*$CB$6</f>
        <v>134299.97600000002</v>
      </c>
      <c r="CB19" s="13">
        <f t="shared" si="34"/>
        <v>57870.320408000007</v>
      </c>
      <c r="CC19" s="13">
        <f t="shared" si="35"/>
        <v>192170.29640800002</v>
      </c>
      <c r="CD19" s="13"/>
      <c r="CE19" s="13">
        <f>K19*$CF$6</f>
        <v>555823.07849999995</v>
      </c>
      <c r="CF19" s="13">
        <f t="shared" si="36"/>
        <v>239506.07141549999</v>
      </c>
      <c r="CG19" s="13">
        <f t="shared" si="37"/>
        <v>795329.14991549996</v>
      </c>
      <c r="CH19" s="13"/>
      <c r="CI19" s="13">
        <f>K19*$CJ$6</f>
        <v>102179.35800000001</v>
      </c>
      <c r="CJ19" s="13">
        <f t="shared" si="38"/>
        <v>44029.435914000002</v>
      </c>
      <c r="CK19" s="13">
        <f t="shared" si="39"/>
        <v>146208.79391400001</v>
      </c>
      <c r="CL19" s="13"/>
      <c r="CM19" s="13">
        <f>K19*$CN$6</f>
        <v>349828.97650000005</v>
      </c>
      <c r="CN19" s="13">
        <f t="shared" si="40"/>
        <v>150742.5061495</v>
      </c>
      <c r="CO19" s="13">
        <f t="shared" si="41"/>
        <v>500571.48264950002</v>
      </c>
      <c r="CP19" s="13"/>
      <c r="CQ19" s="13">
        <f>K19*$CR$6</f>
        <v>74585.95749999999</v>
      </c>
      <c r="CR19" s="13">
        <f t="shared" si="42"/>
        <v>32139.344972499999</v>
      </c>
      <c r="CS19" s="13">
        <f t="shared" si="43"/>
        <v>106725.30247249999</v>
      </c>
      <c r="CT19" s="13"/>
      <c r="CU19" s="13">
        <f>K19*$CV$6</f>
        <v>6076.4269999999997</v>
      </c>
      <c r="CV19" s="13">
        <f t="shared" si="44"/>
        <v>2618.3532409999998</v>
      </c>
      <c r="CW19" s="13">
        <f t="shared" si="45"/>
        <v>8694.7802410000004</v>
      </c>
      <c r="CX19" s="13"/>
      <c r="CY19" s="13">
        <f>K19*$CZ$6</f>
        <v>7247.0895</v>
      </c>
      <c r="CZ19" s="13">
        <f t="shared" si="46"/>
        <v>3122.7957284999998</v>
      </c>
      <c r="DA19" s="13">
        <f t="shared" si="47"/>
        <v>10369.885228499999</v>
      </c>
      <c r="DB19" s="13"/>
      <c r="DC19" s="13">
        <f>K19*$DD$6</f>
        <v>14780.646999999999</v>
      </c>
      <c r="DD19" s="13">
        <f t="shared" si="48"/>
        <v>6369.0315009999995</v>
      </c>
      <c r="DE19" s="13">
        <f t="shared" si="49"/>
        <v>21149.678500999999</v>
      </c>
      <c r="DF19" s="13"/>
      <c r="DG19" s="13">
        <f>K19*$DH$6</f>
        <v>407404.71600000001</v>
      </c>
      <c r="DH19" s="13">
        <f t="shared" si="50"/>
        <v>175552.089828</v>
      </c>
      <c r="DI19" s="13">
        <f t="shared" si="51"/>
        <v>582956.80582799995</v>
      </c>
      <c r="DJ19" s="13"/>
      <c r="DK19" s="13">
        <f>K19*$DL$6</f>
        <v>15822.635</v>
      </c>
      <c r="DL19" s="13">
        <f t="shared" si="52"/>
        <v>6818.0277050000004</v>
      </c>
      <c r="DM19" s="13">
        <f t="shared" si="53"/>
        <v>22640.662705000002</v>
      </c>
      <c r="DN19" s="13"/>
      <c r="DO19" s="13">
        <f>K19*$DP$6</f>
        <v>33908.682000000001</v>
      </c>
      <c r="DP19" s="13">
        <f t="shared" si="54"/>
        <v>14611.367406000001</v>
      </c>
      <c r="DQ19" s="13">
        <f t="shared" si="55"/>
        <v>48520.049406000006</v>
      </c>
      <c r="DR19" s="13"/>
      <c r="DS19" s="13"/>
      <c r="DT19" s="13"/>
      <c r="DU19" s="13"/>
      <c r="DW19" s="13"/>
      <c r="DX19" s="13"/>
      <c r="DY19" s="13"/>
    </row>
    <row r="20" spans="1:129" x14ac:dyDescent="0.2">
      <c r="A20" s="11">
        <v>42278</v>
      </c>
      <c r="D20" s="14">
        <v>759200</v>
      </c>
      <c r="H20" s="14">
        <v>838030</v>
      </c>
      <c r="L20" s="14">
        <f t="shared" si="0"/>
        <v>1597230</v>
      </c>
      <c r="M20" s="14">
        <f t="shared" si="1"/>
        <v>1597230</v>
      </c>
      <c r="P20" s="13">
        <v>513595</v>
      </c>
      <c r="Q20" s="13">
        <f t="shared" si="2"/>
        <v>513595</v>
      </c>
      <c r="S20" s="13"/>
      <c r="T20" s="14">
        <f t="shared" si="4"/>
        <v>1083635.1031950002</v>
      </c>
      <c r="U20" s="13">
        <f t="shared" si="5"/>
        <v>1083635.1031950002</v>
      </c>
      <c r="W20" s="2"/>
      <c r="X20" s="2">
        <f t="shared" si="6"/>
        <v>87874.004295000006</v>
      </c>
      <c r="Y20" s="2">
        <f t="shared" si="7"/>
        <v>87874.004295000006</v>
      </c>
      <c r="AA20" s="2"/>
      <c r="AB20" s="2">
        <f t="shared" si="8"/>
        <v>107275.23765899999</v>
      </c>
      <c r="AC20" s="2">
        <f t="shared" si="9"/>
        <v>107275.23765899999</v>
      </c>
      <c r="AF20" s="13">
        <f t="shared" si="10"/>
        <v>392.75885700000003</v>
      </c>
      <c r="AG20" s="13">
        <f t="shared" si="11"/>
        <v>392.75885700000003</v>
      </c>
      <c r="AI20" s="2"/>
      <c r="AJ20" s="2">
        <f t="shared" si="12"/>
        <v>23185.550403000001</v>
      </c>
      <c r="AK20" s="2">
        <f t="shared" si="13"/>
        <v>23185.550403000001</v>
      </c>
      <c r="AM20" s="2"/>
      <c r="AN20" s="2">
        <f t="shared" si="14"/>
        <v>106682.984775</v>
      </c>
      <c r="AO20" s="2">
        <f t="shared" si="15"/>
        <v>106682.984775</v>
      </c>
      <c r="AP20" s="13"/>
      <c r="AQ20" s="2"/>
      <c r="AR20" s="2">
        <f t="shared" si="16"/>
        <v>16818.193007999998</v>
      </c>
      <c r="AS20" s="2">
        <f t="shared" si="17"/>
        <v>16818.193007999998</v>
      </c>
      <c r="AT20" s="13"/>
      <c r="AU20" s="13"/>
      <c r="AV20" s="13">
        <f t="shared" si="18"/>
        <v>934.2198269999999</v>
      </c>
      <c r="AW20" s="13">
        <f t="shared" si="19"/>
        <v>934.2198269999999</v>
      </c>
      <c r="AX20" s="13"/>
      <c r="AY20" s="13"/>
      <c r="AZ20" s="13">
        <f t="shared" si="20"/>
        <v>10761.017679</v>
      </c>
      <c r="BA20" s="13">
        <f t="shared" si="21"/>
        <v>10761.017679</v>
      </c>
      <c r="BB20" s="13"/>
      <c r="BC20" s="13"/>
      <c r="BD20" s="13">
        <f t="shared" si="22"/>
        <v>15043.670477999998</v>
      </c>
      <c r="BE20" s="13">
        <f t="shared" si="23"/>
        <v>15043.670477999998</v>
      </c>
      <c r="BF20" s="13"/>
      <c r="BG20" s="13"/>
      <c r="BH20" s="13">
        <f t="shared" si="24"/>
        <v>2104.510248</v>
      </c>
      <c r="BI20" s="13">
        <f t="shared" si="25"/>
        <v>2104.510248</v>
      </c>
      <c r="BJ20" s="13"/>
      <c r="BK20" s="13"/>
      <c r="BL20" s="13">
        <f t="shared" si="26"/>
        <v>10932.719904</v>
      </c>
      <c r="BM20" s="13">
        <f t="shared" si="27"/>
        <v>10932.719904</v>
      </c>
      <c r="BN20" s="13"/>
      <c r="BO20" s="13"/>
      <c r="BP20" s="13">
        <f t="shared" si="28"/>
        <v>621.32247000000007</v>
      </c>
      <c r="BQ20" s="13">
        <f t="shared" si="29"/>
        <v>621.32247000000007</v>
      </c>
      <c r="BR20" s="13"/>
      <c r="BS20" s="13"/>
      <c r="BT20" s="13">
        <f t="shared" si="30"/>
        <v>2196.0315270000001</v>
      </c>
      <c r="BU20" s="13">
        <f t="shared" si="31"/>
        <v>2196.0315270000001</v>
      </c>
      <c r="BV20" s="13"/>
      <c r="BW20" s="13"/>
      <c r="BX20" s="13">
        <f t="shared" si="32"/>
        <v>7982.4763709999997</v>
      </c>
      <c r="BY20" s="13">
        <f t="shared" si="33"/>
        <v>7982.4763709999997</v>
      </c>
      <c r="BZ20" s="13"/>
      <c r="CA20" s="13"/>
      <c r="CB20" s="13">
        <f t="shared" si="34"/>
        <v>54512.821008000006</v>
      </c>
      <c r="CC20" s="13">
        <f t="shared" si="35"/>
        <v>54512.821008000006</v>
      </c>
      <c r="CD20" s="13"/>
      <c r="CE20" s="13"/>
      <c r="CF20" s="13">
        <f t="shared" si="36"/>
        <v>225610.49445299999</v>
      </c>
      <c r="CG20" s="13">
        <f t="shared" si="37"/>
        <v>225610.49445299999</v>
      </c>
      <c r="CH20" s="13"/>
      <c r="CI20" s="13"/>
      <c r="CJ20" s="13">
        <f t="shared" si="38"/>
        <v>41474.951964</v>
      </c>
      <c r="CK20" s="13">
        <f t="shared" si="39"/>
        <v>41474.951964</v>
      </c>
      <c r="CL20" s="13"/>
      <c r="CM20" s="13"/>
      <c r="CN20" s="13">
        <f t="shared" si="40"/>
        <v>141996.78173700001</v>
      </c>
      <c r="CO20" s="13">
        <f t="shared" si="41"/>
        <v>141996.78173700001</v>
      </c>
      <c r="CP20" s="13"/>
      <c r="CQ20" s="13"/>
      <c r="CR20" s="13">
        <f t="shared" si="42"/>
        <v>30274.696034999997</v>
      </c>
      <c r="CS20" s="13">
        <f t="shared" si="43"/>
        <v>30274.696034999997</v>
      </c>
      <c r="CT20" s="13"/>
      <c r="CU20" s="13"/>
      <c r="CV20" s="13">
        <f t="shared" si="44"/>
        <v>2466.4425659999997</v>
      </c>
      <c r="CW20" s="13">
        <f t="shared" si="45"/>
        <v>2466.4425659999997</v>
      </c>
      <c r="CX20" s="13"/>
      <c r="CY20" s="13"/>
      <c r="CZ20" s="13">
        <f t="shared" si="46"/>
        <v>2941.6184909999997</v>
      </c>
      <c r="DA20" s="13">
        <f t="shared" si="47"/>
        <v>2941.6184909999997</v>
      </c>
      <c r="DB20" s="13"/>
      <c r="DC20" s="13"/>
      <c r="DD20" s="13">
        <f t="shared" si="48"/>
        <v>5999.5153259999997</v>
      </c>
      <c r="DE20" s="13">
        <f t="shared" si="49"/>
        <v>5999.5153259999997</v>
      </c>
      <c r="DF20" s="13"/>
      <c r="DG20" s="13"/>
      <c r="DH20" s="13">
        <f t="shared" si="50"/>
        <v>165366.97192800001</v>
      </c>
      <c r="DI20" s="13">
        <f t="shared" si="51"/>
        <v>165366.97192800001</v>
      </c>
      <c r="DJ20" s="13"/>
      <c r="DK20" s="13"/>
      <c r="DL20" s="13">
        <f t="shared" si="52"/>
        <v>6422.4618300000002</v>
      </c>
      <c r="DM20" s="13">
        <f t="shared" si="53"/>
        <v>6422.4618300000002</v>
      </c>
      <c r="DN20" s="13"/>
      <c r="DO20" s="13"/>
      <c r="DP20" s="13">
        <f t="shared" si="54"/>
        <v>13763.650356</v>
      </c>
      <c r="DQ20" s="13">
        <f t="shared" si="55"/>
        <v>13763.650356</v>
      </c>
      <c r="DR20" s="13"/>
      <c r="DS20" s="13"/>
      <c r="DT20" s="13"/>
      <c r="DU20" s="13"/>
      <c r="DW20" s="13"/>
      <c r="DX20" s="13"/>
      <c r="DY20" s="13"/>
    </row>
    <row r="21" spans="1:129" x14ac:dyDescent="0.2">
      <c r="A21" s="11">
        <v>42461</v>
      </c>
      <c r="C21" s="34">
        <v>4135000</v>
      </c>
      <c r="D21" s="34">
        <v>759200</v>
      </c>
      <c r="E21" s="34"/>
      <c r="F21" s="34"/>
      <c r="G21" s="34"/>
      <c r="H21" s="34">
        <v>838030</v>
      </c>
      <c r="I21" s="34"/>
      <c r="J21" s="34"/>
      <c r="K21" s="34">
        <f t="shared" si="3"/>
        <v>4135000</v>
      </c>
      <c r="L21" s="34">
        <f t="shared" si="0"/>
        <v>1597230</v>
      </c>
      <c r="M21" s="34">
        <f t="shared" si="1"/>
        <v>5732230</v>
      </c>
      <c r="O21" s="35">
        <v>1329624</v>
      </c>
      <c r="P21" s="35">
        <v>513595</v>
      </c>
      <c r="Q21" s="35">
        <f t="shared" si="2"/>
        <v>1843219</v>
      </c>
      <c r="S21" s="35">
        <f t="shared" si="56"/>
        <v>2805376.2775000003</v>
      </c>
      <c r="T21" s="34">
        <f t="shared" si="4"/>
        <v>1083635.1031950002</v>
      </c>
      <c r="U21" s="35">
        <f t="shared" si="5"/>
        <v>3889011.3806950003</v>
      </c>
      <c r="W21" s="36">
        <f>K21*$X$6</f>
        <v>227493.22750000001</v>
      </c>
      <c r="X21" s="36">
        <f t="shared" si="6"/>
        <v>87874.004295000006</v>
      </c>
      <c r="Y21" s="36">
        <f t="shared" si="7"/>
        <v>315367.23179500003</v>
      </c>
      <c r="AA21" s="36">
        <f>K21*$AB$6</f>
        <v>277720.24549999996</v>
      </c>
      <c r="AB21" s="36">
        <f t="shared" si="8"/>
        <v>107275.23765899999</v>
      </c>
      <c r="AC21" s="36">
        <f t="shared" si="9"/>
        <v>384995.48315899994</v>
      </c>
      <c r="AE21" s="35">
        <f>K21*$AF$6</f>
        <v>1016.7965</v>
      </c>
      <c r="AF21" s="35">
        <f t="shared" si="10"/>
        <v>392.75885700000003</v>
      </c>
      <c r="AG21" s="35">
        <f t="shared" si="11"/>
        <v>1409.5553570000002</v>
      </c>
      <c r="AI21" s="36">
        <f>K21*$AJ$6</f>
        <v>60024.073499999999</v>
      </c>
      <c r="AJ21" s="36">
        <f t="shared" si="12"/>
        <v>23185.550403000001</v>
      </c>
      <c r="AK21" s="36">
        <f t="shared" si="13"/>
        <v>83209.623903</v>
      </c>
      <c r="AM21" s="36">
        <f>K21*$AN$6</f>
        <v>276186.98750000005</v>
      </c>
      <c r="AN21" s="36">
        <f t="shared" si="14"/>
        <v>106682.984775</v>
      </c>
      <c r="AO21" s="36">
        <f t="shared" si="15"/>
        <v>382869.97227500007</v>
      </c>
      <c r="AP21" s="13"/>
      <c r="AQ21" s="36">
        <f>K21*$AR$6</f>
        <v>43539.896000000001</v>
      </c>
      <c r="AR21" s="36">
        <f t="shared" si="16"/>
        <v>16818.193007999998</v>
      </c>
      <c r="AS21" s="36">
        <f t="shared" si="17"/>
        <v>60358.089007999995</v>
      </c>
      <c r="AT21" s="13"/>
      <c r="AU21" s="35">
        <f>K21*$AV$6</f>
        <v>2418.5614999999998</v>
      </c>
      <c r="AV21" s="35">
        <f t="shared" si="18"/>
        <v>934.2198269999999</v>
      </c>
      <c r="AW21" s="35">
        <f t="shared" si="19"/>
        <v>3352.7813269999997</v>
      </c>
      <c r="AX21" s="13"/>
      <c r="AY21" s="35">
        <f>K21*$AZ$6</f>
        <v>27858.735499999999</v>
      </c>
      <c r="AZ21" s="35">
        <f t="shared" si="20"/>
        <v>10761.017679</v>
      </c>
      <c r="BA21" s="35">
        <f t="shared" si="21"/>
        <v>38619.753178999999</v>
      </c>
      <c r="BB21" s="13"/>
      <c r="BC21" s="35">
        <f>K21*$BD$6</f>
        <v>38945.911</v>
      </c>
      <c r="BD21" s="35">
        <f t="shared" si="22"/>
        <v>15043.670477999998</v>
      </c>
      <c r="BE21" s="35">
        <f t="shared" si="23"/>
        <v>53989.581478</v>
      </c>
      <c r="BF21" s="13"/>
      <c r="BG21" s="35">
        <f>K21*$BH$6</f>
        <v>5448.2759999999998</v>
      </c>
      <c r="BH21" s="35">
        <f t="shared" si="24"/>
        <v>2104.510248</v>
      </c>
      <c r="BI21" s="35">
        <f t="shared" si="25"/>
        <v>7552.7862480000003</v>
      </c>
      <c r="BJ21" s="13"/>
      <c r="BK21" s="35">
        <f>K21*$BM$6</f>
        <v>28303.248</v>
      </c>
      <c r="BL21" s="35">
        <f t="shared" si="26"/>
        <v>10932.719904</v>
      </c>
      <c r="BM21" s="35">
        <f t="shared" si="27"/>
        <v>39235.967903999997</v>
      </c>
      <c r="BN21" s="13"/>
      <c r="BO21" s="35">
        <f>K21*$BP$6</f>
        <v>1608.5150000000001</v>
      </c>
      <c r="BP21" s="35">
        <f t="shared" si="28"/>
        <v>621.32247000000007</v>
      </c>
      <c r="BQ21" s="35">
        <f t="shared" si="29"/>
        <v>2229.8374700000004</v>
      </c>
      <c r="BR21" s="13"/>
      <c r="BS21" s="35">
        <f>K21*$BT$6</f>
        <v>5685.2115000000003</v>
      </c>
      <c r="BT21" s="35">
        <f t="shared" si="30"/>
        <v>2196.0315270000001</v>
      </c>
      <c r="BU21" s="35">
        <f t="shared" si="31"/>
        <v>7881.2430270000004</v>
      </c>
      <c r="BV21" s="13"/>
      <c r="BW21" s="35">
        <f>K21*$BX$6</f>
        <v>20665.4895</v>
      </c>
      <c r="BX21" s="35">
        <f t="shared" si="32"/>
        <v>7982.4763709999997</v>
      </c>
      <c r="BY21" s="35">
        <f t="shared" si="33"/>
        <v>28647.965871</v>
      </c>
      <c r="BZ21" s="13"/>
      <c r="CA21" s="35">
        <f>K21*$CB$6</f>
        <v>141125.89600000001</v>
      </c>
      <c r="CB21" s="35">
        <f t="shared" si="34"/>
        <v>54512.821008000006</v>
      </c>
      <c r="CC21" s="35">
        <f t="shared" si="35"/>
        <v>195638.71700800001</v>
      </c>
      <c r="CD21" s="13"/>
      <c r="CE21" s="35">
        <f>K21*$CF$6</f>
        <v>584073.29849999992</v>
      </c>
      <c r="CF21" s="35">
        <f t="shared" si="36"/>
        <v>225610.49445299999</v>
      </c>
      <c r="CG21" s="35">
        <f t="shared" si="37"/>
        <v>809683.79295299994</v>
      </c>
      <c r="CH21" s="13"/>
      <c r="CI21" s="35">
        <f>K21*$CJ$6</f>
        <v>107372.71800000001</v>
      </c>
      <c r="CJ21" s="35">
        <f t="shared" si="38"/>
        <v>41474.951964</v>
      </c>
      <c r="CK21" s="35">
        <f t="shared" si="39"/>
        <v>148847.669964</v>
      </c>
      <c r="CL21" s="13"/>
      <c r="CM21" s="35">
        <f>K21*$CN$6</f>
        <v>367609.35650000005</v>
      </c>
      <c r="CN21" s="35">
        <f t="shared" si="40"/>
        <v>141996.78173700001</v>
      </c>
      <c r="CO21" s="35">
        <f t="shared" si="41"/>
        <v>509606.13823700009</v>
      </c>
      <c r="CP21" s="13"/>
      <c r="CQ21" s="35">
        <f>K21*$CR$6</f>
        <v>78376.857499999998</v>
      </c>
      <c r="CR21" s="35">
        <f t="shared" si="42"/>
        <v>30274.696034999997</v>
      </c>
      <c r="CS21" s="35">
        <f t="shared" si="43"/>
        <v>108651.553535</v>
      </c>
      <c r="CT21" s="13"/>
      <c r="CU21" s="35">
        <f>K21*$CV$6</f>
        <v>6385.2669999999998</v>
      </c>
      <c r="CV21" s="35">
        <f t="shared" si="44"/>
        <v>2466.4425659999997</v>
      </c>
      <c r="CW21" s="35">
        <f t="shared" si="45"/>
        <v>8851.7095659999995</v>
      </c>
      <c r="CX21" s="13"/>
      <c r="CY21" s="35">
        <f>K21*$CZ$6</f>
        <v>7615.4294999999993</v>
      </c>
      <c r="CZ21" s="35">
        <f t="shared" si="46"/>
        <v>2941.6184909999997</v>
      </c>
      <c r="DA21" s="35">
        <f t="shared" si="47"/>
        <v>10557.047990999999</v>
      </c>
      <c r="DB21" s="13"/>
      <c r="DC21" s="35">
        <f>K21*$DD$6</f>
        <v>15531.886999999999</v>
      </c>
      <c r="DD21" s="35">
        <f t="shared" si="48"/>
        <v>5999.5153259999997</v>
      </c>
      <c r="DE21" s="35">
        <f t="shared" si="49"/>
        <v>21531.402325999999</v>
      </c>
      <c r="DF21" s="13"/>
      <c r="DG21" s="35">
        <f>K21*$DH$6</f>
        <v>428111.43599999999</v>
      </c>
      <c r="DH21" s="35">
        <f t="shared" si="50"/>
        <v>165366.97192800001</v>
      </c>
      <c r="DI21" s="35">
        <f t="shared" si="51"/>
        <v>593478.40792799997</v>
      </c>
      <c r="DJ21" s="13"/>
      <c r="DK21" s="35">
        <f>K21*$DL$6</f>
        <v>16626.835000000003</v>
      </c>
      <c r="DL21" s="35">
        <f t="shared" si="52"/>
        <v>6422.4618300000002</v>
      </c>
      <c r="DM21" s="35">
        <f t="shared" si="53"/>
        <v>23049.296830000003</v>
      </c>
      <c r="DN21" s="13"/>
      <c r="DO21" s="35">
        <f>K21*$DP$6</f>
        <v>35632.122000000003</v>
      </c>
      <c r="DP21" s="35">
        <f t="shared" si="54"/>
        <v>13763.650356</v>
      </c>
      <c r="DQ21" s="35">
        <f t="shared" si="55"/>
        <v>49395.772356000001</v>
      </c>
      <c r="DR21" s="13"/>
      <c r="DS21" s="35"/>
      <c r="DT21" s="35"/>
      <c r="DU21" s="35"/>
      <c r="DW21" s="35"/>
      <c r="DX21" s="35"/>
      <c r="DY21" s="35"/>
    </row>
    <row r="22" spans="1:129" x14ac:dyDescent="0.2">
      <c r="A22" s="44">
        <v>42644</v>
      </c>
      <c r="D22" s="14">
        <v>442625</v>
      </c>
      <c r="F22" s="14">
        <v>250937</v>
      </c>
      <c r="H22" s="14">
        <v>838030</v>
      </c>
      <c r="L22" s="14">
        <f t="shared" si="0"/>
        <v>1531592</v>
      </c>
      <c r="M22" s="14">
        <f t="shared" si="1"/>
        <v>1531592</v>
      </c>
      <c r="P22" s="13">
        <v>492489</v>
      </c>
      <c r="Q22" s="13">
        <f t="shared" si="2"/>
        <v>492489</v>
      </c>
      <c r="S22" s="13"/>
      <c r="T22" s="14">
        <f t="shared" si="4"/>
        <v>1039104</v>
      </c>
      <c r="U22" s="13">
        <f t="shared" si="5"/>
        <v>1039104</v>
      </c>
      <c r="W22" s="2"/>
      <c r="X22" s="2">
        <v>82187</v>
      </c>
      <c r="Y22" s="2">
        <f t="shared" si="7"/>
        <v>82187</v>
      </c>
      <c r="AA22" s="2"/>
      <c r="AB22" s="2">
        <v>100332</v>
      </c>
      <c r="AC22" s="2">
        <f t="shared" si="9"/>
        <v>100332</v>
      </c>
      <c r="AF22" s="13">
        <v>367</v>
      </c>
      <c r="AG22" s="13">
        <f t="shared" si="11"/>
        <v>367</v>
      </c>
      <c r="AI22" s="2"/>
      <c r="AJ22" s="2">
        <v>21685</v>
      </c>
      <c r="AK22" s="2">
        <f t="shared" si="13"/>
        <v>21685</v>
      </c>
      <c r="AM22" s="2"/>
      <c r="AN22" s="2">
        <v>99778</v>
      </c>
      <c r="AO22" s="2">
        <f t="shared" si="15"/>
        <v>99778</v>
      </c>
      <c r="AP22" s="13"/>
      <c r="AQ22" s="2"/>
      <c r="AR22" s="2">
        <v>15730</v>
      </c>
      <c r="AS22" s="2">
        <f t="shared" si="17"/>
        <v>15730</v>
      </c>
      <c r="AT22" s="13"/>
      <c r="AU22" s="13"/>
      <c r="AV22" s="13">
        <v>874</v>
      </c>
      <c r="AW22" s="13">
        <f t="shared" si="19"/>
        <v>874</v>
      </c>
      <c r="AX22" s="13"/>
      <c r="AY22" s="13"/>
      <c r="AZ22" s="13">
        <v>10065</v>
      </c>
      <c r="BA22" s="13">
        <f t="shared" si="21"/>
        <v>10065</v>
      </c>
      <c r="BB22" s="13"/>
      <c r="BC22" s="13"/>
      <c r="BD22" s="13">
        <v>14070</v>
      </c>
      <c r="BE22" s="13">
        <f t="shared" si="23"/>
        <v>14070</v>
      </c>
      <c r="BF22" s="13"/>
      <c r="BG22" s="13"/>
      <c r="BH22" s="13">
        <v>1968</v>
      </c>
      <c r="BI22" s="13">
        <f t="shared" si="25"/>
        <v>1968</v>
      </c>
      <c r="BJ22" s="13"/>
      <c r="BK22" s="13"/>
      <c r="BL22" s="13">
        <v>10225</v>
      </c>
      <c r="BM22" s="13">
        <f t="shared" si="27"/>
        <v>10225</v>
      </c>
      <c r="BN22" s="13"/>
      <c r="BO22" s="13"/>
      <c r="BP22" s="13">
        <v>581</v>
      </c>
      <c r="BQ22" s="13">
        <f t="shared" si="29"/>
        <v>581</v>
      </c>
      <c r="BR22" s="13"/>
      <c r="BS22" s="13"/>
      <c r="BT22" s="13">
        <v>2054</v>
      </c>
      <c r="BU22" s="13">
        <f t="shared" si="31"/>
        <v>2054</v>
      </c>
      <c r="BV22" s="13"/>
      <c r="BW22" s="13"/>
      <c r="BX22" s="13">
        <v>7466</v>
      </c>
      <c r="BY22" s="13">
        <f t="shared" si="33"/>
        <v>7466</v>
      </c>
      <c r="BZ22" s="13"/>
      <c r="CA22" s="13"/>
      <c r="CB22" s="13">
        <v>50985</v>
      </c>
      <c r="CC22" s="13">
        <f t="shared" si="35"/>
        <v>50985</v>
      </c>
      <c r="CD22" s="13"/>
      <c r="CE22" s="13"/>
      <c r="CF22" s="13">
        <v>211009</v>
      </c>
      <c r="CG22" s="13">
        <f t="shared" si="37"/>
        <v>211009</v>
      </c>
      <c r="CH22" s="13"/>
      <c r="CI22" s="13"/>
      <c r="CJ22" s="13">
        <v>38791</v>
      </c>
      <c r="CK22" s="13">
        <f t="shared" si="39"/>
        <v>38791</v>
      </c>
      <c r="CL22" s="13"/>
      <c r="CM22" s="13"/>
      <c r="CN22" s="13">
        <v>132807</v>
      </c>
      <c r="CO22" s="13">
        <f t="shared" si="41"/>
        <v>132807</v>
      </c>
      <c r="CP22" s="13"/>
      <c r="CQ22" s="13"/>
      <c r="CR22" s="13">
        <v>28315</v>
      </c>
      <c r="CS22" s="13">
        <f t="shared" si="43"/>
        <v>28315</v>
      </c>
      <c r="CT22" s="13"/>
      <c r="CU22" s="13"/>
      <c r="CV22" s="13">
        <v>2307</v>
      </c>
      <c r="CW22" s="13">
        <f t="shared" si="45"/>
        <v>2307</v>
      </c>
      <c r="CX22" s="13"/>
      <c r="CY22" s="13"/>
      <c r="CZ22" s="13">
        <v>2751</v>
      </c>
      <c r="DA22" s="13">
        <f t="shared" si="47"/>
        <v>2751</v>
      </c>
      <c r="DB22" s="13"/>
      <c r="DC22" s="13"/>
      <c r="DD22" s="13">
        <v>5611</v>
      </c>
      <c r="DE22" s="13">
        <f t="shared" si="49"/>
        <v>5611</v>
      </c>
      <c r="DF22" s="13"/>
      <c r="DG22" s="13"/>
      <c r="DH22" s="13">
        <v>154664</v>
      </c>
      <c r="DI22" s="13">
        <f t="shared" si="51"/>
        <v>154664</v>
      </c>
      <c r="DJ22" s="13"/>
      <c r="DK22" s="13"/>
      <c r="DL22" s="13">
        <v>6007</v>
      </c>
      <c r="DM22" s="13">
        <f t="shared" si="53"/>
        <v>6007</v>
      </c>
      <c r="DN22" s="13"/>
      <c r="DO22" s="13"/>
      <c r="DP22" s="13">
        <v>12873</v>
      </c>
      <c r="DQ22" s="13">
        <f t="shared" si="55"/>
        <v>12873</v>
      </c>
      <c r="DR22" s="13"/>
      <c r="DS22" s="13"/>
      <c r="DT22" s="13">
        <f>1039103-1013501</f>
        <v>25602</v>
      </c>
      <c r="DU22" s="13">
        <f>DS22+DT22</f>
        <v>25602</v>
      </c>
      <c r="DW22" s="13"/>
      <c r="DX22" s="13">
        <f>492489-480354</f>
        <v>12135</v>
      </c>
      <c r="DY22" s="13">
        <f>DW22+DX22</f>
        <v>12135</v>
      </c>
    </row>
    <row r="23" spans="1:129" x14ac:dyDescent="0.2">
      <c r="A23" s="44">
        <v>42826</v>
      </c>
      <c r="C23" s="14">
        <v>4340000</v>
      </c>
      <c r="D23" s="14">
        <v>442625</v>
      </c>
      <c r="F23" s="14">
        <v>202550</v>
      </c>
      <c r="H23" s="14">
        <v>838030</v>
      </c>
      <c r="K23" s="14">
        <f t="shared" si="3"/>
        <v>4340000</v>
      </c>
      <c r="L23" s="14">
        <f t="shared" si="0"/>
        <v>1483205</v>
      </c>
      <c r="M23" s="14">
        <f t="shared" si="1"/>
        <v>5823205</v>
      </c>
      <c r="O23" s="13">
        <v>1395542</v>
      </c>
      <c r="P23" s="13">
        <v>476930</v>
      </c>
      <c r="Q23" s="13">
        <f t="shared" si="2"/>
        <v>1872472</v>
      </c>
      <c r="S23" s="13">
        <f t="shared" si="56"/>
        <v>2944457.8100000005</v>
      </c>
      <c r="T23" s="14">
        <f t="shared" si="4"/>
        <v>1006276</v>
      </c>
      <c r="U23" s="13">
        <f t="shared" si="5"/>
        <v>3950733.8100000005</v>
      </c>
      <c r="W23" s="2">
        <f>K23*$X$6</f>
        <v>238771.61000000002</v>
      </c>
      <c r="X23" s="2">
        <v>82187</v>
      </c>
      <c r="Y23" s="2">
        <f t="shared" si="7"/>
        <v>320958.61</v>
      </c>
      <c r="AA23" s="2">
        <f>K23*$AB$6</f>
        <v>291488.72199999995</v>
      </c>
      <c r="AB23" s="2">
        <v>100332</v>
      </c>
      <c r="AC23" s="2">
        <f t="shared" si="9"/>
        <v>391820.72199999995</v>
      </c>
      <c r="AE23" s="13">
        <f>K23*$AF$6</f>
        <v>1067.2060000000001</v>
      </c>
      <c r="AF23" s="13">
        <v>367</v>
      </c>
      <c r="AG23" s="13">
        <f t="shared" si="11"/>
        <v>1434.2060000000001</v>
      </c>
      <c r="AI23" s="2">
        <f>K23*$AJ$6</f>
        <v>62999.874000000003</v>
      </c>
      <c r="AJ23" s="2">
        <v>21685</v>
      </c>
      <c r="AK23" s="2">
        <f t="shared" si="13"/>
        <v>84684.874000000011</v>
      </c>
      <c r="AM23" s="2">
        <f>K23*$AN$6</f>
        <v>289879.45</v>
      </c>
      <c r="AN23" s="2">
        <v>99778</v>
      </c>
      <c r="AO23" s="2">
        <f t="shared" si="15"/>
        <v>389657.45</v>
      </c>
      <c r="AP23" s="13"/>
      <c r="AQ23" s="2">
        <f>K23*$AR$6</f>
        <v>45698.464</v>
      </c>
      <c r="AR23" s="2">
        <v>15730</v>
      </c>
      <c r="AS23" s="2">
        <f t="shared" si="17"/>
        <v>61428.464</v>
      </c>
      <c r="AT23" s="13"/>
      <c r="AU23" s="13">
        <f>K23*$AV$6</f>
        <v>2538.4659999999999</v>
      </c>
      <c r="AV23" s="13">
        <v>874</v>
      </c>
      <c r="AW23" s="13">
        <f t="shared" si="19"/>
        <v>3412.4659999999999</v>
      </c>
      <c r="AX23" s="13"/>
      <c r="AY23" s="13">
        <f>K23*$AZ$6</f>
        <v>29239.881999999998</v>
      </c>
      <c r="AZ23" s="13">
        <v>10065</v>
      </c>
      <c r="BA23" s="13">
        <f t="shared" si="21"/>
        <v>39304.881999999998</v>
      </c>
      <c r="BB23" s="13"/>
      <c r="BC23" s="13">
        <f>K23*$BD$6</f>
        <v>40876.723999999995</v>
      </c>
      <c r="BD23" s="13">
        <v>14070</v>
      </c>
      <c r="BE23" s="13">
        <f t="shared" si="23"/>
        <v>54946.723999999995</v>
      </c>
      <c r="BF23" s="13"/>
      <c r="BG23" s="13">
        <f>K23*$BH$6</f>
        <v>5718.384</v>
      </c>
      <c r="BH23" s="13">
        <v>1968</v>
      </c>
      <c r="BI23" s="13">
        <f t="shared" si="25"/>
        <v>7686.384</v>
      </c>
      <c r="BJ23" s="13"/>
      <c r="BK23" s="13">
        <f>K23*$BM$6</f>
        <v>29706.432000000001</v>
      </c>
      <c r="BL23" s="13">
        <v>10225</v>
      </c>
      <c r="BM23" s="13">
        <f t="shared" si="27"/>
        <v>39931.432000000001</v>
      </c>
      <c r="BN23" s="13"/>
      <c r="BO23" s="13">
        <f>K23*$BP$6</f>
        <v>1688.26</v>
      </c>
      <c r="BP23" s="13">
        <v>581</v>
      </c>
      <c r="BQ23" s="13">
        <f t="shared" si="29"/>
        <v>2269.2600000000002</v>
      </c>
      <c r="BR23" s="13"/>
      <c r="BS23" s="13">
        <f>K23*$BT$6</f>
        <v>5967.0660000000007</v>
      </c>
      <c r="BT23" s="13">
        <v>2054</v>
      </c>
      <c r="BU23" s="13">
        <f t="shared" si="31"/>
        <v>8021.0660000000007</v>
      </c>
      <c r="BV23" s="13"/>
      <c r="BW23" s="13">
        <f>K23*$BX$6</f>
        <v>21690.018</v>
      </c>
      <c r="BX23" s="13">
        <v>7466</v>
      </c>
      <c r="BY23" s="13">
        <f t="shared" si="33"/>
        <v>29156.018</v>
      </c>
      <c r="BZ23" s="13"/>
      <c r="CA23" s="13">
        <f>K23*$CB$6</f>
        <v>148122.46400000001</v>
      </c>
      <c r="CB23" s="13">
        <v>50985</v>
      </c>
      <c r="CC23" s="13">
        <f t="shared" si="35"/>
        <v>199107.46400000001</v>
      </c>
      <c r="CD23" s="13"/>
      <c r="CE23" s="13">
        <f>K23*$CF$6</f>
        <v>613029.77399999998</v>
      </c>
      <c r="CF23" s="13">
        <v>211009</v>
      </c>
      <c r="CG23" s="13">
        <f t="shared" si="37"/>
        <v>824038.77399999998</v>
      </c>
      <c r="CH23" s="13"/>
      <c r="CI23" s="13">
        <f>K23*$CJ$6</f>
        <v>112695.91200000001</v>
      </c>
      <c r="CJ23" s="13">
        <v>38791</v>
      </c>
      <c r="CK23" s="13">
        <f t="shared" si="39"/>
        <v>151486.91200000001</v>
      </c>
      <c r="CL23" s="13"/>
      <c r="CM23" s="13">
        <f>K23*$CN$6</f>
        <v>385834.24600000004</v>
      </c>
      <c r="CN23" s="13">
        <v>132807</v>
      </c>
      <c r="CO23" s="13">
        <f t="shared" si="41"/>
        <v>518641.24600000004</v>
      </c>
      <c r="CP23" s="13"/>
      <c r="CQ23" s="13">
        <f>K23*$CR$6</f>
        <v>82262.53</v>
      </c>
      <c r="CR23" s="13">
        <v>28315</v>
      </c>
      <c r="CS23" s="13">
        <f t="shared" si="43"/>
        <v>110577.53</v>
      </c>
      <c r="CT23" s="13"/>
      <c r="CU23" s="13">
        <f>K23*$CV$6</f>
        <v>6701.8279999999995</v>
      </c>
      <c r="CV23" s="13">
        <v>2307</v>
      </c>
      <c r="CW23" s="13">
        <f t="shared" si="45"/>
        <v>9008.8279999999995</v>
      </c>
      <c r="CX23" s="13"/>
      <c r="CY23" s="13">
        <f>K23*$CZ$6</f>
        <v>7992.9780000000001</v>
      </c>
      <c r="CZ23" s="13">
        <v>2751</v>
      </c>
      <c r="DA23" s="13">
        <f t="shared" si="47"/>
        <v>10743.977999999999</v>
      </c>
      <c r="DB23" s="13"/>
      <c r="DC23" s="13">
        <f>K23*$DD$6</f>
        <v>16301.907999999999</v>
      </c>
      <c r="DD23" s="13">
        <v>5611</v>
      </c>
      <c r="DE23" s="13">
        <f t="shared" si="49"/>
        <v>21912.907999999999</v>
      </c>
      <c r="DF23" s="13"/>
      <c r="DG23" s="13">
        <f>K23*$DH$6</f>
        <v>449335.82400000002</v>
      </c>
      <c r="DH23" s="13">
        <v>154664</v>
      </c>
      <c r="DI23" s="13">
        <f t="shared" si="51"/>
        <v>603999.82400000002</v>
      </c>
      <c r="DJ23" s="13"/>
      <c r="DK23" s="13">
        <f>K23*$DL$6</f>
        <v>17451.14</v>
      </c>
      <c r="DL23" s="13">
        <v>6007</v>
      </c>
      <c r="DM23" s="13">
        <f t="shared" si="53"/>
        <v>23458.14</v>
      </c>
      <c r="DN23" s="13"/>
      <c r="DO23" s="13">
        <f>K23*$DP$6</f>
        <v>37398.648000000001</v>
      </c>
      <c r="DP23" s="13">
        <v>12873</v>
      </c>
      <c r="DQ23" s="13">
        <f t="shared" si="55"/>
        <v>50271.648000000001</v>
      </c>
      <c r="DR23" s="13"/>
      <c r="DS23" s="13">
        <f>2944458-2944458</f>
        <v>0</v>
      </c>
      <c r="DT23" s="13">
        <f>1006275-1013501</f>
        <v>-7226</v>
      </c>
      <c r="DU23" s="13">
        <f t="shared" ref="DU23:DU35" si="57">DS23+DT23</f>
        <v>-7226</v>
      </c>
      <c r="DW23" s="13">
        <f>1395542-1395542</f>
        <v>0</v>
      </c>
      <c r="DX23" s="13">
        <f>476930-480354</f>
        <v>-3424</v>
      </c>
      <c r="DY23" s="13">
        <f>DW23+DX23</f>
        <v>-3424</v>
      </c>
    </row>
    <row r="24" spans="1:129" x14ac:dyDescent="0.2">
      <c r="A24" s="44">
        <v>43009</v>
      </c>
      <c r="B24" s="9"/>
      <c r="D24" s="14">
        <v>334125</v>
      </c>
      <c r="F24" s="14">
        <v>202550</v>
      </c>
      <c r="H24" s="14">
        <v>838030</v>
      </c>
      <c r="L24" s="14">
        <f t="shared" si="0"/>
        <v>1374705</v>
      </c>
      <c r="M24" s="14">
        <f t="shared" si="1"/>
        <v>1374705</v>
      </c>
      <c r="P24" s="13">
        <v>442041</v>
      </c>
      <c r="Q24" s="13">
        <f t="shared" si="2"/>
        <v>442041</v>
      </c>
      <c r="S24" s="13"/>
      <c r="T24" s="14">
        <f t="shared" si="4"/>
        <v>932665</v>
      </c>
      <c r="U24" s="13">
        <f t="shared" si="5"/>
        <v>932665</v>
      </c>
      <c r="W24" s="2"/>
      <c r="X24" s="2">
        <v>76217</v>
      </c>
      <c r="Y24" s="2">
        <f t="shared" si="7"/>
        <v>76217</v>
      </c>
      <c r="AA24" s="2"/>
      <c r="AB24" s="2">
        <v>93045</v>
      </c>
      <c r="AC24" s="2">
        <f t="shared" si="9"/>
        <v>93045</v>
      </c>
      <c r="AF24" s="13">
        <v>341</v>
      </c>
      <c r="AG24" s="13">
        <f t="shared" si="11"/>
        <v>341</v>
      </c>
      <c r="AI24" s="2"/>
      <c r="AJ24" s="2">
        <v>20110</v>
      </c>
      <c r="AK24" s="2">
        <f t="shared" si="13"/>
        <v>20110</v>
      </c>
      <c r="AM24" s="2"/>
      <c r="AN24" s="2">
        <v>92531</v>
      </c>
      <c r="AO24" s="2">
        <f t="shared" si="15"/>
        <v>92531</v>
      </c>
      <c r="AP24" s="13"/>
      <c r="AQ24" s="2"/>
      <c r="AR24" s="2">
        <v>14587</v>
      </c>
      <c r="AS24" s="2">
        <f t="shared" si="17"/>
        <v>14587</v>
      </c>
      <c r="AT24" s="13"/>
      <c r="AU24" s="13"/>
      <c r="AV24" s="13">
        <v>810</v>
      </c>
      <c r="AW24" s="13">
        <f t="shared" si="19"/>
        <v>810</v>
      </c>
      <c r="AX24" s="13"/>
      <c r="AY24" s="13"/>
      <c r="AZ24" s="13">
        <v>9334</v>
      </c>
      <c r="BA24" s="13">
        <f t="shared" si="21"/>
        <v>9334</v>
      </c>
      <c r="BB24" s="13"/>
      <c r="BC24" s="13"/>
      <c r="BD24" s="13">
        <v>13048</v>
      </c>
      <c r="BE24" s="13">
        <f t="shared" si="23"/>
        <v>13048</v>
      </c>
      <c r="BF24" s="13"/>
      <c r="BG24" s="13"/>
      <c r="BH24" s="13">
        <v>1825</v>
      </c>
      <c r="BI24" s="13">
        <f t="shared" si="25"/>
        <v>1825</v>
      </c>
      <c r="BJ24" s="13"/>
      <c r="BK24" s="13"/>
      <c r="BL24" s="13">
        <v>9482</v>
      </c>
      <c r="BM24" s="13">
        <f t="shared" si="27"/>
        <v>9482</v>
      </c>
      <c r="BN24" s="13"/>
      <c r="BO24" s="13"/>
      <c r="BP24" s="13">
        <v>539</v>
      </c>
      <c r="BQ24" s="13">
        <f t="shared" si="29"/>
        <v>539</v>
      </c>
      <c r="BR24" s="13"/>
      <c r="BS24" s="13"/>
      <c r="BT24" s="13">
        <v>1905</v>
      </c>
      <c r="BU24" s="13">
        <f t="shared" si="31"/>
        <v>1905</v>
      </c>
      <c r="BV24" s="13"/>
      <c r="BW24" s="13"/>
      <c r="BX24" s="13">
        <v>6924</v>
      </c>
      <c r="BY24" s="13">
        <f t="shared" si="33"/>
        <v>6924</v>
      </c>
      <c r="BZ24" s="13"/>
      <c r="CA24" s="13"/>
      <c r="CB24" s="13">
        <v>47282</v>
      </c>
      <c r="CC24" s="13">
        <f t="shared" si="35"/>
        <v>47282</v>
      </c>
      <c r="CD24" s="13"/>
      <c r="CE24" s="13"/>
      <c r="CF24" s="13">
        <v>195683</v>
      </c>
      <c r="CG24" s="13">
        <f t="shared" si="37"/>
        <v>195683</v>
      </c>
      <c r="CH24" s="13"/>
      <c r="CI24" s="13"/>
      <c r="CJ24" s="13">
        <v>35973</v>
      </c>
      <c r="CK24" s="13">
        <f t="shared" si="39"/>
        <v>35973</v>
      </c>
      <c r="CL24" s="13"/>
      <c r="CM24" s="13"/>
      <c r="CN24" s="13">
        <v>123161</v>
      </c>
      <c r="CO24" s="13">
        <f t="shared" si="41"/>
        <v>123161</v>
      </c>
      <c r="CP24" s="13"/>
      <c r="CQ24" s="13"/>
      <c r="CR24" s="13">
        <v>26259</v>
      </c>
      <c r="CS24" s="13">
        <f t="shared" si="43"/>
        <v>26259</v>
      </c>
      <c r="CT24" s="13"/>
      <c r="CU24" s="13"/>
      <c r="CV24" s="13">
        <v>2139</v>
      </c>
      <c r="CW24" s="13">
        <f t="shared" si="45"/>
        <v>2139</v>
      </c>
      <c r="CX24" s="13"/>
      <c r="CY24" s="13"/>
      <c r="CZ24" s="13">
        <v>2551</v>
      </c>
      <c r="DA24" s="13">
        <f t="shared" si="47"/>
        <v>2551</v>
      </c>
      <c r="DB24" s="13"/>
      <c r="DC24" s="13"/>
      <c r="DD24" s="13">
        <v>5204</v>
      </c>
      <c r="DE24" s="13">
        <f t="shared" si="49"/>
        <v>5204</v>
      </c>
      <c r="DF24" s="13"/>
      <c r="DG24" s="13"/>
      <c r="DH24" s="13">
        <v>143431</v>
      </c>
      <c r="DI24" s="13">
        <f t="shared" si="51"/>
        <v>143431</v>
      </c>
      <c r="DJ24" s="13"/>
      <c r="DK24" s="13"/>
      <c r="DL24" s="13">
        <v>5571</v>
      </c>
      <c r="DM24" s="13">
        <f t="shared" si="53"/>
        <v>5571</v>
      </c>
      <c r="DN24" s="13"/>
      <c r="DO24" s="13"/>
      <c r="DP24" s="13">
        <v>11938</v>
      </c>
      <c r="DQ24" s="13">
        <f t="shared" si="55"/>
        <v>11938</v>
      </c>
      <c r="DR24" s="13"/>
      <c r="DS24" s="13"/>
      <c r="DT24" s="13">
        <f>932664-939889</f>
        <v>-7225</v>
      </c>
      <c r="DU24" s="13">
        <f t="shared" si="57"/>
        <v>-7225</v>
      </c>
      <c r="DW24" s="13"/>
      <c r="DX24" s="13">
        <f>442041-445466</f>
        <v>-3425</v>
      </c>
      <c r="DY24" s="13">
        <f t="shared" ref="DY24:DY33" si="58">DW24+DX24</f>
        <v>-3425</v>
      </c>
    </row>
    <row r="25" spans="1:129" x14ac:dyDescent="0.2">
      <c r="A25" s="44">
        <v>43191</v>
      </c>
      <c r="C25" s="14">
        <v>4560000</v>
      </c>
      <c r="D25" s="14">
        <v>334125</v>
      </c>
      <c r="F25" s="14">
        <v>202550</v>
      </c>
      <c r="H25" s="14">
        <v>838030</v>
      </c>
      <c r="K25" s="14">
        <f t="shared" si="3"/>
        <v>4560000</v>
      </c>
      <c r="L25" s="14">
        <f t="shared" si="0"/>
        <v>1374705</v>
      </c>
      <c r="M25" s="14">
        <f t="shared" si="1"/>
        <v>5934705</v>
      </c>
      <c r="O25" s="13">
        <v>1466284</v>
      </c>
      <c r="P25" s="13">
        <v>442041</v>
      </c>
      <c r="Q25" s="13">
        <f t="shared" si="2"/>
        <v>1908325</v>
      </c>
      <c r="S25" s="13">
        <f t="shared" si="56"/>
        <v>3093716.04</v>
      </c>
      <c r="T25" s="14">
        <f t="shared" si="4"/>
        <v>932665</v>
      </c>
      <c r="U25" s="13">
        <f t="shared" si="5"/>
        <v>4026381.04</v>
      </c>
      <c r="W25" s="2">
        <f>K25*$X$6</f>
        <v>250875.24000000002</v>
      </c>
      <c r="X25" s="2">
        <v>76217</v>
      </c>
      <c r="Y25" s="2">
        <f t="shared" si="7"/>
        <v>327092.24</v>
      </c>
      <c r="AA25" s="2">
        <f>K25*$AB$6</f>
        <v>306264.64799999999</v>
      </c>
      <c r="AB25" s="2">
        <v>93045</v>
      </c>
      <c r="AC25" s="2">
        <f t="shared" si="9"/>
        <v>399309.64799999999</v>
      </c>
      <c r="AE25" s="13">
        <f>K25*$AF$6</f>
        <v>1121.3040000000001</v>
      </c>
      <c r="AF25" s="13">
        <v>341</v>
      </c>
      <c r="AG25" s="13">
        <f t="shared" si="11"/>
        <v>1462.3040000000001</v>
      </c>
      <c r="AI25" s="2">
        <f>K25*$AJ$6</f>
        <v>66193.415999999997</v>
      </c>
      <c r="AJ25" s="2">
        <v>20110</v>
      </c>
      <c r="AK25" s="2">
        <f t="shared" si="13"/>
        <v>86303.415999999997</v>
      </c>
      <c r="AM25" s="2">
        <f>K25*$AN$6</f>
        <v>304573.80000000005</v>
      </c>
      <c r="AN25" s="2">
        <v>92531</v>
      </c>
      <c r="AO25" s="2">
        <f t="shared" si="15"/>
        <v>397104.80000000005</v>
      </c>
      <c r="AP25" s="13"/>
      <c r="AQ25" s="2">
        <f>K25*$AR$6</f>
        <v>48014.976000000002</v>
      </c>
      <c r="AR25" s="2">
        <v>14587</v>
      </c>
      <c r="AS25" s="2">
        <f t="shared" si="17"/>
        <v>62601.976000000002</v>
      </c>
      <c r="AT25" s="13"/>
      <c r="AU25" s="13">
        <f>K25*$AV$6</f>
        <v>2667.1439999999998</v>
      </c>
      <c r="AV25" s="13">
        <v>810</v>
      </c>
      <c r="AW25" s="13">
        <f t="shared" si="19"/>
        <v>3477.1439999999998</v>
      </c>
      <c r="AX25" s="13"/>
      <c r="AY25" s="13">
        <f>K25*$AZ$6</f>
        <v>30722.088</v>
      </c>
      <c r="AZ25" s="13">
        <v>9334</v>
      </c>
      <c r="BA25" s="13">
        <f t="shared" si="21"/>
        <v>40056.088000000003</v>
      </c>
      <c r="BB25" s="13"/>
      <c r="BC25" s="13">
        <f>K25*$BD$6</f>
        <v>42948.815999999999</v>
      </c>
      <c r="BD25" s="13">
        <v>13048</v>
      </c>
      <c r="BE25" s="13">
        <f t="shared" si="23"/>
        <v>55996.815999999999</v>
      </c>
      <c r="BF25" s="13"/>
      <c r="BG25" s="13">
        <f>K25*$BH$6</f>
        <v>6008.2559999999994</v>
      </c>
      <c r="BH25" s="13">
        <v>1825</v>
      </c>
      <c r="BI25" s="13">
        <f t="shared" si="25"/>
        <v>7833.2559999999994</v>
      </c>
      <c r="BJ25" s="13"/>
      <c r="BK25" s="13">
        <f>K25*$BM$6</f>
        <v>31212.288</v>
      </c>
      <c r="BL25" s="13">
        <v>9482</v>
      </c>
      <c r="BM25" s="13">
        <f t="shared" si="27"/>
        <v>40694.288</v>
      </c>
      <c r="BN25" s="13"/>
      <c r="BO25" s="13">
        <f>K25*$BP$6</f>
        <v>1773.8400000000001</v>
      </c>
      <c r="BP25" s="13">
        <v>539</v>
      </c>
      <c r="BQ25" s="13">
        <f t="shared" si="29"/>
        <v>2312.84</v>
      </c>
      <c r="BR25" s="13"/>
      <c r="BS25" s="13">
        <f>K25*$BT$6</f>
        <v>6269.5440000000008</v>
      </c>
      <c r="BT25" s="13">
        <v>1905</v>
      </c>
      <c r="BU25" s="13">
        <f t="shared" si="31"/>
        <v>8174.5440000000008</v>
      </c>
      <c r="BV25" s="13"/>
      <c r="BW25" s="13">
        <f>K25*$BX$6</f>
        <v>22789.511999999999</v>
      </c>
      <c r="BX25" s="13">
        <v>6924</v>
      </c>
      <c r="BY25" s="13">
        <f t="shared" si="33"/>
        <v>29713.511999999999</v>
      </c>
      <c r="BZ25" s="13"/>
      <c r="CA25" s="13">
        <f>K25*$CB$6</f>
        <v>155630.97600000002</v>
      </c>
      <c r="CB25" s="13">
        <v>47282</v>
      </c>
      <c r="CC25" s="13">
        <f t="shared" si="35"/>
        <v>202912.97600000002</v>
      </c>
      <c r="CD25" s="13"/>
      <c r="CE25" s="13">
        <f>K25*$CF$6</f>
        <v>644105.01599999995</v>
      </c>
      <c r="CF25" s="13">
        <v>195683</v>
      </c>
      <c r="CG25" s="13">
        <f t="shared" si="37"/>
        <v>839788.01599999995</v>
      </c>
      <c r="CH25" s="13"/>
      <c r="CI25" s="13">
        <f>K25*$CJ$6</f>
        <v>118408.60800000001</v>
      </c>
      <c r="CJ25" s="13">
        <v>35973</v>
      </c>
      <c r="CK25" s="13">
        <f t="shared" si="39"/>
        <v>154381.60800000001</v>
      </c>
      <c r="CL25" s="13"/>
      <c r="CM25" s="13">
        <f>K25*$CN$6</f>
        <v>405392.66400000005</v>
      </c>
      <c r="CN25" s="13">
        <v>123161</v>
      </c>
      <c r="CO25" s="13">
        <f t="shared" si="41"/>
        <v>528553.66400000011</v>
      </c>
      <c r="CP25" s="13"/>
      <c r="CQ25" s="13">
        <f>K25*$CR$6</f>
        <v>86432.51999999999</v>
      </c>
      <c r="CR25" s="13">
        <v>26259</v>
      </c>
      <c r="CS25" s="13">
        <f t="shared" si="43"/>
        <v>112691.51999999999</v>
      </c>
      <c r="CT25" s="13"/>
      <c r="CU25" s="13">
        <f>K25*$CV$6</f>
        <v>7041.5519999999997</v>
      </c>
      <c r="CV25" s="13">
        <v>2139</v>
      </c>
      <c r="CW25" s="13">
        <f t="shared" si="45"/>
        <v>9180.5519999999997</v>
      </c>
      <c r="CX25" s="13"/>
      <c r="CY25" s="13">
        <f>K25*$CZ$6</f>
        <v>8398.152</v>
      </c>
      <c r="CZ25" s="13">
        <v>2551</v>
      </c>
      <c r="DA25" s="13">
        <f t="shared" si="47"/>
        <v>10949.152</v>
      </c>
      <c r="DB25" s="13"/>
      <c r="DC25" s="13">
        <f>K25*$DD$6</f>
        <v>17128.272000000001</v>
      </c>
      <c r="DD25" s="13">
        <v>5204</v>
      </c>
      <c r="DE25" s="13">
        <f t="shared" si="49"/>
        <v>22332.272000000001</v>
      </c>
      <c r="DF25" s="13"/>
      <c r="DG25" s="13">
        <f>K25*$DH$6</f>
        <v>472113.21600000001</v>
      </c>
      <c r="DH25" s="13">
        <f>143431</f>
        <v>143431</v>
      </c>
      <c r="DI25" s="13">
        <f t="shared" si="51"/>
        <v>615544.21600000001</v>
      </c>
      <c r="DJ25" s="13"/>
      <c r="DK25" s="13">
        <f>K25*$DL$6</f>
        <v>18335.760000000002</v>
      </c>
      <c r="DL25" s="13">
        <v>5571</v>
      </c>
      <c r="DM25" s="13">
        <f t="shared" si="53"/>
        <v>23906.760000000002</v>
      </c>
      <c r="DN25" s="13"/>
      <c r="DO25" s="13">
        <f>K25*$DP$6</f>
        <v>39294.432000000001</v>
      </c>
      <c r="DP25" s="13">
        <v>11938</v>
      </c>
      <c r="DQ25" s="13">
        <f t="shared" si="55"/>
        <v>51232.432000000001</v>
      </c>
      <c r="DR25" s="13"/>
      <c r="DS25" s="13">
        <f>3093716-3093716</f>
        <v>0</v>
      </c>
      <c r="DT25" s="13">
        <f>932664-939889</f>
        <v>-7225</v>
      </c>
      <c r="DU25" s="13">
        <f t="shared" si="57"/>
        <v>-7225</v>
      </c>
      <c r="DW25" s="13">
        <f>1466284-1466284</f>
        <v>0</v>
      </c>
      <c r="DX25" s="13">
        <f>442041-445466</f>
        <v>-3425</v>
      </c>
      <c r="DY25" s="13">
        <f t="shared" si="58"/>
        <v>-3425</v>
      </c>
    </row>
    <row r="26" spans="1:129" x14ac:dyDescent="0.2">
      <c r="A26" s="44">
        <v>43374</v>
      </c>
      <c r="D26" s="14">
        <v>220125</v>
      </c>
      <c r="F26" s="14">
        <v>202550</v>
      </c>
      <c r="H26" s="14">
        <v>838030</v>
      </c>
      <c r="L26" s="14">
        <f t="shared" si="0"/>
        <v>1260705</v>
      </c>
      <c r="M26" s="14">
        <f t="shared" si="1"/>
        <v>1260705</v>
      </c>
      <c r="P26" s="13">
        <v>405384</v>
      </c>
      <c r="Q26" s="13">
        <f t="shared" si="2"/>
        <v>405384</v>
      </c>
      <c r="S26" s="13"/>
      <c r="T26" s="14">
        <f t="shared" si="4"/>
        <v>855322</v>
      </c>
      <c r="U26" s="13">
        <f t="shared" si="5"/>
        <v>855322</v>
      </c>
      <c r="W26" s="2"/>
      <c r="X26" s="2">
        <v>69946</v>
      </c>
      <c r="Y26" s="2">
        <f t="shared" si="7"/>
        <v>69946</v>
      </c>
      <c r="AA26" s="2"/>
      <c r="AB26" s="2">
        <v>85388</v>
      </c>
      <c r="AC26" s="2">
        <f t="shared" si="9"/>
        <v>85388</v>
      </c>
      <c r="AF26" s="13">
        <v>313</v>
      </c>
      <c r="AG26" s="13">
        <f t="shared" si="11"/>
        <v>313</v>
      </c>
      <c r="AI26" s="2"/>
      <c r="AJ26" s="2">
        <v>18455</v>
      </c>
      <c r="AK26" s="2">
        <f t="shared" si="13"/>
        <v>18455</v>
      </c>
      <c r="AM26" s="2"/>
      <c r="AN26" s="2">
        <v>84917</v>
      </c>
      <c r="AO26" s="2">
        <f t="shared" si="15"/>
        <v>84917</v>
      </c>
      <c r="AP26" s="13"/>
      <c r="AQ26" s="2"/>
      <c r="AR26" s="2">
        <v>13387</v>
      </c>
      <c r="AS26" s="2">
        <f t="shared" si="17"/>
        <v>13387</v>
      </c>
      <c r="AT26" s="13"/>
      <c r="AU26" s="13"/>
      <c r="AV26" s="13">
        <v>744</v>
      </c>
      <c r="AW26" s="13">
        <f t="shared" si="19"/>
        <v>744</v>
      </c>
      <c r="AX26" s="13"/>
      <c r="AY26" s="13"/>
      <c r="AZ26" s="13">
        <v>8566</v>
      </c>
      <c r="BA26" s="13">
        <f t="shared" si="21"/>
        <v>8566</v>
      </c>
      <c r="BB26" s="13"/>
      <c r="BC26" s="13"/>
      <c r="BD26" s="13">
        <v>11974</v>
      </c>
      <c r="BE26" s="13">
        <f t="shared" si="23"/>
        <v>11974</v>
      </c>
      <c r="BF26" s="13"/>
      <c r="BG26" s="13"/>
      <c r="BH26" s="13">
        <v>1675</v>
      </c>
      <c r="BI26" s="13">
        <f t="shared" si="25"/>
        <v>1675</v>
      </c>
      <c r="BJ26" s="13"/>
      <c r="BK26" s="13"/>
      <c r="BL26" s="13">
        <v>8702</v>
      </c>
      <c r="BM26" s="13">
        <f t="shared" si="27"/>
        <v>8702</v>
      </c>
      <c r="BN26" s="13"/>
      <c r="BO26" s="13"/>
      <c r="BP26" s="13">
        <v>495</v>
      </c>
      <c r="BQ26" s="13">
        <f t="shared" si="29"/>
        <v>495</v>
      </c>
      <c r="BR26" s="13"/>
      <c r="BS26" s="13"/>
      <c r="BT26" s="13">
        <v>1748</v>
      </c>
      <c r="BU26" s="13">
        <f t="shared" si="31"/>
        <v>1748</v>
      </c>
      <c r="BV26" s="13"/>
      <c r="BW26" s="13"/>
      <c r="BX26" s="13">
        <v>6354</v>
      </c>
      <c r="BY26" s="13">
        <f t="shared" si="33"/>
        <v>6354</v>
      </c>
      <c r="BZ26" s="13"/>
      <c r="CA26" s="13"/>
      <c r="CB26" s="13">
        <v>43391</v>
      </c>
      <c r="CC26" s="13">
        <f t="shared" si="35"/>
        <v>43391</v>
      </c>
      <c r="CD26" s="13"/>
      <c r="CE26" s="13"/>
      <c r="CF26" s="13">
        <v>179580</v>
      </c>
      <c r="CG26" s="13">
        <f t="shared" si="37"/>
        <v>179580</v>
      </c>
      <c r="CH26" s="13"/>
      <c r="CI26" s="13"/>
      <c r="CJ26" s="13">
        <v>33013</v>
      </c>
      <c r="CK26" s="13">
        <f t="shared" si="39"/>
        <v>33013</v>
      </c>
      <c r="CL26" s="13"/>
      <c r="CM26" s="13"/>
      <c r="CN26" s="13">
        <v>113026</v>
      </c>
      <c r="CO26" s="13">
        <f t="shared" si="41"/>
        <v>113026</v>
      </c>
      <c r="CP26" s="13"/>
      <c r="CQ26" s="13"/>
      <c r="CR26" s="13">
        <v>24098</v>
      </c>
      <c r="CS26" s="13">
        <f t="shared" si="43"/>
        <v>24098</v>
      </c>
      <c r="CT26" s="13"/>
      <c r="CU26" s="13"/>
      <c r="CV26" s="13">
        <v>1963</v>
      </c>
      <c r="CW26" s="13">
        <f t="shared" si="45"/>
        <v>1963</v>
      </c>
      <c r="CX26" s="13"/>
      <c r="CY26" s="13"/>
      <c r="CZ26" s="13">
        <v>2341</v>
      </c>
      <c r="DA26" s="13">
        <f t="shared" si="47"/>
        <v>2341</v>
      </c>
      <c r="DB26" s="13"/>
      <c r="DC26" s="13"/>
      <c r="DD26" s="13">
        <v>4775</v>
      </c>
      <c r="DE26" s="13">
        <f t="shared" si="49"/>
        <v>4775</v>
      </c>
      <c r="DF26" s="13"/>
      <c r="DG26" s="13"/>
      <c r="DH26" s="13">
        <v>131628</v>
      </c>
      <c r="DI26" s="13">
        <f t="shared" si="51"/>
        <v>131628</v>
      </c>
      <c r="DJ26" s="13"/>
      <c r="DK26" s="13"/>
      <c r="DL26" s="13">
        <v>5112</v>
      </c>
      <c r="DM26" s="13">
        <f t="shared" si="53"/>
        <v>5112</v>
      </c>
      <c r="DN26" s="13"/>
      <c r="DO26" s="13"/>
      <c r="DP26" s="13">
        <v>10956</v>
      </c>
      <c r="DQ26" s="13">
        <f t="shared" si="55"/>
        <v>10956</v>
      </c>
      <c r="DR26" s="13"/>
      <c r="DS26" s="13"/>
      <c r="DT26" s="13">
        <f>855321-862546</f>
        <v>-7225</v>
      </c>
      <c r="DU26" s="13">
        <f t="shared" si="57"/>
        <v>-7225</v>
      </c>
      <c r="DW26" s="13"/>
      <c r="DX26" s="13">
        <f>405384-408809</f>
        <v>-3425</v>
      </c>
      <c r="DY26" s="13">
        <f t="shared" si="58"/>
        <v>-3425</v>
      </c>
    </row>
    <row r="27" spans="1:129" x14ac:dyDescent="0.2">
      <c r="A27" s="44">
        <v>43556</v>
      </c>
      <c r="C27" s="14">
        <v>4785000</v>
      </c>
      <c r="D27" s="14">
        <v>220125</v>
      </c>
      <c r="F27" s="14">
        <v>202550</v>
      </c>
      <c r="H27" s="14">
        <v>0</v>
      </c>
      <c r="K27" s="14">
        <f t="shared" si="3"/>
        <v>4785000</v>
      </c>
      <c r="L27" s="14">
        <f t="shared" si="0"/>
        <v>422675</v>
      </c>
      <c r="M27" s="14">
        <f t="shared" si="1"/>
        <v>5207675</v>
      </c>
      <c r="O27" s="13">
        <v>1538633</v>
      </c>
      <c r="P27" s="13">
        <v>135913</v>
      </c>
      <c r="Q27" s="13">
        <f t="shared" si="2"/>
        <v>1674546</v>
      </c>
      <c r="S27" s="13">
        <f t="shared" si="56"/>
        <v>3246366.5025000004</v>
      </c>
      <c r="T27" s="14">
        <f t="shared" si="4"/>
        <v>286763</v>
      </c>
      <c r="U27" s="13">
        <f t="shared" si="5"/>
        <v>3533129.5025000004</v>
      </c>
      <c r="W27" s="2">
        <f>K27*$X$6</f>
        <v>263253.95250000001</v>
      </c>
      <c r="X27" s="2">
        <v>69946</v>
      </c>
      <c r="Y27" s="2">
        <f t="shared" si="7"/>
        <v>333199.95250000001</v>
      </c>
      <c r="AA27" s="2">
        <f>K27*$AB$6</f>
        <v>321376.39049999998</v>
      </c>
      <c r="AB27" s="2">
        <v>85388</v>
      </c>
      <c r="AC27" s="2">
        <f t="shared" si="9"/>
        <v>406764.39049999998</v>
      </c>
      <c r="AE27" s="13">
        <f>K27*$AF$6</f>
        <v>1176.6315</v>
      </c>
      <c r="AF27" s="13">
        <v>313</v>
      </c>
      <c r="AG27" s="13">
        <f t="shared" si="11"/>
        <v>1489.6315</v>
      </c>
      <c r="AI27" s="2">
        <f>K27*$AJ$6</f>
        <v>69459.53850000001</v>
      </c>
      <c r="AJ27" s="2">
        <v>18455</v>
      </c>
      <c r="AK27" s="2">
        <f t="shared" si="13"/>
        <v>87914.53850000001</v>
      </c>
      <c r="AM27" s="2">
        <f>K27*$AN$6</f>
        <v>319602.11250000005</v>
      </c>
      <c r="AN27" s="2">
        <v>84917</v>
      </c>
      <c r="AO27" s="2">
        <f t="shared" si="15"/>
        <v>404519.11250000005</v>
      </c>
      <c r="AP27" s="13"/>
      <c r="AQ27" s="2">
        <f>K27*$AR$6</f>
        <v>50384.135999999999</v>
      </c>
      <c r="AR27" s="2">
        <v>13387</v>
      </c>
      <c r="AS27" s="2">
        <f t="shared" si="17"/>
        <v>63771.135999999999</v>
      </c>
      <c r="AT27" s="13"/>
      <c r="AU27" s="13">
        <f>K27*$AV$6</f>
        <v>2798.7464999999997</v>
      </c>
      <c r="AV27" s="13">
        <v>744</v>
      </c>
      <c r="AW27" s="13">
        <f t="shared" si="19"/>
        <v>3542.7464999999997</v>
      </c>
      <c r="AX27" s="13"/>
      <c r="AY27" s="13">
        <f>K27*$AZ$6</f>
        <v>32237.980499999998</v>
      </c>
      <c r="AZ27" s="13">
        <v>8566</v>
      </c>
      <c r="BA27" s="13">
        <f t="shared" si="21"/>
        <v>40803.980499999998</v>
      </c>
      <c r="BB27" s="13"/>
      <c r="BC27" s="13">
        <f>K27*$BD$6</f>
        <v>45068.000999999997</v>
      </c>
      <c r="BD27" s="13">
        <v>11974</v>
      </c>
      <c r="BE27" s="13">
        <f t="shared" si="23"/>
        <v>57042.000999999997</v>
      </c>
      <c r="BF27" s="13"/>
      <c r="BG27" s="13">
        <f>K27*$BH$6</f>
        <v>6304.7159999999994</v>
      </c>
      <c r="BH27" s="13">
        <v>1675</v>
      </c>
      <c r="BI27" s="13">
        <f t="shared" si="25"/>
        <v>7979.7159999999994</v>
      </c>
      <c r="BJ27" s="13"/>
      <c r="BK27" s="13">
        <f>K27*$BM$6</f>
        <v>32752.367999999999</v>
      </c>
      <c r="BL27" s="13">
        <v>8702</v>
      </c>
      <c r="BM27" s="13">
        <f t="shared" si="27"/>
        <v>41454.368000000002</v>
      </c>
      <c r="BN27" s="13"/>
      <c r="BO27" s="13">
        <f>K27*$BP$6</f>
        <v>1861.365</v>
      </c>
      <c r="BP27" s="13">
        <v>495</v>
      </c>
      <c r="BQ27" s="13">
        <f t="shared" si="29"/>
        <v>2356.3649999999998</v>
      </c>
      <c r="BR27" s="13"/>
      <c r="BS27" s="13">
        <f>K27*$BT$6</f>
        <v>6578.8965000000007</v>
      </c>
      <c r="BT27" s="13">
        <v>1748</v>
      </c>
      <c r="BU27" s="13">
        <f t="shared" si="31"/>
        <v>8326.8965000000007</v>
      </c>
      <c r="BV27" s="13"/>
      <c r="BW27" s="13">
        <f>K27*$BX$6</f>
        <v>23913.994500000001</v>
      </c>
      <c r="BX27" s="13">
        <v>6354</v>
      </c>
      <c r="BY27" s="13">
        <f t="shared" si="33"/>
        <v>30267.994500000001</v>
      </c>
      <c r="BZ27" s="13"/>
      <c r="CA27" s="13">
        <f>K27*$CB$6</f>
        <v>163310.13600000003</v>
      </c>
      <c r="CB27" s="13">
        <v>43391</v>
      </c>
      <c r="CC27" s="13">
        <f t="shared" si="35"/>
        <v>206701.13600000003</v>
      </c>
      <c r="CD27" s="13"/>
      <c r="CE27" s="13">
        <f>K27*$CF$6</f>
        <v>675886.5135</v>
      </c>
      <c r="CF27" s="13">
        <v>179580</v>
      </c>
      <c r="CG27" s="13">
        <f t="shared" si="37"/>
        <v>855466.5135</v>
      </c>
      <c r="CH27" s="13"/>
      <c r="CI27" s="13">
        <f>K27*$CJ$6</f>
        <v>124251.13800000001</v>
      </c>
      <c r="CJ27" s="13">
        <v>33013</v>
      </c>
      <c r="CK27" s="13">
        <f t="shared" si="39"/>
        <v>157264.13800000001</v>
      </c>
      <c r="CL27" s="13"/>
      <c r="CM27" s="13">
        <f>K27*$CN$6</f>
        <v>425395.59150000004</v>
      </c>
      <c r="CN27" s="13">
        <v>113026</v>
      </c>
      <c r="CO27" s="13">
        <f t="shared" si="41"/>
        <v>538421.5915000001</v>
      </c>
      <c r="CP27" s="13"/>
      <c r="CQ27" s="13">
        <f>K27*$CR$6</f>
        <v>90697.282500000001</v>
      </c>
      <c r="CR27" s="13">
        <v>24098</v>
      </c>
      <c r="CS27" s="13">
        <f t="shared" si="43"/>
        <v>114795.2825</v>
      </c>
      <c r="CT27" s="13"/>
      <c r="CU27" s="13">
        <f>K27*$CV$6</f>
        <v>7388.9969999999994</v>
      </c>
      <c r="CV27" s="13">
        <v>1963</v>
      </c>
      <c r="CW27" s="13">
        <f t="shared" si="45"/>
        <v>9351.9969999999994</v>
      </c>
      <c r="CX27" s="13"/>
      <c r="CY27" s="13">
        <f>K27*$CZ$6</f>
        <v>8812.5344999999998</v>
      </c>
      <c r="CZ27" s="13">
        <v>2341</v>
      </c>
      <c r="DA27" s="13">
        <f t="shared" si="47"/>
        <v>11153.5345</v>
      </c>
      <c r="DB27" s="13"/>
      <c r="DC27" s="13">
        <f>K27*$DD$6</f>
        <v>17973.417000000001</v>
      </c>
      <c r="DD27" s="13">
        <v>4775</v>
      </c>
      <c r="DE27" s="13">
        <f t="shared" si="49"/>
        <v>22748.417000000001</v>
      </c>
      <c r="DF27" s="13"/>
      <c r="DG27" s="13">
        <f>K27*$DH$6</f>
        <v>495408.27600000001</v>
      </c>
      <c r="DH27" s="13">
        <v>131628</v>
      </c>
      <c r="DI27" s="13">
        <f t="shared" si="51"/>
        <v>627036.27600000007</v>
      </c>
      <c r="DJ27" s="13"/>
      <c r="DK27" s="13">
        <f>K27*$DL$6</f>
        <v>19240.485000000001</v>
      </c>
      <c r="DL27" s="13">
        <v>5112</v>
      </c>
      <c r="DM27" s="13">
        <f t="shared" si="53"/>
        <v>24352.485000000001</v>
      </c>
      <c r="DN27" s="13"/>
      <c r="DO27" s="13">
        <f>K27*$DP$6</f>
        <v>41233.302000000003</v>
      </c>
      <c r="DP27" s="13">
        <v>10956</v>
      </c>
      <c r="DQ27" s="13">
        <f t="shared" si="55"/>
        <v>52189.302000000003</v>
      </c>
      <c r="DR27" s="13"/>
      <c r="DS27" s="13">
        <f>3246367-3246367</f>
        <v>0</v>
      </c>
      <c r="DT27" s="13">
        <f>286762-862546</f>
        <v>-575784</v>
      </c>
      <c r="DU27" s="13">
        <f t="shared" si="57"/>
        <v>-575784</v>
      </c>
      <c r="DW27" s="13">
        <f>1538633-1538633</f>
        <v>0</v>
      </c>
      <c r="DX27" s="13">
        <f>135913-408809</f>
        <v>-272896</v>
      </c>
      <c r="DY27" s="13">
        <f t="shared" si="58"/>
        <v>-272896</v>
      </c>
    </row>
    <row r="28" spans="1:129" x14ac:dyDescent="0.2">
      <c r="A28" s="44">
        <v>43739</v>
      </c>
      <c r="D28" s="14">
        <v>100500</v>
      </c>
      <c r="F28" s="14">
        <v>202550</v>
      </c>
      <c r="H28" s="14">
        <v>0</v>
      </c>
      <c r="J28" s="14">
        <v>1168844</v>
      </c>
      <c r="L28" s="14">
        <f t="shared" si="0"/>
        <v>1471894</v>
      </c>
      <c r="M28" s="14">
        <f t="shared" si="1"/>
        <v>1471894</v>
      </c>
      <c r="P28" s="13">
        <v>473293</v>
      </c>
      <c r="Q28" s="13">
        <f t="shared" si="2"/>
        <v>473293</v>
      </c>
      <c r="S28" s="13"/>
      <c r="T28" s="14">
        <f t="shared" si="4"/>
        <v>998603</v>
      </c>
      <c r="U28" s="13">
        <f t="shared" si="5"/>
        <v>998603</v>
      </c>
      <c r="W28" s="2"/>
      <c r="X28" s="2">
        <v>63364</v>
      </c>
      <c r="Y28" s="2">
        <f t="shared" si="7"/>
        <v>63364</v>
      </c>
      <c r="AA28" s="2"/>
      <c r="AB28" s="2">
        <v>77354</v>
      </c>
      <c r="AC28" s="2">
        <f t="shared" si="9"/>
        <v>77354</v>
      </c>
      <c r="AF28" s="13">
        <v>283</v>
      </c>
      <c r="AG28" s="13">
        <f t="shared" si="11"/>
        <v>283</v>
      </c>
      <c r="AI28" s="2"/>
      <c r="AJ28" s="2">
        <v>16719</v>
      </c>
      <c r="AK28" s="2">
        <f t="shared" si="13"/>
        <v>16719</v>
      </c>
      <c r="AM28" s="2"/>
      <c r="AN28" s="2">
        <v>76927</v>
      </c>
      <c r="AO28" s="2">
        <f t="shared" si="15"/>
        <v>76927</v>
      </c>
      <c r="AP28" s="13"/>
      <c r="AQ28" s="2"/>
      <c r="AR28" s="2">
        <v>12127</v>
      </c>
      <c r="AS28" s="2">
        <f t="shared" si="17"/>
        <v>12127</v>
      </c>
      <c r="AT28" s="13"/>
      <c r="AU28" s="13"/>
      <c r="AV28" s="13">
        <v>674</v>
      </c>
      <c r="AW28" s="13">
        <f t="shared" si="19"/>
        <v>674</v>
      </c>
      <c r="AX28" s="13"/>
      <c r="AY28" s="13"/>
      <c r="AZ28" s="13">
        <v>7760</v>
      </c>
      <c r="BA28" s="13">
        <f t="shared" si="21"/>
        <v>7760</v>
      </c>
      <c r="BB28" s="13"/>
      <c r="BC28" s="13"/>
      <c r="BD28" s="13">
        <v>10848</v>
      </c>
      <c r="BE28" s="13">
        <f t="shared" si="23"/>
        <v>10848</v>
      </c>
      <c r="BF28" s="13"/>
      <c r="BG28" s="13"/>
      <c r="BH28" s="13">
        <v>1518</v>
      </c>
      <c r="BI28" s="13">
        <f t="shared" si="25"/>
        <v>1518</v>
      </c>
      <c r="BJ28" s="13"/>
      <c r="BK28" s="13"/>
      <c r="BL28" s="13">
        <v>7883</v>
      </c>
      <c r="BM28" s="13">
        <f t="shared" si="27"/>
        <v>7883</v>
      </c>
      <c r="BN28" s="13"/>
      <c r="BO28" s="13"/>
      <c r="BP28" s="13">
        <v>448</v>
      </c>
      <c r="BQ28" s="13">
        <f t="shared" si="29"/>
        <v>448</v>
      </c>
      <c r="BR28" s="13"/>
      <c r="BS28" s="13"/>
      <c r="BT28" s="13">
        <v>1584</v>
      </c>
      <c r="BU28" s="13">
        <f t="shared" si="31"/>
        <v>1584</v>
      </c>
      <c r="BV28" s="13"/>
      <c r="BW28" s="13"/>
      <c r="BX28" s="13">
        <v>5756</v>
      </c>
      <c r="BY28" s="13">
        <f t="shared" si="33"/>
        <v>5756</v>
      </c>
      <c r="BZ28" s="13"/>
      <c r="CA28" s="13"/>
      <c r="CB28" s="13">
        <v>39308</v>
      </c>
      <c r="CC28" s="13">
        <f t="shared" si="35"/>
        <v>39308</v>
      </c>
      <c r="CD28" s="13"/>
      <c r="CE28" s="13"/>
      <c r="CF28" s="13">
        <v>162683</v>
      </c>
      <c r="CG28" s="13">
        <f t="shared" si="37"/>
        <v>162683</v>
      </c>
      <c r="CH28" s="13"/>
      <c r="CI28" s="13"/>
      <c r="CJ28" s="13">
        <v>29907</v>
      </c>
      <c r="CK28" s="13">
        <f t="shared" si="39"/>
        <v>29907</v>
      </c>
      <c r="CL28" s="13"/>
      <c r="CM28" s="13"/>
      <c r="CN28" s="13">
        <v>102391</v>
      </c>
      <c r="CO28" s="13">
        <f t="shared" si="41"/>
        <v>102391</v>
      </c>
      <c r="CP28" s="13"/>
      <c r="CQ28" s="13"/>
      <c r="CR28" s="13">
        <v>21830</v>
      </c>
      <c r="CS28" s="13">
        <f t="shared" si="43"/>
        <v>21830</v>
      </c>
      <c r="CT28" s="13"/>
      <c r="CU28" s="13"/>
      <c r="CV28" s="13">
        <v>1779</v>
      </c>
      <c r="CW28" s="13">
        <f t="shared" si="45"/>
        <v>1779</v>
      </c>
      <c r="CX28" s="13"/>
      <c r="CY28" s="13"/>
      <c r="CZ28" s="13">
        <v>2121</v>
      </c>
      <c r="DA28" s="13">
        <f t="shared" si="47"/>
        <v>2121</v>
      </c>
      <c r="DB28" s="13"/>
      <c r="DC28" s="13"/>
      <c r="DD28" s="13">
        <v>4326</v>
      </c>
      <c r="DE28" s="13">
        <f t="shared" si="49"/>
        <v>4326</v>
      </c>
      <c r="DF28" s="13"/>
      <c r="DG28" s="13"/>
      <c r="DH28" s="13">
        <v>119243</v>
      </c>
      <c r="DI28" s="13">
        <f t="shared" si="51"/>
        <v>119243</v>
      </c>
      <c r="DJ28" s="13"/>
      <c r="DK28" s="13"/>
      <c r="DL28" s="13">
        <v>4631</v>
      </c>
      <c r="DM28" s="13">
        <f t="shared" si="53"/>
        <v>4631</v>
      </c>
      <c r="DN28" s="13"/>
      <c r="DO28" s="13"/>
      <c r="DP28" s="13">
        <v>9925</v>
      </c>
      <c r="DQ28" s="13">
        <f t="shared" si="55"/>
        <v>9925</v>
      </c>
      <c r="DR28" s="13"/>
      <c r="DS28" s="13"/>
      <c r="DT28" s="13">
        <f>998601-781387</f>
        <v>217214</v>
      </c>
      <c r="DU28" s="13">
        <f t="shared" si="57"/>
        <v>217214</v>
      </c>
      <c r="DW28" s="13"/>
      <c r="DX28" s="13">
        <f>473293-370343</f>
        <v>102950</v>
      </c>
      <c r="DY28" s="13">
        <f t="shared" si="58"/>
        <v>102950</v>
      </c>
    </row>
    <row r="29" spans="1:129" x14ac:dyDescent="0.2">
      <c r="A29" s="44">
        <v>43922</v>
      </c>
      <c r="C29" s="14">
        <v>5025000</v>
      </c>
      <c r="D29" s="14">
        <v>100500</v>
      </c>
      <c r="F29" s="14">
        <v>202550</v>
      </c>
      <c r="H29" s="14">
        <v>0</v>
      </c>
      <c r="J29" s="14">
        <v>952000</v>
      </c>
      <c r="K29" s="14">
        <f t="shared" si="3"/>
        <v>5025000</v>
      </c>
      <c r="L29" s="14">
        <f t="shared" si="0"/>
        <v>1255050</v>
      </c>
      <c r="M29" s="14">
        <f t="shared" si="1"/>
        <v>6280050</v>
      </c>
      <c r="O29" s="13">
        <v>1615806</v>
      </c>
      <c r="P29" s="13">
        <v>403566</v>
      </c>
      <c r="Q29" s="13">
        <f t="shared" si="2"/>
        <v>2019372</v>
      </c>
      <c r="S29" s="13">
        <f t="shared" si="56"/>
        <v>3409193.6624999996</v>
      </c>
      <c r="T29" s="14">
        <f t="shared" si="4"/>
        <v>851486</v>
      </c>
      <c r="U29" s="13">
        <f t="shared" si="5"/>
        <v>4260679.6624999996</v>
      </c>
      <c r="W29" s="2">
        <f>K29*$X$6</f>
        <v>276457.91250000003</v>
      </c>
      <c r="X29" s="2">
        <v>63364</v>
      </c>
      <c r="Y29" s="2">
        <f t="shared" si="7"/>
        <v>339821.91250000003</v>
      </c>
      <c r="AA29" s="2">
        <f>K29*$AB$6</f>
        <v>337495.58249999996</v>
      </c>
      <c r="AB29" s="2">
        <v>77354</v>
      </c>
      <c r="AC29" s="2">
        <f t="shared" si="9"/>
        <v>414849.58249999996</v>
      </c>
      <c r="AE29" s="13">
        <f>K29*$AF$6</f>
        <v>1235.6475</v>
      </c>
      <c r="AF29" s="13">
        <v>283</v>
      </c>
      <c r="AG29" s="13">
        <f t="shared" si="11"/>
        <v>1518.6475</v>
      </c>
      <c r="AI29" s="2">
        <f>K29*$AJ$6</f>
        <v>72943.402499999997</v>
      </c>
      <c r="AJ29" s="2">
        <v>16719</v>
      </c>
      <c r="AK29" s="2">
        <f t="shared" si="13"/>
        <v>89662.402499999997</v>
      </c>
      <c r="AM29" s="2">
        <f>K29*$AN$6</f>
        <v>335632.3125</v>
      </c>
      <c r="AN29" s="2">
        <v>76927</v>
      </c>
      <c r="AO29" s="2">
        <f t="shared" si="15"/>
        <v>412559.3125</v>
      </c>
      <c r="AP29" s="13"/>
      <c r="AQ29" s="2">
        <f>K29*$AR$6</f>
        <v>52911.24</v>
      </c>
      <c r="AR29" s="2">
        <v>12127</v>
      </c>
      <c r="AS29" s="2">
        <f t="shared" si="17"/>
        <v>65038.239999999998</v>
      </c>
      <c r="AT29" s="13"/>
      <c r="AU29" s="13">
        <f>K29*$AV$6</f>
        <v>2939.1224999999999</v>
      </c>
      <c r="AV29" s="13">
        <v>674</v>
      </c>
      <c r="AW29" s="13">
        <f t="shared" si="19"/>
        <v>3613.1224999999999</v>
      </c>
      <c r="AX29" s="13"/>
      <c r="AY29" s="13">
        <f>K29*$AZ$6</f>
        <v>33854.932500000003</v>
      </c>
      <c r="AZ29" s="13">
        <v>7760</v>
      </c>
      <c r="BA29" s="13">
        <f t="shared" si="21"/>
        <v>41614.932500000003</v>
      </c>
      <c r="BB29" s="13"/>
      <c r="BC29" s="13">
        <f>K29*$BD$6</f>
        <v>47328.464999999997</v>
      </c>
      <c r="BD29" s="13">
        <v>10848</v>
      </c>
      <c r="BE29" s="13">
        <f t="shared" si="23"/>
        <v>58176.464999999997</v>
      </c>
      <c r="BF29" s="13"/>
      <c r="BG29" s="13">
        <f>K29*$BH$6</f>
        <v>6620.94</v>
      </c>
      <c r="BH29" s="13">
        <v>1518</v>
      </c>
      <c r="BI29" s="13">
        <f t="shared" si="25"/>
        <v>8138.94</v>
      </c>
      <c r="BJ29" s="13"/>
      <c r="BK29" s="13">
        <f>K29*$BM$6</f>
        <v>34395.120000000003</v>
      </c>
      <c r="BL29" s="13">
        <v>7883</v>
      </c>
      <c r="BM29" s="13">
        <f t="shared" si="27"/>
        <v>42278.12</v>
      </c>
      <c r="BN29" s="13"/>
      <c r="BO29" s="13">
        <f>K29*$BP$6</f>
        <v>1954.7250000000001</v>
      </c>
      <c r="BP29" s="13">
        <v>448</v>
      </c>
      <c r="BQ29" s="13">
        <f t="shared" si="29"/>
        <v>2402.7250000000004</v>
      </c>
      <c r="BR29" s="13"/>
      <c r="BS29" s="13">
        <f>K29*$BT$6</f>
        <v>6908.8725000000004</v>
      </c>
      <c r="BT29" s="13">
        <v>1584</v>
      </c>
      <c r="BU29" s="13">
        <f t="shared" si="31"/>
        <v>8492.8725000000013</v>
      </c>
      <c r="BV29" s="13"/>
      <c r="BW29" s="13">
        <f>K29*$BX$6</f>
        <v>25113.442500000001</v>
      </c>
      <c r="BX29" s="13">
        <v>5756</v>
      </c>
      <c r="BY29" s="13">
        <f t="shared" si="33"/>
        <v>30869.442500000001</v>
      </c>
      <c r="BZ29" s="13"/>
      <c r="CA29" s="13">
        <f>K29*$CB$6</f>
        <v>171501.24000000002</v>
      </c>
      <c r="CB29" s="13">
        <v>39308</v>
      </c>
      <c r="CC29" s="13">
        <f t="shared" si="35"/>
        <v>210809.24000000002</v>
      </c>
      <c r="CD29" s="13"/>
      <c r="CE29" s="13">
        <f>K29*$CF$6</f>
        <v>709786.77749999997</v>
      </c>
      <c r="CF29" s="13">
        <v>162683</v>
      </c>
      <c r="CG29" s="13">
        <f t="shared" si="37"/>
        <v>872469.77749999997</v>
      </c>
      <c r="CH29" s="13"/>
      <c r="CI29" s="13">
        <f>K29*$CJ$6</f>
        <v>130483.17000000001</v>
      </c>
      <c r="CJ29" s="13">
        <v>29907</v>
      </c>
      <c r="CK29" s="13">
        <f t="shared" si="39"/>
        <v>160390.17000000001</v>
      </c>
      <c r="CL29" s="13"/>
      <c r="CM29" s="13">
        <f>K29*$CN$6</f>
        <v>446732.04750000004</v>
      </c>
      <c r="CN29" s="13">
        <v>102391</v>
      </c>
      <c r="CO29" s="13">
        <f t="shared" si="41"/>
        <v>549123.0475000001</v>
      </c>
      <c r="CP29" s="13"/>
      <c r="CQ29" s="13">
        <f>K29*$CR$6</f>
        <v>95246.362499999988</v>
      </c>
      <c r="CR29" s="13">
        <v>21830</v>
      </c>
      <c r="CS29" s="13">
        <f t="shared" si="43"/>
        <v>117076.36249999999</v>
      </c>
      <c r="CT29" s="13"/>
      <c r="CU29" s="13">
        <f>K29*$CV$6</f>
        <v>7759.6049999999996</v>
      </c>
      <c r="CV29" s="13">
        <v>1779</v>
      </c>
      <c r="CW29" s="13">
        <f t="shared" si="45"/>
        <v>9538.6049999999996</v>
      </c>
      <c r="CX29" s="13"/>
      <c r="CY29" s="13">
        <f>K29*$CZ$6</f>
        <v>9254.5424999999996</v>
      </c>
      <c r="CZ29" s="13">
        <v>2121</v>
      </c>
      <c r="DA29" s="13">
        <f t="shared" si="47"/>
        <v>11375.5425</v>
      </c>
      <c r="DB29" s="13"/>
      <c r="DC29" s="13">
        <f>K29*$DD$6</f>
        <v>18874.904999999999</v>
      </c>
      <c r="DD29" s="13">
        <v>4326</v>
      </c>
      <c r="DE29" s="13">
        <f t="shared" si="49"/>
        <v>23200.904999999999</v>
      </c>
      <c r="DF29" s="13"/>
      <c r="DG29" s="13">
        <f>K29*$DH$6</f>
        <v>520256.34</v>
      </c>
      <c r="DH29" s="13">
        <v>119243</v>
      </c>
      <c r="DI29" s="13">
        <f t="shared" si="51"/>
        <v>639499.34000000008</v>
      </c>
      <c r="DJ29" s="13"/>
      <c r="DK29" s="13">
        <f>K29*$DL$6</f>
        <v>20205.525000000001</v>
      </c>
      <c r="DL29" s="13">
        <v>4631</v>
      </c>
      <c r="DM29" s="13">
        <f t="shared" si="53"/>
        <v>24836.525000000001</v>
      </c>
      <c r="DN29" s="13"/>
      <c r="DO29" s="13">
        <f>K29*$DP$6</f>
        <v>43301.43</v>
      </c>
      <c r="DP29" s="13">
        <v>9925</v>
      </c>
      <c r="DQ29" s="13">
        <f t="shared" si="55"/>
        <v>53226.43</v>
      </c>
      <c r="DR29" s="13"/>
      <c r="DS29" s="13">
        <f>3409194-3409194</f>
        <v>0</v>
      </c>
      <c r="DT29" s="13">
        <f>851484-781387</f>
        <v>70097</v>
      </c>
      <c r="DU29" s="13">
        <f t="shared" si="57"/>
        <v>70097</v>
      </c>
      <c r="DW29" s="13">
        <f>1615806-1615806</f>
        <v>0</v>
      </c>
      <c r="DX29" s="13">
        <f>403566-370343</f>
        <v>33223</v>
      </c>
      <c r="DY29" s="13">
        <f t="shared" si="58"/>
        <v>33223</v>
      </c>
    </row>
    <row r="30" spans="1:129" x14ac:dyDescent="0.2">
      <c r="A30" s="44">
        <v>44105</v>
      </c>
      <c r="D30" s="14">
        <v>0</v>
      </c>
      <c r="F30" s="14">
        <v>202550</v>
      </c>
      <c r="H30" s="14">
        <v>0</v>
      </c>
      <c r="J30" s="14">
        <v>952000</v>
      </c>
      <c r="L30" s="14">
        <f t="shared" si="0"/>
        <v>1154550</v>
      </c>
      <c r="M30" s="14">
        <f t="shared" si="1"/>
        <v>1154550</v>
      </c>
      <c r="P30" s="13">
        <v>371250</v>
      </c>
      <c r="Q30" s="13">
        <f t="shared" si="2"/>
        <v>371250</v>
      </c>
      <c r="S30" s="13"/>
      <c r="T30" s="14">
        <f t="shared" si="4"/>
        <v>783299</v>
      </c>
      <c r="U30" s="13">
        <f t="shared" si="5"/>
        <v>783299</v>
      </c>
      <c r="W30" s="2"/>
      <c r="X30" s="2">
        <v>57835</v>
      </c>
      <c r="Y30" s="2">
        <f t="shared" si="7"/>
        <v>57835</v>
      </c>
      <c r="AA30" s="2"/>
      <c r="AB30" s="2">
        <v>70604</v>
      </c>
      <c r="AC30" s="2">
        <f t="shared" si="9"/>
        <v>70604</v>
      </c>
      <c r="AF30" s="13">
        <v>258</v>
      </c>
      <c r="AG30" s="13">
        <f t="shared" si="11"/>
        <v>258</v>
      </c>
      <c r="AI30" s="2"/>
      <c r="AJ30" s="2">
        <v>15260</v>
      </c>
      <c r="AK30" s="2">
        <f t="shared" si="13"/>
        <v>15260</v>
      </c>
      <c r="AM30" s="2"/>
      <c r="AN30" s="2">
        <v>70214</v>
      </c>
      <c r="AO30" s="2">
        <f t="shared" si="15"/>
        <v>70214</v>
      </c>
      <c r="AP30" s="13"/>
      <c r="AQ30" s="2"/>
      <c r="AR30" s="2">
        <v>11069</v>
      </c>
      <c r="AS30" s="2">
        <f t="shared" si="17"/>
        <v>11069</v>
      </c>
      <c r="AT30" s="13"/>
      <c r="AU30" s="13"/>
      <c r="AV30" s="13">
        <v>615</v>
      </c>
      <c r="AW30" s="13">
        <f t="shared" si="19"/>
        <v>615</v>
      </c>
      <c r="AX30" s="13"/>
      <c r="AY30" s="13"/>
      <c r="AZ30" s="13">
        <v>7082</v>
      </c>
      <c r="BA30" s="13">
        <f t="shared" si="21"/>
        <v>7082</v>
      </c>
      <c r="BB30" s="13"/>
      <c r="BC30" s="13"/>
      <c r="BD30" s="13">
        <v>9901</v>
      </c>
      <c r="BE30" s="13">
        <f t="shared" si="23"/>
        <v>9901</v>
      </c>
      <c r="BF30" s="13"/>
      <c r="BG30" s="13"/>
      <c r="BH30" s="13">
        <v>1385</v>
      </c>
      <c r="BI30" s="13">
        <f t="shared" si="25"/>
        <v>1385</v>
      </c>
      <c r="BJ30" s="13"/>
      <c r="BK30" s="13"/>
      <c r="BL30" s="13">
        <v>7195</v>
      </c>
      <c r="BM30" s="13">
        <f t="shared" si="27"/>
        <v>7195</v>
      </c>
      <c r="BN30" s="13"/>
      <c r="BO30" s="13"/>
      <c r="BP30" s="13">
        <v>409</v>
      </c>
      <c r="BQ30" s="13">
        <f t="shared" si="29"/>
        <v>409</v>
      </c>
      <c r="BR30" s="13"/>
      <c r="BS30" s="13"/>
      <c r="BT30" s="13">
        <v>1445</v>
      </c>
      <c r="BU30" s="13">
        <f t="shared" si="31"/>
        <v>1445</v>
      </c>
      <c r="BV30" s="13"/>
      <c r="BW30" s="13"/>
      <c r="BX30" s="13">
        <v>5254</v>
      </c>
      <c r="BY30" s="13">
        <f t="shared" si="33"/>
        <v>5254</v>
      </c>
      <c r="BZ30" s="13"/>
      <c r="CA30" s="13"/>
      <c r="CB30" s="13">
        <v>35878</v>
      </c>
      <c r="CC30" s="13">
        <f t="shared" si="35"/>
        <v>35878</v>
      </c>
      <c r="CD30" s="13"/>
      <c r="CE30" s="13"/>
      <c r="CF30" s="13">
        <v>148487</v>
      </c>
      <c r="CG30" s="13">
        <f t="shared" si="37"/>
        <v>148487</v>
      </c>
      <c r="CH30" s="13"/>
      <c r="CI30" s="13"/>
      <c r="CJ30" s="13">
        <v>27297</v>
      </c>
      <c r="CK30" s="13">
        <f t="shared" si="39"/>
        <v>27297</v>
      </c>
      <c r="CL30" s="13"/>
      <c r="CM30" s="13"/>
      <c r="CN30" s="13">
        <v>93456</v>
      </c>
      <c r="CO30" s="13">
        <f t="shared" si="41"/>
        <v>93456</v>
      </c>
      <c r="CP30" s="13"/>
      <c r="CQ30" s="13"/>
      <c r="CR30" s="13">
        <v>19926</v>
      </c>
      <c r="CS30" s="13">
        <f t="shared" si="43"/>
        <v>19926</v>
      </c>
      <c r="CT30" s="13"/>
      <c r="CU30" s="13"/>
      <c r="CV30" s="13">
        <v>1623</v>
      </c>
      <c r="CW30" s="13">
        <f t="shared" si="45"/>
        <v>1623</v>
      </c>
      <c r="CX30" s="13"/>
      <c r="CY30" s="13"/>
      <c r="CZ30" s="13">
        <v>1936</v>
      </c>
      <c r="DA30" s="13">
        <f t="shared" si="47"/>
        <v>1936</v>
      </c>
      <c r="DB30" s="13"/>
      <c r="DC30" s="13"/>
      <c r="DD30" s="13">
        <v>3949</v>
      </c>
      <c r="DE30" s="13">
        <f t="shared" si="49"/>
        <v>3949</v>
      </c>
      <c r="DF30" s="13"/>
      <c r="DG30" s="13"/>
      <c r="DH30" s="13">
        <v>108838</v>
      </c>
      <c r="DI30" s="13">
        <f t="shared" si="51"/>
        <v>108838</v>
      </c>
      <c r="DJ30" s="13"/>
      <c r="DK30" s="13"/>
      <c r="DL30" s="13">
        <v>4227</v>
      </c>
      <c r="DM30" s="13">
        <f t="shared" si="53"/>
        <v>4227</v>
      </c>
      <c r="DN30" s="13"/>
      <c r="DO30" s="13"/>
      <c r="DP30" s="13">
        <v>9059</v>
      </c>
      <c r="DQ30" s="13">
        <f t="shared" si="55"/>
        <v>9059</v>
      </c>
      <c r="DR30" s="13"/>
      <c r="DS30" s="13"/>
      <c r="DT30" s="13">
        <f>783300-713203</f>
        <v>70097</v>
      </c>
      <c r="DU30" s="13">
        <f t="shared" si="57"/>
        <v>70097</v>
      </c>
      <c r="DW30" s="13"/>
      <c r="DX30" s="13">
        <f>371250-338027</f>
        <v>33223</v>
      </c>
      <c r="DY30" s="13">
        <f t="shared" si="58"/>
        <v>33223</v>
      </c>
    </row>
    <row r="31" spans="1:129" x14ac:dyDescent="0.2">
      <c r="A31" s="44">
        <v>44287</v>
      </c>
      <c r="C31" s="14">
        <v>0</v>
      </c>
      <c r="D31" s="14">
        <v>0</v>
      </c>
      <c r="E31" s="14">
        <v>4970000</v>
      </c>
      <c r="F31" s="14">
        <v>202550</v>
      </c>
      <c r="H31" s="14">
        <v>0</v>
      </c>
      <c r="J31" s="14">
        <v>952000</v>
      </c>
      <c r="K31" s="14">
        <f t="shared" si="3"/>
        <v>4970000</v>
      </c>
      <c r="L31" s="14">
        <f t="shared" si="0"/>
        <v>1154550</v>
      </c>
      <c r="M31" s="14">
        <f t="shared" si="1"/>
        <v>6124550</v>
      </c>
      <c r="O31" s="13">
        <v>1598121</v>
      </c>
      <c r="P31" s="13">
        <v>371250</v>
      </c>
      <c r="Q31" s="13">
        <f t="shared" si="2"/>
        <v>1969371</v>
      </c>
      <c r="S31" s="13">
        <f t="shared" si="56"/>
        <v>3371878</v>
      </c>
      <c r="T31" s="14">
        <f t="shared" si="4"/>
        <v>783299</v>
      </c>
      <c r="U31" s="13">
        <f t="shared" si="5"/>
        <v>4155177</v>
      </c>
      <c r="W31" s="2">
        <v>287461</v>
      </c>
      <c r="X31" s="2">
        <v>57835</v>
      </c>
      <c r="Y31" s="2">
        <f t="shared" si="7"/>
        <v>345296</v>
      </c>
      <c r="AA31" s="2">
        <v>350928</v>
      </c>
      <c r="AB31" s="2">
        <v>70604</v>
      </c>
      <c r="AC31" s="2">
        <f t="shared" si="9"/>
        <v>421532</v>
      </c>
      <c r="AE31" s="13">
        <v>1285</v>
      </c>
      <c r="AF31" s="13">
        <v>258</v>
      </c>
      <c r="AG31" s="13">
        <f t="shared" si="11"/>
        <v>1543</v>
      </c>
      <c r="AI31" s="2">
        <v>75847</v>
      </c>
      <c r="AJ31" s="2">
        <v>15260</v>
      </c>
      <c r="AK31" s="2">
        <f t="shared" si="13"/>
        <v>91107</v>
      </c>
      <c r="AM31" s="2">
        <v>348991</v>
      </c>
      <c r="AN31" s="2">
        <v>70214</v>
      </c>
      <c r="AO31" s="2">
        <f t="shared" si="15"/>
        <v>419205</v>
      </c>
      <c r="AP31" s="13"/>
      <c r="AQ31" s="2">
        <v>55017</v>
      </c>
      <c r="AR31" s="2">
        <v>11069</v>
      </c>
      <c r="AS31" s="2">
        <f t="shared" si="17"/>
        <v>66086</v>
      </c>
      <c r="AT31" s="13"/>
      <c r="AU31" s="13">
        <v>3056</v>
      </c>
      <c r="AV31" s="13">
        <v>615</v>
      </c>
      <c r="AW31" s="13">
        <f t="shared" si="19"/>
        <v>3671</v>
      </c>
      <c r="AX31" s="13"/>
      <c r="AY31" s="13">
        <v>35202</v>
      </c>
      <c r="AZ31" s="13">
        <v>7082</v>
      </c>
      <c r="BA31" s="13">
        <f t="shared" si="21"/>
        <v>42284</v>
      </c>
      <c r="BB31" s="13"/>
      <c r="BC31" s="13">
        <v>49212</v>
      </c>
      <c r="BD31" s="13">
        <v>9901</v>
      </c>
      <c r="BE31" s="13">
        <f t="shared" si="23"/>
        <v>59113</v>
      </c>
      <c r="BF31" s="13"/>
      <c r="BG31" s="13">
        <v>6884</v>
      </c>
      <c r="BH31" s="13">
        <v>1385</v>
      </c>
      <c r="BI31" s="13">
        <f t="shared" si="25"/>
        <v>8269</v>
      </c>
      <c r="BJ31" s="13"/>
      <c r="BK31" s="13">
        <v>35764</v>
      </c>
      <c r="BL31" s="13">
        <v>7195</v>
      </c>
      <c r="BM31" s="13">
        <f t="shared" si="27"/>
        <v>42959</v>
      </c>
      <c r="BN31" s="13"/>
      <c r="BO31" s="13">
        <v>2033</v>
      </c>
      <c r="BP31" s="13">
        <v>409</v>
      </c>
      <c r="BQ31" s="13">
        <f t="shared" si="29"/>
        <v>2442</v>
      </c>
      <c r="BR31" s="13"/>
      <c r="BS31" s="13">
        <v>7184</v>
      </c>
      <c r="BT31" s="13">
        <v>1445</v>
      </c>
      <c r="BU31" s="13">
        <f t="shared" si="31"/>
        <v>8629</v>
      </c>
      <c r="BV31" s="13"/>
      <c r="BW31" s="13">
        <v>26113</v>
      </c>
      <c r="BX31" s="13">
        <v>5254</v>
      </c>
      <c r="BY31" s="13">
        <f t="shared" si="33"/>
        <v>31367</v>
      </c>
      <c r="BZ31" s="13"/>
      <c r="CA31" s="13">
        <v>178327</v>
      </c>
      <c r="CB31" s="13">
        <v>35878</v>
      </c>
      <c r="CC31" s="13">
        <f t="shared" si="35"/>
        <v>214205</v>
      </c>
      <c r="CD31" s="13"/>
      <c r="CE31" s="13">
        <v>738037</v>
      </c>
      <c r="CF31" s="13">
        <v>148487</v>
      </c>
      <c r="CG31" s="13">
        <f t="shared" si="37"/>
        <v>886524</v>
      </c>
      <c r="CH31" s="13"/>
      <c r="CI31" s="13">
        <v>135677</v>
      </c>
      <c r="CJ31" s="13">
        <v>27297</v>
      </c>
      <c r="CK31" s="13">
        <f t="shared" si="39"/>
        <v>162974</v>
      </c>
      <c r="CL31" s="13"/>
      <c r="CM31" s="13">
        <v>464512</v>
      </c>
      <c r="CN31" s="13">
        <v>93456</v>
      </c>
      <c r="CO31" s="13">
        <f t="shared" si="41"/>
        <v>557968</v>
      </c>
      <c r="CP31" s="13"/>
      <c r="CQ31" s="13">
        <v>99037</v>
      </c>
      <c r="CR31" s="13">
        <v>19926</v>
      </c>
      <c r="CS31" s="13">
        <f t="shared" si="43"/>
        <v>118963</v>
      </c>
      <c r="CT31" s="13"/>
      <c r="CU31" s="13">
        <v>8068</v>
      </c>
      <c r="CV31" s="13">
        <v>1623</v>
      </c>
      <c r="CW31" s="13">
        <f t="shared" si="45"/>
        <v>9691</v>
      </c>
      <c r="CX31" s="13"/>
      <c r="CY31" s="13">
        <v>9623</v>
      </c>
      <c r="CZ31" s="13">
        <v>1936</v>
      </c>
      <c r="DA31" s="13">
        <f t="shared" si="47"/>
        <v>11559</v>
      </c>
      <c r="DB31" s="13"/>
      <c r="DC31" s="13">
        <v>19626</v>
      </c>
      <c r="DD31" s="13">
        <v>3949</v>
      </c>
      <c r="DE31" s="13">
        <f t="shared" si="49"/>
        <v>23575</v>
      </c>
      <c r="DF31" s="13"/>
      <c r="DG31" s="13">
        <v>540963</v>
      </c>
      <c r="DH31" s="13">
        <v>108838</v>
      </c>
      <c r="DI31" s="13">
        <f t="shared" si="51"/>
        <v>649801</v>
      </c>
      <c r="DJ31" s="13"/>
      <c r="DK31" s="13">
        <v>21010</v>
      </c>
      <c r="DL31" s="13">
        <v>4227</v>
      </c>
      <c r="DM31" s="13">
        <f t="shared" si="53"/>
        <v>25237</v>
      </c>
      <c r="DN31" s="13"/>
      <c r="DO31" s="13">
        <v>45025</v>
      </c>
      <c r="DP31" s="13">
        <v>9059</v>
      </c>
      <c r="DQ31" s="13">
        <f t="shared" si="55"/>
        <v>54084</v>
      </c>
      <c r="DR31" s="13"/>
      <c r="DS31" s="13">
        <f>3371879-3544883</f>
        <v>-173004</v>
      </c>
      <c r="DT31" s="13">
        <f>783300-713203</f>
        <v>70097</v>
      </c>
      <c r="DU31" s="13">
        <f t="shared" si="57"/>
        <v>-102907</v>
      </c>
      <c r="DW31" s="13">
        <f>1598121-1680117</f>
        <v>-81996</v>
      </c>
      <c r="DX31" s="13">
        <f>371250-338027</f>
        <v>33223</v>
      </c>
      <c r="DY31" s="13">
        <f t="shared" si="58"/>
        <v>-48773</v>
      </c>
    </row>
    <row r="32" spans="1:129" x14ac:dyDescent="0.2">
      <c r="A32" s="44">
        <v>44470</v>
      </c>
      <c r="D32" s="14">
        <v>0</v>
      </c>
      <c r="F32" s="14">
        <v>128000</v>
      </c>
      <c r="H32" s="14">
        <v>0</v>
      </c>
      <c r="J32" s="14">
        <v>952000</v>
      </c>
      <c r="L32" s="14">
        <f t="shared" si="0"/>
        <v>1080000</v>
      </c>
      <c r="M32" s="14">
        <f t="shared" si="1"/>
        <v>1080000</v>
      </c>
      <c r="P32" s="13">
        <v>347278</v>
      </c>
      <c r="Q32" s="13">
        <f t="shared" si="2"/>
        <v>347278</v>
      </c>
      <c r="S32" s="13"/>
      <c r="T32" s="14">
        <f t="shared" si="4"/>
        <v>732723</v>
      </c>
      <c r="U32" s="13">
        <f t="shared" si="5"/>
        <v>732723</v>
      </c>
      <c r="W32" s="2"/>
      <c r="X32" s="2">
        <v>52086</v>
      </c>
      <c r="Y32" s="2">
        <f t="shared" si="7"/>
        <v>52086</v>
      </c>
      <c r="AA32" s="2"/>
      <c r="AB32" s="2">
        <v>63586</v>
      </c>
      <c r="AC32" s="2">
        <f t="shared" si="9"/>
        <v>63586</v>
      </c>
      <c r="AF32" s="13">
        <v>233</v>
      </c>
      <c r="AG32" s="13">
        <f t="shared" si="11"/>
        <v>233</v>
      </c>
      <c r="AI32" s="2"/>
      <c r="AJ32" s="2">
        <v>13743</v>
      </c>
      <c r="AK32" s="2">
        <f t="shared" si="13"/>
        <v>13743</v>
      </c>
      <c r="AM32" s="2"/>
      <c r="AN32" s="2">
        <v>63234</v>
      </c>
      <c r="AO32" s="2">
        <f t="shared" si="15"/>
        <v>63234</v>
      </c>
      <c r="AP32" s="13"/>
      <c r="AQ32" s="2"/>
      <c r="AR32" s="2">
        <v>9969</v>
      </c>
      <c r="AS32" s="2">
        <f t="shared" si="17"/>
        <v>9969</v>
      </c>
      <c r="AT32" s="13"/>
      <c r="AU32" s="13"/>
      <c r="AV32" s="13">
        <v>554</v>
      </c>
      <c r="AW32" s="13">
        <f t="shared" si="19"/>
        <v>554</v>
      </c>
      <c r="AX32" s="13"/>
      <c r="AY32" s="13"/>
      <c r="AZ32" s="13">
        <v>6378</v>
      </c>
      <c r="BA32" s="13">
        <f t="shared" si="21"/>
        <v>6378</v>
      </c>
      <c r="BB32" s="13"/>
      <c r="BC32" s="13"/>
      <c r="BD32" s="13">
        <v>8917</v>
      </c>
      <c r="BE32" s="13">
        <f t="shared" si="23"/>
        <v>8917</v>
      </c>
      <c r="BF32" s="13"/>
      <c r="BG32" s="13"/>
      <c r="BH32" s="13">
        <v>1247</v>
      </c>
      <c r="BI32" s="13">
        <f t="shared" si="25"/>
        <v>1247</v>
      </c>
      <c r="BJ32" s="13"/>
      <c r="BK32" s="13"/>
      <c r="BL32" s="13">
        <v>6480</v>
      </c>
      <c r="BM32" s="13">
        <f t="shared" si="27"/>
        <v>6480</v>
      </c>
      <c r="BN32" s="13"/>
      <c r="BO32" s="13"/>
      <c r="BP32" s="13">
        <v>368</v>
      </c>
      <c r="BQ32" s="13">
        <f t="shared" si="29"/>
        <v>368</v>
      </c>
      <c r="BR32" s="13"/>
      <c r="BS32" s="13"/>
      <c r="BT32" s="13">
        <v>1302</v>
      </c>
      <c r="BU32" s="13">
        <f t="shared" si="31"/>
        <v>1302</v>
      </c>
      <c r="BV32" s="13"/>
      <c r="BW32" s="13"/>
      <c r="BX32" s="13">
        <v>4731</v>
      </c>
      <c r="BY32" s="13">
        <f t="shared" si="33"/>
        <v>4731</v>
      </c>
      <c r="BZ32" s="13"/>
      <c r="CA32" s="13"/>
      <c r="CB32" s="13">
        <v>32312</v>
      </c>
      <c r="CC32" s="13">
        <f t="shared" si="35"/>
        <v>32312</v>
      </c>
      <c r="CD32" s="13"/>
      <c r="CE32" s="13"/>
      <c r="CF32" s="13">
        <v>133727</v>
      </c>
      <c r="CG32" s="13">
        <f t="shared" si="37"/>
        <v>133727</v>
      </c>
      <c r="CH32" s="13"/>
      <c r="CI32" s="13"/>
      <c r="CJ32" s="13">
        <v>24584</v>
      </c>
      <c r="CK32" s="13">
        <f t="shared" si="39"/>
        <v>24584</v>
      </c>
      <c r="CL32" s="13"/>
      <c r="CM32" s="13"/>
      <c r="CN32" s="13">
        <v>84166</v>
      </c>
      <c r="CO32" s="13">
        <f t="shared" si="41"/>
        <v>84166</v>
      </c>
      <c r="CP32" s="13"/>
      <c r="CQ32" s="13"/>
      <c r="CR32" s="13">
        <v>17945</v>
      </c>
      <c r="CS32" s="13">
        <f t="shared" si="43"/>
        <v>17945</v>
      </c>
      <c r="CT32" s="13"/>
      <c r="CU32" s="13"/>
      <c r="CV32" s="13">
        <v>1462</v>
      </c>
      <c r="CW32" s="13">
        <f t="shared" si="45"/>
        <v>1462</v>
      </c>
      <c r="CX32" s="13"/>
      <c r="CY32" s="13"/>
      <c r="CZ32" s="13">
        <v>1744</v>
      </c>
      <c r="DA32" s="13">
        <f t="shared" si="47"/>
        <v>1744</v>
      </c>
      <c r="DB32" s="13"/>
      <c r="DC32" s="13"/>
      <c r="DD32" s="13">
        <v>3556</v>
      </c>
      <c r="DE32" s="13">
        <f t="shared" si="49"/>
        <v>3556</v>
      </c>
      <c r="DF32" s="13"/>
      <c r="DG32" s="13"/>
      <c r="DH32" s="13">
        <v>98018</v>
      </c>
      <c r="DI32" s="13">
        <f t="shared" si="51"/>
        <v>98018</v>
      </c>
      <c r="DJ32" s="13"/>
      <c r="DK32" s="13"/>
      <c r="DL32" s="13">
        <v>3807</v>
      </c>
      <c r="DM32" s="13">
        <f t="shared" si="53"/>
        <v>3807</v>
      </c>
      <c r="DN32" s="13"/>
      <c r="DO32" s="13"/>
      <c r="DP32" s="13">
        <v>8158</v>
      </c>
      <c r="DQ32" s="13">
        <f t="shared" si="55"/>
        <v>8158</v>
      </c>
      <c r="DR32" s="13"/>
      <c r="DS32" s="13"/>
      <c r="DT32" s="13">
        <f>732722-642306</f>
        <v>90416</v>
      </c>
      <c r="DU32" s="13">
        <f t="shared" si="57"/>
        <v>90416</v>
      </c>
      <c r="DW32" s="13"/>
      <c r="DX32" s="13">
        <f>347278-304424</f>
        <v>42854</v>
      </c>
      <c r="DY32" s="13">
        <f t="shared" si="58"/>
        <v>42854</v>
      </c>
    </row>
    <row r="33" spans="1:129" x14ac:dyDescent="0.2">
      <c r="A33" s="44">
        <v>44652</v>
      </c>
      <c r="C33" s="14">
        <v>0</v>
      </c>
      <c r="D33" s="14">
        <v>0</v>
      </c>
      <c r="E33" s="14">
        <v>5120000</v>
      </c>
      <c r="F33" s="14">
        <v>128000</v>
      </c>
      <c r="H33" s="14">
        <v>0</v>
      </c>
      <c r="J33" s="14">
        <v>952000</v>
      </c>
      <c r="K33" s="14">
        <f t="shared" si="3"/>
        <v>5120000</v>
      </c>
      <c r="L33" s="14">
        <f t="shared" si="0"/>
        <v>1080000</v>
      </c>
      <c r="M33" s="14">
        <f t="shared" si="1"/>
        <v>6200000</v>
      </c>
      <c r="O33" s="13">
        <v>1646354</v>
      </c>
      <c r="P33" s="13">
        <v>347278</v>
      </c>
      <c r="Q33" s="13">
        <f t="shared" si="2"/>
        <v>1993632</v>
      </c>
      <c r="S33" s="13">
        <f t="shared" si="56"/>
        <v>3473645</v>
      </c>
      <c r="T33" s="14">
        <f t="shared" si="4"/>
        <v>732723</v>
      </c>
      <c r="U33" s="13">
        <f t="shared" si="5"/>
        <v>4206368</v>
      </c>
      <c r="W33" s="2">
        <v>299015</v>
      </c>
      <c r="X33" s="2">
        <v>52086</v>
      </c>
      <c r="Y33" s="2">
        <f t="shared" si="7"/>
        <v>351101</v>
      </c>
      <c r="AA33" s="2">
        <v>365033</v>
      </c>
      <c r="AB33" s="2">
        <v>63586</v>
      </c>
      <c r="AC33" s="2">
        <f t="shared" si="9"/>
        <v>428619</v>
      </c>
      <c r="AE33" s="13">
        <v>1336</v>
      </c>
      <c r="AF33" s="13">
        <v>233</v>
      </c>
      <c r="AG33" s="13">
        <f t="shared" si="11"/>
        <v>1569</v>
      </c>
      <c r="AI33" s="2">
        <v>78895</v>
      </c>
      <c r="AJ33" s="2">
        <v>13743</v>
      </c>
      <c r="AK33" s="2">
        <f t="shared" si="13"/>
        <v>92638</v>
      </c>
      <c r="AM33" s="2">
        <v>363017</v>
      </c>
      <c r="AN33" s="2">
        <v>63234</v>
      </c>
      <c r="AO33" s="2">
        <f t="shared" si="15"/>
        <v>426251</v>
      </c>
      <c r="AP33" s="13"/>
      <c r="AQ33" s="2">
        <v>57228</v>
      </c>
      <c r="AR33" s="2">
        <v>9969</v>
      </c>
      <c r="AS33" s="2">
        <f t="shared" si="17"/>
        <v>67197</v>
      </c>
      <c r="AT33" s="13"/>
      <c r="AU33" s="13">
        <v>3179</v>
      </c>
      <c r="AV33" s="13">
        <v>554</v>
      </c>
      <c r="AW33" s="13">
        <f t="shared" si="19"/>
        <v>3733</v>
      </c>
      <c r="AX33" s="13"/>
      <c r="AY33" s="13">
        <v>36617</v>
      </c>
      <c r="AZ33" s="13">
        <v>6378</v>
      </c>
      <c r="BA33" s="13">
        <f t="shared" si="21"/>
        <v>42995</v>
      </c>
      <c r="BB33" s="13"/>
      <c r="BC33" s="13">
        <v>51190</v>
      </c>
      <c r="BD33" s="13">
        <v>8917</v>
      </c>
      <c r="BE33" s="13">
        <f t="shared" si="23"/>
        <v>60107</v>
      </c>
      <c r="BF33" s="13"/>
      <c r="BG33" s="13">
        <v>7161</v>
      </c>
      <c r="BH33" s="13">
        <v>1247</v>
      </c>
      <c r="BI33" s="13">
        <f t="shared" si="25"/>
        <v>8408</v>
      </c>
      <c r="BJ33" s="13"/>
      <c r="BK33" s="13">
        <v>37201</v>
      </c>
      <c r="BL33" s="13">
        <v>6480</v>
      </c>
      <c r="BM33" s="13">
        <f t="shared" si="27"/>
        <v>43681</v>
      </c>
      <c r="BN33" s="13"/>
      <c r="BO33" s="13">
        <v>2114</v>
      </c>
      <c r="BP33" s="13">
        <v>368</v>
      </c>
      <c r="BQ33" s="13">
        <f t="shared" si="29"/>
        <v>2482</v>
      </c>
      <c r="BR33" s="13"/>
      <c r="BS33" s="13">
        <v>7473</v>
      </c>
      <c r="BT33" s="13">
        <v>1302</v>
      </c>
      <c r="BU33" s="13">
        <f t="shared" si="31"/>
        <v>8775</v>
      </c>
      <c r="BV33" s="13"/>
      <c r="BW33" s="13">
        <v>27162</v>
      </c>
      <c r="BX33" s="13">
        <v>4731</v>
      </c>
      <c r="BY33" s="13">
        <f t="shared" si="33"/>
        <v>31893</v>
      </c>
      <c r="BZ33" s="13"/>
      <c r="CA33" s="13">
        <v>185494</v>
      </c>
      <c r="CB33" s="13">
        <v>32312</v>
      </c>
      <c r="CC33" s="13">
        <f t="shared" si="35"/>
        <v>217806</v>
      </c>
      <c r="CD33" s="13"/>
      <c r="CE33" s="13">
        <v>767700</v>
      </c>
      <c r="CF33" s="13">
        <v>133727</v>
      </c>
      <c r="CG33" s="13">
        <f t="shared" si="37"/>
        <v>901427</v>
      </c>
      <c r="CH33" s="13"/>
      <c r="CI33" s="13">
        <v>141130</v>
      </c>
      <c r="CJ33" s="13">
        <v>24584</v>
      </c>
      <c r="CK33" s="13">
        <f t="shared" si="39"/>
        <v>165714</v>
      </c>
      <c r="CL33" s="13"/>
      <c r="CM33" s="13">
        <v>483182</v>
      </c>
      <c r="CN33" s="13">
        <v>84166</v>
      </c>
      <c r="CO33" s="13">
        <f t="shared" si="41"/>
        <v>567348</v>
      </c>
      <c r="CP33" s="13"/>
      <c r="CQ33" s="13">
        <v>103018</v>
      </c>
      <c r="CR33" s="13">
        <v>17945</v>
      </c>
      <c r="CS33" s="13">
        <f t="shared" si="43"/>
        <v>120963</v>
      </c>
      <c r="CT33" s="13"/>
      <c r="CU33" s="13">
        <v>8393</v>
      </c>
      <c r="CV33" s="13">
        <v>1462</v>
      </c>
      <c r="CW33" s="13">
        <f t="shared" si="45"/>
        <v>9855</v>
      </c>
      <c r="CX33" s="13"/>
      <c r="CY33" s="13">
        <v>10010</v>
      </c>
      <c r="CZ33" s="13">
        <v>1744</v>
      </c>
      <c r="DA33" s="13">
        <f t="shared" si="47"/>
        <v>11754</v>
      </c>
      <c r="DB33" s="13"/>
      <c r="DC33" s="13">
        <v>20415</v>
      </c>
      <c r="DD33" s="13">
        <v>3556</v>
      </c>
      <c r="DE33" s="13">
        <f t="shared" si="49"/>
        <v>23971</v>
      </c>
      <c r="DF33" s="13"/>
      <c r="DG33" s="13">
        <v>562705</v>
      </c>
      <c r="DH33" s="13">
        <v>98018</v>
      </c>
      <c r="DI33" s="13">
        <f t="shared" si="51"/>
        <v>660723</v>
      </c>
      <c r="DJ33" s="13"/>
      <c r="DK33" s="13">
        <v>21854</v>
      </c>
      <c r="DL33" s="13">
        <v>3807</v>
      </c>
      <c r="DM33" s="13">
        <f t="shared" si="53"/>
        <v>25661</v>
      </c>
      <c r="DN33" s="13"/>
      <c r="DO33" s="13">
        <v>46834</v>
      </c>
      <c r="DP33" s="13">
        <v>8158</v>
      </c>
      <c r="DQ33" s="13">
        <f t="shared" si="55"/>
        <v>54992</v>
      </c>
      <c r="DR33" s="13"/>
      <c r="DS33" s="13">
        <f>3473646-3687357</f>
        <v>-213711</v>
      </c>
      <c r="DT33" s="13">
        <f>732722-642306</f>
        <v>90416</v>
      </c>
      <c r="DU33" s="13">
        <f t="shared" si="57"/>
        <v>-123295</v>
      </c>
      <c r="DW33" s="13">
        <f>1646354-1747643</f>
        <v>-101289</v>
      </c>
      <c r="DX33" s="13">
        <f>347278-304424</f>
        <v>42854</v>
      </c>
      <c r="DY33" s="13">
        <f t="shared" si="58"/>
        <v>-58435</v>
      </c>
    </row>
    <row r="34" spans="1:129" x14ac:dyDescent="0.2">
      <c r="A34" s="44">
        <v>44835</v>
      </c>
      <c r="H34" s="14">
        <v>0</v>
      </c>
      <c r="J34" s="14">
        <v>952000</v>
      </c>
      <c r="L34" s="14">
        <f t="shared" si="0"/>
        <v>952000</v>
      </c>
      <c r="M34" s="14">
        <f t="shared" si="1"/>
        <v>952000</v>
      </c>
      <c r="P34" s="13">
        <v>306119</v>
      </c>
      <c r="Q34" s="13">
        <f t="shared" si="2"/>
        <v>306119</v>
      </c>
      <c r="S34" s="13"/>
      <c r="T34" s="14">
        <f t="shared" si="4"/>
        <v>645878</v>
      </c>
      <c r="U34" s="13">
        <f t="shared" si="5"/>
        <v>645878</v>
      </c>
      <c r="W34" s="2"/>
      <c r="X34" s="2">
        <v>46105</v>
      </c>
      <c r="Y34" s="2">
        <f t="shared" si="7"/>
        <v>46105</v>
      </c>
      <c r="AA34" s="2"/>
      <c r="AB34" s="2">
        <v>56285</v>
      </c>
      <c r="AC34" s="2">
        <f t="shared" si="9"/>
        <v>56285</v>
      </c>
      <c r="AF34" s="13">
        <v>206</v>
      </c>
      <c r="AG34" s="13">
        <f t="shared" si="11"/>
        <v>206</v>
      </c>
      <c r="AI34" s="2"/>
      <c r="AJ34" s="2">
        <v>12165</v>
      </c>
      <c r="AK34" s="2">
        <f t="shared" si="13"/>
        <v>12165</v>
      </c>
      <c r="AM34" s="2"/>
      <c r="AN34" s="2">
        <v>55974</v>
      </c>
      <c r="AO34" s="2">
        <f t="shared" si="15"/>
        <v>55974</v>
      </c>
      <c r="AP34" s="13"/>
      <c r="AQ34" s="2"/>
      <c r="AR34" s="2">
        <v>8824</v>
      </c>
      <c r="AS34" s="2">
        <f t="shared" si="17"/>
        <v>8824</v>
      </c>
      <c r="AT34" s="13"/>
      <c r="AU34" s="13"/>
      <c r="AV34" s="13">
        <v>490</v>
      </c>
      <c r="AW34" s="13">
        <f t="shared" si="19"/>
        <v>490</v>
      </c>
      <c r="AX34" s="13"/>
      <c r="AY34" s="13"/>
      <c r="AZ34" s="13">
        <v>5646</v>
      </c>
      <c r="BA34" s="13">
        <f t="shared" si="21"/>
        <v>5646</v>
      </c>
      <c r="BB34" s="13"/>
      <c r="BC34" s="13"/>
      <c r="BD34" s="13">
        <v>7893</v>
      </c>
      <c r="BE34" s="13">
        <f t="shared" si="23"/>
        <v>7893</v>
      </c>
      <c r="BF34" s="13"/>
      <c r="BG34" s="13"/>
      <c r="BH34" s="13">
        <v>1104</v>
      </c>
      <c r="BI34" s="13">
        <f t="shared" si="25"/>
        <v>1104</v>
      </c>
      <c r="BJ34" s="13"/>
      <c r="BK34" s="13"/>
      <c r="BL34" s="13">
        <v>6516</v>
      </c>
      <c r="BM34" s="13">
        <f t="shared" si="27"/>
        <v>6516</v>
      </c>
      <c r="BN34" s="13"/>
      <c r="BO34" s="13"/>
      <c r="BP34" s="13">
        <v>326</v>
      </c>
      <c r="BQ34" s="13">
        <f t="shared" si="29"/>
        <v>326</v>
      </c>
      <c r="BR34" s="13"/>
      <c r="BS34" s="13"/>
      <c r="BT34" s="13">
        <v>1152</v>
      </c>
      <c r="BU34" s="13">
        <f t="shared" si="31"/>
        <v>1152</v>
      </c>
      <c r="BV34" s="13"/>
      <c r="BW34" s="13"/>
      <c r="BX34" s="13">
        <v>4188</v>
      </c>
      <c r="BY34" s="13">
        <f t="shared" si="33"/>
        <v>4188</v>
      </c>
      <c r="BZ34" s="13"/>
      <c r="CA34" s="13"/>
      <c r="CB34" s="13">
        <v>28602</v>
      </c>
      <c r="CC34" s="13">
        <f t="shared" si="35"/>
        <v>28602</v>
      </c>
      <c r="CD34" s="13"/>
      <c r="CE34" s="13"/>
      <c r="CF34" s="13">
        <v>118373</v>
      </c>
      <c r="CG34" s="13">
        <f t="shared" si="37"/>
        <v>118373</v>
      </c>
      <c r="CH34" s="13"/>
      <c r="CI34" s="13"/>
      <c r="CJ34" s="13">
        <v>21761</v>
      </c>
      <c r="CK34" s="13">
        <f t="shared" si="39"/>
        <v>21761</v>
      </c>
      <c r="CL34" s="13"/>
      <c r="CM34" s="13"/>
      <c r="CN34" s="13">
        <v>74502</v>
      </c>
      <c r="CO34" s="13">
        <f t="shared" si="41"/>
        <v>74502</v>
      </c>
      <c r="CP34" s="13"/>
      <c r="CQ34" s="13"/>
      <c r="CR34" s="13">
        <v>15884</v>
      </c>
      <c r="CS34" s="13">
        <f t="shared" si="43"/>
        <v>15884</v>
      </c>
      <c r="CT34" s="13"/>
      <c r="CU34" s="13"/>
      <c r="CV34" s="13">
        <v>1294</v>
      </c>
      <c r="CW34" s="13">
        <f t="shared" si="45"/>
        <v>1294</v>
      </c>
      <c r="CX34" s="13"/>
      <c r="CY34" s="13"/>
      <c r="CZ34" s="13">
        <v>1543</v>
      </c>
      <c r="DA34" s="13">
        <f t="shared" si="47"/>
        <v>1543</v>
      </c>
      <c r="DB34" s="13"/>
      <c r="DC34" s="13"/>
      <c r="DD34" s="13">
        <v>3148</v>
      </c>
      <c r="DE34" s="13">
        <f t="shared" si="49"/>
        <v>3148</v>
      </c>
      <c r="DF34" s="13"/>
      <c r="DG34" s="13"/>
      <c r="DH34" s="13">
        <v>86764</v>
      </c>
      <c r="DI34" s="13">
        <f t="shared" si="51"/>
        <v>86764</v>
      </c>
      <c r="DJ34" s="13"/>
      <c r="DK34" s="13"/>
      <c r="DL34" s="13">
        <v>3370</v>
      </c>
      <c r="DM34" s="13">
        <f t="shared" si="53"/>
        <v>3370</v>
      </c>
      <c r="DN34" s="13"/>
      <c r="DO34" s="13"/>
      <c r="DP34" s="13">
        <v>7221</v>
      </c>
      <c r="DQ34" s="13">
        <f t="shared" si="55"/>
        <v>7221</v>
      </c>
      <c r="DR34" s="13"/>
      <c r="DS34" s="13"/>
      <c r="DT34" s="13">
        <f>645881-568559-6516+5736</f>
        <v>76542</v>
      </c>
      <c r="DU34" s="13">
        <f t="shared" si="57"/>
        <v>76542</v>
      </c>
      <c r="DW34" s="13"/>
      <c r="DX34" s="13">
        <f>306119-269471</f>
        <v>36648</v>
      </c>
      <c r="DY34" s="13">
        <f>DW34+DX34</f>
        <v>36648</v>
      </c>
    </row>
    <row r="35" spans="1:129" x14ac:dyDescent="0.2">
      <c r="A35" s="44">
        <v>45017</v>
      </c>
      <c r="C35" s="34"/>
      <c r="D35" s="34"/>
      <c r="E35" s="34"/>
      <c r="F35" s="34"/>
      <c r="G35" s="34">
        <v>0</v>
      </c>
      <c r="H35" s="34">
        <v>0</v>
      </c>
      <c r="I35" s="34">
        <v>5015000</v>
      </c>
      <c r="J35" s="34">
        <v>952000</v>
      </c>
      <c r="K35" s="34">
        <f t="shared" si="3"/>
        <v>5015000</v>
      </c>
      <c r="L35" s="34">
        <f t="shared" si="0"/>
        <v>952000</v>
      </c>
      <c r="M35" s="34">
        <f t="shared" si="1"/>
        <v>5967000</v>
      </c>
      <c r="O35" s="35">
        <v>1612591</v>
      </c>
      <c r="P35" s="35">
        <v>306119</v>
      </c>
      <c r="Q35" s="35">
        <f t="shared" si="2"/>
        <v>1918710</v>
      </c>
      <c r="S35" s="35">
        <f t="shared" si="56"/>
        <v>3402410</v>
      </c>
      <c r="T35" s="34">
        <f t="shared" si="4"/>
        <v>645878</v>
      </c>
      <c r="U35" s="35">
        <f t="shared" si="5"/>
        <v>4048288</v>
      </c>
      <c r="W35" s="36">
        <v>310843</v>
      </c>
      <c r="X35" s="36">
        <v>46105</v>
      </c>
      <c r="Y35" s="36">
        <f t="shared" si="7"/>
        <v>356948</v>
      </c>
      <c r="AA35" s="36">
        <v>379473</v>
      </c>
      <c r="AB35" s="36">
        <v>56285</v>
      </c>
      <c r="AC35" s="36">
        <f t="shared" si="9"/>
        <v>435758</v>
      </c>
      <c r="AE35" s="35">
        <v>1389</v>
      </c>
      <c r="AF35" s="35">
        <v>206</v>
      </c>
      <c r="AG35" s="35">
        <f t="shared" si="11"/>
        <v>1595</v>
      </c>
      <c r="AI35" s="36">
        <v>82016</v>
      </c>
      <c r="AJ35" s="36">
        <v>12165</v>
      </c>
      <c r="AK35" s="36">
        <f t="shared" si="13"/>
        <v>94181</v>
      </c>
      <c r="AM35" s="36">
        <v>377378</v>
      </c>
      <c r="AN35" s="36">
        <v>55974</v>
      </c>
      <c r="AO35" s="36">
        <f t="shared" si="15"/>
        <v>433352</v>
      </c>
      <c r="AP35" s="13"/>
      <c r="AQ35" s="36">
        <v>59492</v>
      </c>
      <c r="AR35" s="36">
        <v>8824</v>
      </c>
      <c r="AS35" s="36">
        <f t="shared" si="17"/>
        <v>68316</v>
      </c>
      <c r="AT35" s="13"/>
      <c r="AU35" s="35">
        <v>3305</v>
      </c>
      <c r="AV35" s="35">
        <v>490</v>
      </c>
      <c r="AW35" s="35">
        <f t="shared" si="19"/>
        <v>3795</v>
      </c>
      <c r="AX35" s="13"/>
      <c r="AY35" s="35">
        <v>38066</v>
      </c>
      <c r="AZ35" s="35">
        <v>5646</v>
      </c>
      <c r="BA35" s="35">
        <f t="shared" si="21"/>
        <v>43712</v>
      </c>
      <c r="BB35" s="13"/>
      <c r="BC35" s="35">
        <v>53215</v>
      </c>
      <c r="BD35" s="35">
        <v>7893</v>
      </c>
      <c r="BE35" s="35">
        <f t="shared" si="23"/>
        <v>61108</v>
      </c>
      <c r="BF35" s="13"/>
      <c r="BG35" s="35">
        <v>7444</v>
      </c>
      <c r="BH35" s="35">
        <v>1104</v>
      </c>
      <c r="BI35" s="35">
        <f t="shared" si="25"/>
        <v>8548</v>
      </c>
      <c r="BJ35" s="13"/>
      <c r="BK35" s="35">
        <v>34327</v>
      </c>
      <c r="BL35" s="35">
        <v>6516</v>
      </c>
      <c r="BM35" s="35">
        <f t="shared" si="27"/>
        <v>40843</v>
      </c>
      <c r="BN35" s="13"/>
      <c r="BO35" s="35">
        <v>2198</v>
      </c>
      <c r="BP35" s="35">
        <v>326</v>
      </c>
      <c r="BQ35" s="35">
        <f t="shared" si="29"/>
        <v>2524</v>
      </c>
      <c r="BR35" s="13"/>
      <c r="BS35" s="35">
        <v>7768</v>
      </c>
      <c r="BT35" s="35">
        <v>1152</v>
      </c>
      <c r="BU35" s="35">
        <f t="shared" si="31"/>
        <v>8920</v>
      </c>
      <c r="BV35" s="13"/>
      <c r="BW35" s="35">
        <v>28237</v>
      </c>
      <c r="BX35" s="35">
        <v>4188</v>
      </c>
      <c r="BY35" s="35">
        <f t="shared" si="33"/>
        <v>32425</v>
      </c>
      <c r="BZ35" s="13"/>
      <c r="CA35" s="35">
        <v>192832</v>
      </c>
      <c r="CB35" s="35">
        <v>28602</v>
      </c>
      <c r="CC35" s="35">
        <f t="shared" si="35"/>
        <v>221434</v>
      </c>
      <c r="CD35" s="13"/>
      <c r="CE35" s="35">
        <v>798069</v>
      </c>
      <c r="CF35" s="35">
        <v>118373</v>
      </c>
      <c r="CG35" s="35">
        <f t="shared" si="37"/>
        <v>916442</v>
      </c>
      <c r="CH35" s="13"/>
      <c r="CI35" s="35">
        <v>146712</v>
      </c>
      <c r="CJ35" s="35">
        <v>21761</v>
      </c>
      <c r="CK35" s="35">
        <f t="shared" si="39"/>
        <v>168473</v>
      </c>
      <c r="CL35" s="13"/>
      <c r="CM35" s="35">
        <v>502296</v>
      </c>
      <c r="CN35" s="35">
        <v>74502</v>
      </c>
      <c r="CO35" s="35">
        <f t="shared" si="41"/>
        <v>576798</v>
      </c>
      <c r="CP35" s="13"/>
      <c r="CQ35" s="35">
        <v>107093</v>
      </c>
      <c r="CR35" s="35">
        <v>15884</v>
      </c>
      <c r="CS35" s="35">
        <f t="shared" si="43"/>
        <v>122977</v>
      </c>
      <c r="CT35" s="13"/>
      <c r="CU35" s="35">
        <v>8725</v>
      </c>
      <c r="CV35" s="35">
        <v>1294</v>
      </c>
      <c r="CW35" s="35">
        <f t="shared" si="45"/>
        <v>10019</v>
      </c>
      <c r="CX35" s="13"/>
      <c r="CY35" s="35">
        <v>10406</v>
      </c>
      <c r="CZ35" s="35">
        <v>1543</v>
      </c>
      <c r="DA35" s="35">
        <f t="shared" si="47"/>
        <v>11949</v>
      </c>
      <c r="DB35" s="13"/>
      <c r="DC35" s="35">
        <v>21223</v>
      </c>
      <c r="DD35" s="35">
        <v>3148</v>
      </c>
      <c r="DE35" s="35">
        <f t="shared" si="49"/>
        <v>24371</v>
      </c>
      <c r="DF35" s="13"/>
      <c r="DG35" s="35">
        <v>584965</v>
      </c>
      <c r="DH35" s="35">
        <v>86764</v>
      </c>
      <c r="DI35" s="35">
        <f t="shared" si="51"/>
        <v>671729</v>
      </c>
      <c r="DJ35" s="13"/>
      <c r="DK35" s="35">
        <v>22719</v>
      </c>
      <c r="DL35" s="35">
        <v>3370</v>
      </c>
      <c r="DM35" s="35">
        <f t="shared" si="53"/>
        <v>26089</v>
      </c>
      <c r="DN35" s="13"/>
      <c r="DO35" s="35">
        <v>48687</v>
      </c>
      <c r="DP35" s="35">
        <v>7221</v>
      </c>
      <c r="DQ35" s="35">
        <f t="shared" si="55"/>
        <v>55908</v>
      </c>
      <c r="DR35" s="13"/>
      <c r="DS35" s="35">
        <f>3402409-3833223-34327+38673</f>
        <v>-426468</v>
      </c>
      <c r="DT35" s="35">
        <f>645881-568559-6516+5736</f>
        <v>76542</v>
      </c>
      <c r="DU35" s="35">
        <f t="shared" si="57"/>
        <v>-349926</v>
      </c>
      <c r="DW35" s="35">
        <f>1612591-1816777</f>
        <v>-204186</v>
      </c>
      <c r="DX35" s="35">
        <f>306119-269471</f>
        <v>36648</v>
      </c>
      <c r="DY35" s="35">
        <f>DW35+DX35</f>
        <v>-167538</v>
      </c>
    </row>
    <row r="36" spans="1:129" x14ac:dyDescent="0.2">
      <c r="A36" s="11">
        <v>45200</v>
      </c>
      <c r="H36" s="14">
        <v>0</v>
      </c>
      <c r="J36" s="14">
        <v>826625</v>
      </c>
      <c r="L36" s="14">
        <f t="shared" si="0"/>
        <v>826625</v>
      </c>
      <c r="M36" s="14">
        <f t="shared" si="1"/>
        <v>826625</v>
      </c>
      <c r="P36" s="13">
        <v>265804</v>
      </c>
      <c r="Q36" s="13">
        <f t="shared" si="2"/>
        <v>265804</v>
      </c>
      <c r="S36" s="13"/>
      <c r="T36" s="14">
        <f t="shared" si="4"/>
        <v>560820.8380625</v>
      </c>
      <c r="U36" s="13">
        <f t="shared" si="5"/>
        <v>560820.8380625</v>
      </c>
      <c r="W36" s="2"/>
      <c r="X36" s="2">
        <f t="shared" si="6"/>
        <v>45478.014312500003</v>
      </c>
      <c r="Y36" s="2">
        <f t="shared" si="7"/>
        <v>45478.014312500003</v>
      </c>
      <c r="AA36" s="2"/>
      <c r="AB36" s="2">
        <f t="shared" si="8"/>
        <v>55518.862862499998</v>
      </c>
      <c r="AC36" s="2">
        <f t="shared" si="9"/>
        <v>55518.862862499998</v>
      </c>
      <c r="AF36" s="13">
        <f t="shared" si="10"/>
        <v>203.2670875</v>
      </c>
      <c r="AG36" s="13">
        <f t="shared" si="11"/>
        <v>203.2670875</v>
      </c>
      <c r="AI36" s="2"/>
      <c r="AJ36" s="2">
        <f t="shared" si="12"/>
        <v>11999.3711625</v>
      </c>
      <c r="AK36" s="2">
        <f t="shared" si="13"/>
        <v>11999.3711625</v>
      </c>
      <c r="AM36" s="2"/>
      <c r="AN36" s="2">
        <f t="shared" si="14"/>
        <v>55212.350312500006</v>
      </c>
      <c r="AO36" s="2">
        <f t="shared" si="15"/>
        <v>55212.350312500006</v>
      </c>
      <c r="AP36" s="13"/>
      <c r="AQ36" s="2"/>
      <c r="AR36" s="2">
        <f t="shared" si="16"/>
        <v>8704.0306</v>
      </c>
      <c r="AS36" s="2">
        <f t="shared" si="17"/>
        <v>8704.0306</v>
      </c>
      <c r="AT36" s="13"/>
      <c r="AU36" s="13"/>
      <c r="AV36" s="13">
        <f t="shared" si="18"/>
        <v>483.49296249999998</v>
      </c>
      <c r="AW36" s="13">
        <f t="shared" si="19"/>
        <v>483.49296249999998</v>
      </c>
      <c r="AX36" s="13"/>
      <c r="AY36" s="13"/>
      <c r="AZ36" s="13">
        <f t="shared" si="20"/>
        <v>5569.2206125000002</v>
      </c>
      <c r="BA36" s="13">
        <f t="shared" si="21"/>
        <v>5569.2206125000002</v>
      </c>
      <c r="BB36" s="13"/>
      <c r="BC36" s="13"/>
      <c r="BD36" s="13">
        <f t="shared" si="22"/>
        <v>7785.6502249999994</v>
      </c>
      <c r="BE36" s="13">
        <f t="shared" si="23"/>
        <v>7785.6502249999994</v>
      </c>
      <c r="BF36" s="13"/>
      <c r="BG36" s="13"/>
      <c r="BH36" s="13">
        <f t="shared" si="24"/>
        <v>1089.1611</v>
      </c>
      <c r="BI36" s="13">
        <f t="shared" si="25"/>
        <v>1089.1611</v>
      </c>
      <c r="BJ36" s="13"/>
      <c r="BK36" s="13"/>
      <c r="BL36" s="13">
        <f t="shared" ref="BL36:BL47" si="59">L36*$BM$6</f>
        <v>5658.0828000000001</v>
      </c>
      <c r="BM36" s="13">
        <f t="shared" si="27"/>
        <v>5658.0828000000001</v>
      </c>
      <c r="BN36" s="13"/>
      <c r="BO36" s="13"/>
      <c r="BP36" s="13">
        <f t="shared" si="28"/>
        <v>321.55712500000004</v>
      </c>
      <c r="BQ36" s="13">
        <f t="shared" si="29"/>
        <v>321.55712500000004</v>
      </c>
      <c r="BR36" s="13"/>
      <c r="BS36" s="13"/>
      <c r="BT36" s="13">
        <f t="shared" si="30"/>
        <v>1136.5267125</v>
      </c>
      <c r="BU36" s="13">
        <f t="shared" si="31"/>
        <v>1136.5267125</v>
      </c>
      <c r="BV36" s="13"/>
      <c r="BW36" s="13"/>
      <c r="BX36" s="13">
        <f t="shared" si="32"/>
        <v>4131.2237624999998</v>
      </c>
      <c r="BY36" s="13">
        <f t="shared" si="33"/>
        <v>4131.2237624999998</v>
      </c>
      <c r="BZ36" s="13"/>
      <c r="CA36" s="13"/>
      <c r="CB36" s="13">
        <f t="shared" si="34"/>
        <v>28212.380600000004</v>
      </c>
      <c r="CC36" s="13">
        <f t="shared" si="35"/>
        <v>28212.380600000004</v>
      </c>
      <c r="CD36" s="13"/>
      <c r="CE36" s="13"/>
      <c r="CF36" s="13">
        <f t="shared" si="36"/>
        <v>116761.69053749999</v>
      </c>
      <c r="CG36" s="13">
        <f t="shared" si="37"/>
        <v>116761.69053749999</v>
      </c>
      <c r="CH36" s="13"/>
      <c r="CI36" s="13"/>
      <c r="CJ36" s="13">
        <f t="shared" si="38"/>
        <v>21464.806050000003</v>
      </c>
      <c r="CK36" s="13">
        <f t="shared" si="39"/>
        <v>21464.806050000003</v>
      </c>
      <c r="CL36" s="13"/>
      <c r="CM36" s="13"/>
      <c r="CN36" s="13">
        <f t="shared" si="40"/>
        <v>73488.533087500007</v>
      </c>
      <c r="CO36" s="13">
        <f t="shared" si="41"/>
        <v>73488.533087500007</v>
      </c>
      <c r="CP36" s="13"/>
      <c r="CQ36" s="13"/>
      <c r="CR36" s="13">
        <f t="shared" si="42"/>
        <v>15668.263562499998</v>
      </c>
      <c r="CS36" s="13">
        <f t="shared" si="43"/>
        <v>15668.263562499998</v>
      </c>
      <c r="CT36" s="13"/>
      <c r="CU36" s="13"/>
      <c r="CV36" s="13">
        <f t="shared" si="44"/>
        <v>1276.4743249999999</v>
      </c>
      <c r="CW36" s="13">
        <f t="shared" si="45"/>
        <v>1276.4743249999999</v>
      </c>
      <c r="CX36" s="13"/>
      <c r="CY36" s="13"/>
      <c r="CZ36" s="13">
        <f t="shared" si="46"/>
        <v>1522.3952624999999</v>
      </c>
      <c r="DA36" s="13">
        <f t="shared" si="47"/>
        <v>1522.3952624999999</v>
      </c>
      <c r="DB36" s="13"/>
      <c r="DC36" s="13"/>
      <c r="DD36" s="13">
        <f t="shared" si="48"/>
        <v>3104.9688249999999</v>
      </c>
      <c r="DE36" s="13">
        <f t="shared" si="49"/>
        <v>3104.9688249999999</v>
      </c>
      <c r="DF36" s="13"/>
      <c r="DG36" s="13"/>
      <c r="DH36" s="13">
        <f t="shared" si="50"/>
        <v>85583.462100000004</v>
      </c>
      <c r="DI36" s="13">
        <f t="shared" si="51"/>
        <v>85583.462100000004</v>
      </c>
      <c r="DJ36" s="13"/>
      <c r="DK36" s="13"/>
      <c r="DL36" s="13">
        <f t="shared" si="52"/>
        <v>3323.8591250000004</v>
      </c>
      <c r="DM36" s="13">
        <f t="shared" si="53"/>
        <v>3323.8591250000004</v>
      </c>
      <c r="DN36" s="13"/>
      <c r="DO36" s="13"/>
      <c r="DP36" s="13">
        <f t="shared" si="54"/>
        <v>7123.1929500000006</v>
      </c>
      <c r="DQ36" s="13">
        <f t="shared" si="55"/>
        <v>7123.1929500000006</v>
      </c>
      <c r="DR36" s="13"/>
      <c r="DS36" s="13"/>
      <c r="DT36" s="13"/>
      <c r="DU36" s="13"/>
      <c r="DW36" s="13"/>
      <c r="DX36" s="13"/>
      <c r="DY36" s="13"/>
    </row>
    <row r="37" spans="1:129" x14ac:dyDescent="0.2">
      <c r="A37" s="11">
        <v>45383</v>
      </c>
      <c r="G37" s="14">
        <v>0</v>
      </c>
      <c r="H37" s="14">
        <v>0</v>
      </c>
      <c r="I37" s="14">
        <v>5155000</v>
      </c>
      <c r="J37" s="14">
        <v>826625</v>
      </c>
      <c r="K37" s="14">
        <f t="shared" si="3"/>
        <v>5155000</v>
      </c>
      <c r="L37" s="14">
        <f t="shared" si="0"/>
        <v>826625</v>
      </c>
      <c r="M37" s="14">
        <f t="shared" si="1"/>
        <v>5981625</v>
      </c>
      <c r="O37" s="13">
        <v>1657608</v>
      </c>
      <c r="P37" s="13">
        <v>265804</v>
      </c>
      <c r="Q37" s="13">
        <f t="shared" si="2"/>
        <v>1923412</v>
      </c>
      <c r="S37" s="13">
        <f t="shared" si="56"/>
        <v>3497391.7074999996</v>
      </c>
      <c r="T37" s="14">
        <f t="shared" si="4"/>
        <v>560820.8380625</v>
      </c>
      <c r="U37" s="13">
        <f t="shared" si="5"/>
        <v>4058212.5455624997</v>
      </c>
      <c r="W37" s="2">
        <f>K37*$X$6</f>
        <v>283610.0575</v>
      </c>
      <c r="X37" s="2">
        <f t="shared" si="6"/>
        <v>45478.014312500003</v>
      </c>
      <c r="Y37" s="2">
        <f t="shared" si="7"/>
        <v>329088.07181250001</v>
      </c>
      <c r="AA37" s="2">
        <f>K37*$AB$6</f>
        <v>346226.81149999995</v>
      </c>
      <c r="AB37" s="2">
        <f t="shared" si="8"/>
        <v>55518.862862499998</v>
      </c>
      <c r="AC37" s="2">
        <f t="shared" si="9"/>
        <v>401745.67436249997</v>
      </c>
      <c r="AE37" s="13">
        <f>K37*$AF$6</f>
        <v>1267.6145000000001</v>
      </c>
      <c r="AF37" s="13">
        <f t="shared" si="10"/>
        <v>203.2670875</v>
      </c>
      <c r="AG37" s="13">
        <f t="shared" si="11"/>
        <v>1470.8815875</v>
      </c>
      <c r="AI37" s="2">
        <f>K37*$AJ$6</f>
        <v>74830.495500000005</v>
      </c>
      <c r="AJ37" s="2">
        <f t="shared" si="12"/>
        <v>11999.3711625</v>
      </c>
      <c r="AK37" s="2">
        <f t="shared" si="13"/>
        <v>86829.866662500004</v>
      </c>
      <c r="AM37" s="2">
        <f>K37*$AN$6</f>
        <v>344315.33750000002</v>
      </c>
      <c r="AN37" s="2">
        <f t="shared" si="14"/>
        <v>55212.350312500006</v>
      </c>
      <c r="AO37" s="2">
        <f t="shared" si="15"/>
        <v>399527.68781250005</v>
      </c>
      <c r="AP37" s="13"/>
      <c r="AQ37" s="2">
        <f>K37*$AR$6</f>
        <v>54280.088000000003</v>
      </c>
      <c r="AR37" s="2">
        <f t="shared" si="16"/>
        <v>8704.0306</v>
      </c>
      <c r="AS37" s="2">
        <f t="shared" si="17"/>
        <v>62984.118600000002</v>
      </c>
      <c r="AT37" s="13"/>
      <c r="AU37" s="13">
        <f>K37*$AV$6</f>
        <v>3015.1594999999998</v>
      </c>
      <c r="AV37" s="13">
        <f t="shared" si="18"/>
        <v>483.49296249999998</v>
      </c>
      <c r="AW37" s="13">
        <f t="shared" si="19"/>
        <v>3498.6524624999997</v>
      </c>
      <c r="AX37" s="13"/>
      <c r="AY37" s="13">
        <f>K37*$AZ$6</f>
        <v>34730.781499999997</v>
      </c>
      <c r="AZ37" s="13">
        <f t="shared" si="20"/>
        <v>5569.2206125000002</v>
      </c>
      <c r="BA37" s="13">
        <f t="shared" si="21"/>
        <v>40300.002112499998</v>
      </c>
      <c r="BB37" s="13"/>
      <c r="BC37" s="13">
        <f>K37*$BD$6</f>
        <v>48552.882999999994</v>
      </c>
      <c r="BD37" s="13">
        <f t="shared" si="22"/>
        <v>7785.6502249999994</v>
      </c>
      <c r="BE37" s="13">
        <f t="shared" si="23"/>
        <v>56338.533224999992</v>
      </c>
      <c r="BF37" s="13"/>
      <c r="BG37" s="13">
        <f>K37*$BH$6</f>
        <v>6792.2280000000001</v>
      </c>
      <c r="BH37" s="13">
        <f t="shared" si="24"/>
        <v>1089.1611</v>
      </c>
      <c r="BI37" s="13">
        <f t="shared" si="25"/>
        <v>7881.3891000000003</v>
      </c>
      <c r="BJ37" s="13"/>
      <c r="BK37" s="13">
        <f>K37*$BM$6</f>
        <v>35284.943999999996</v>
      </c>
      <c r="BL37" s="13">
        <f t="shared" si="59"/>
        <v>5658.0828000000001</v>
      </c>
      <c r="BM37" s="13">
        <f t="shared" si="27"/>
        <v>40943.026799999992</v>
      </c>
      <c r="BN37" s="13"/>
      <c r="BO37" s="13">
        <f>K37*$BP$6</f>
        <v>2005.2950000000001</v>
      </c>
      <c r="BP37" s="13">
        <f t="shared" si="28"/>
        <v>321.55712500000004</v>
      </c>
      <c r="BQ37" s="13">
        <f t="shared" si="29"/>
        <v>2326.8521250000003</v>
      </c>
      <c r="BR37" s="13"/>
      <c r="BS37" s="13">
        <f>K37*$BT$6</f>
        <v>7087.6095000000005</v>
      </c>
      <c r="BT37" s="13">
        <f t="shared" si="30"/>
        <v>1136.5267125</v>
      </c>
      <c r="BU37" s="13">
        <f t="shared" si="31"/>
        <v>8224.1362125000014</v>
      </c>
      <c r="BV37" s="13"/>
      <c r="BW37" s="13">
        <f>K37*$BX$6</f>
        <v>25763.143499999998</v>
      </c>
      <c r="BX37" s="13">
        <f t="shared" si="32"/>
        <v>4131.2237624999998</v>
      </c>
      <c r="BY37" s="13">
        <f t="shared" si="33"/>
        <v>29894.367262499996</v>
      </c>
      <c r="BZ37" s="13"/>
      <c r="CA37" s="13">
        <f>K37*$CB$6</f>
        <v>175938.08800000002</v>
      </c>
      <c r="CB37" s="13">
        <f t="shared" si="34"/>
        <v>28212.380600000004</v>
      </c>
      <c r="CC37" s="13">
        <f t="shared" si="35"/>
        <v>204150.46860000002</v>
      </c>
      <c r="CD37" s="13"/>
      <c r="CE37" s="13">
        <f>K37*$CF$6</f>
        <v>728149.42050000001</v>
      </c>
      <c r="CF37" s="13">
        <f t="shared" si="36"/>
        <v>116761.69053749999</v>
      </c>
      <c r="CG37" s="13">
        <f t="shared" si="37"/>
        <v>844911.11103749997</v>
      </c>
      <c r="CH37" s="13"/>
      <c r="CI37" s="13">
        <f>K37*$CJ$6</f>
        <v>133858.85400000002</v>
      </c>
      <c r="CJ37" s="13">
        <f t="shared" si="38"/>
        <v>21464.806050000003</v>
      </c>
      <c r="CK37" s="13">
        <f t="shared" si="39"/>
        <v>155323.66005000003</v>
      </c>
      <c r="CL37" s="13"/>
      <c r="CM37" s="13">
        <f>K37*$CN$6</f>
        <v>458289.29450000002</v>
      </c>
      <c r="CN37" s="13">
        <f t="shared" si="40"/>
        <v>73488.533087500007</v>
      </c>
      <c r="CO37" s="13">
        <f t="shared" si="41"/>
        <v>531777.82758749998</v>
      </c>
      <c r="CP37" s="13"/>
      <c r="CQ37" s="13">
        <f>K37*$CR$6</f>
        <v>97710.447499999995</v>
      </c>
      <c r="CR37" s="13">
        <f t="shared" si="42"/>
        <v>15668.263562499998</v>
      </c>
      <c r="CS37" s="13">
        <f t="shared" si="43"/>
        <v>113378.71106249999</v>
      </c>
      <c r="CT37" s="13"/>
      <c r="CU37" s="13">
        <f>K37*$CV$6</f>
        <v>7960.3509999999997</v>
      </c>
      <c r="CV37" s="13">
        <f t="shared" si="44"/>
        <v>1276.4743249999999</v>
      </c>
      <c r="CW37" s="13">
        <f t="shared" si="45"/>
        <v>9236.8253249999998</v>
      </c>
      <c r="CX37" s="13"/>
      <c r="CY37" s="13">
        <f>K37*$CZ$6</f>
        <v>9493.9634999999998</v>
      </c>
      <c r="CZ37" s="13">
        <f t="shared" si="46"/>
        <v>1522.3952624999999</v>
      </c>
      <c r="DA37" s="13">
        <f t="shared" si="47"/>
        <v>11016.3587625</v>
      </c>
      <c r="DB37" s="13"/>
      <c r="DC37" s="13">
        <f>K37*$DD$6</f>
        <v>19363.210999999999</v>
      </c>
      <c r="DD37" s="13">
        <f t="shared" si="48"/>
        <v>3104.9688249999999</v>
      </c>
      <c r="DE37" s="13">
        <f t="shared" si="49"/>
        <v>22468.179824999999</v>
      </c>
      <c r="DF37" s="13"/>
      <c r="DG37" s="13">
        <f>K37*$DH$6</f>
        <v>533715.70799999998</v>
      </c>
      <c r="DH37" s="13">
        <f t="shared" si="50"/>
        <v>85583.462100000004</v>
      </c>
      <c r="DI37" s="13">
        <f t="shared" si="51"/>
        <v>619299.17009999999</v>
      </c>
      <c r="DJ37" s="13"/>
      <c r="DK37" s="13">
        <f>K37*$DL$6</f>
        <v>20728.255000000001</v>
      </c>
      <c r="DL37" s="13">
        <f t="shared" si="52"/>
        <v>3323.8591250000004</v>
      </c>
      <c r="DM37" s="13">
        <f t="shared" si="53"/>
        <v>24052.114125</v>
      </c>
      <c r="DN37" s="13"/>
      <c r="DO37" s="13">
        <f>K37*$DP$6</f>
        <v>44421.665999999997</v>
      </c>
      <c r="DP37" s="13">
        <f t="shared" si="54"/>
        <v>7123.1929500000006</v>
      </c>
      <c r="DQ37" s="13">
        <f t="shared" si="55"/>
        <v>51544.858949999994</v>
      </c>
      <c r="DR37" s="13"/>
      <c r="DS37" s="13"/>
      <c r="DT37" s="13"/>
      <c r="DU37" s="13"/>
      <c r="DW37" s="13"/>
      <c r="DX37" s="13"/>
      <c r="DY37" s="13"/>
    </row>
    <row r="38" spans="1:129" x14ac:dyDescent="0.2">
      <c r="A38" s="11">
        <v>45566</v>
      </c>
      <c r="H38" s="14">
        <v>0</v>
      </c>
      <c r="J38" s="14">
        <v>697750</v>
      </c>
      <c r="L38" s="14">
        <f t="shared" si="0"/>
        <v>697750</v>
      </c>
      <c r="M38" s="14">
        <f t="shared" si="1"/>
        <v>697750</v>
      </c>
      <c r="P38" s="13">
        <v>224364</v>
      </c>
      <c r="Q38" s="13">
        <f t="shared" si="2"/>
        <v>224364</v>
      </c>
      <c r="S38" s="13"/>
      <c r="T38" s="14">
        <f t="shared" si="4"/>
        <v>473386.04537499999</v>
      </c>
      <c r="U38" s="13">
        <f t="shared" si="5"/>
        <v>473386.04537499999</v>
      </c>
      <c r="W38" s="2"/>
      <c r="X38" s="2">
        <f t="shared" si="6"/>
        <v>38387.762875</v>
      </c>
      <c r="Y38" s="2">
        <f t="shared" si="7"/>
        <v>38387.762875</v>
      </c>
      <c r="AA38" s="2"/>
      <c r="AB38" s="2">
        <f t="shared" si="8"/>
        <v>46863.192574999994</v>
      </c>
      <c r="AC38" s="2">
        <f t="shared" si="9"/>
        <v>46863.192574999994</v>
      </c>
      <c r="AF38" s="13">
        <f t="shared" si="10"/>
        <v>171.57672500000001</v>
      </c>
      <c r="AG38" s="13">
        <f t="shared" si="11"/>
        <v>171.57672500000001</v>
      </c>
      <c r="AI38" s="2"/>
      <c r="AJ38" s="2">
        <f t="shared" si="12"/>
        <v>10128.608775000001</v>
      </c>
      <c r="AK38" s="2">
        <f t="shared" si="13"/>
        <v>10128.608775000001</v>
      </c>
      <c r="AM38" s="2"/>
      <c r="AN38" s="2">
        <f t="shared" si="14"/>
        <v>46604.466875000006</v>
      </c>
      <c r="AO38" s="2">
        <f t="shared" si="15"/>
        <v>46604.466875000006</v>
      </c>
      <c r="AP38" s="13"/>
      <c r="AQ38" s="2"/>
      <c r="AR38" s="2">
        <f t="shared" si="16"/>
        <v>7347.0284000000001</v>
      </c>
      <c r="AS38" s="2">
        <f t="shared" si="17"/>
        <v>7347.0284000000001</v>
      </c>
      <c r="AT38" s="13"/>
      <c r="AU38" s="13"/>
      <c r="AV38" s="13">
        <f t="shared" si="18"/>
        <v>408.11397499999998</v>
      </c>
      <c r="AW38" s="13">
        <f t="shared" si="19"/>
        <v>408.11397499999998</v>
      </c>
      <c r="AX38" s="13"/>
      <c r="AY38" s="13"/>
      <c r="AZ38" s="13">
        <f t="shared" si="20"/>
        <v>4700.9510749999999</v>
      </c>
      <c r="BA38" s="13">
        <f t="shared" si="21"/>
        <v>4700.9510749999999</v>
      </c>
      <c r="BB38" s="13"/>
      <c r="BC38" s="13"/>
      <c r="BD38" s="13">
        <f t="shared" si="22"/>
        <v>6571.8281499999994</v>
      </c>
      <c r="BE38" s="13">
        <f t="shared" si="23"/>
        <v>6571.8281499999994</v>
      </c>
      <c r="BF38" s="13"/>
      <c r="BG38" s="13"/>
      <c r="BH38" s="13">
        <f t="shared" si="24"/>
        <v>919.35539999999992</v>
      </c>
      <c r="BI38" s="13">
        <f t="shared" si="25"/>
        <v>919.35539999999992</v>
      </c>
      <c r="BJ38" s="13"/>
      <c r="BK38" s="13"/>
      <c r="BL38" s="13">
        <f t="shared" si="59"/>
        <v>4775.9592000000002</v>
      </c>
      <c r="BM38" s="13">
        <f t="shared" si="27"/>
        <v>4775.9592000000002</v>
      </c>
      <c r="BN38" s="13"/>
      <c r="BO38" s="13"/>
      <c r="BP38" s="13">
        <f t="shared" si="28"/>
        <v>271.42475000000002</v>
      </c>
      <c r="BQ38" s="13">
        <f t="shared" si="29"/>
        <v>271.42475000000002</v>
      </c>
      <c r="BR38" s="13"/>
      <c r="BS38" s="13"/>
      <c r="BT38" s="13">
        <f t="shared" si="30"/>
        <v>959.33647500000006</v>
      </c>
      <c r="BU38" s="13">
        <f t="shared" si="31"/>
        <v>959.33647500000006</v>
      </c>
      <c r="BV38" s="13"/>
      <c r="BW38" s="13"/>
      <c r="BX38" s="13">
        <f t="shared" si="32"/>
        <v>3487.1451750000001</v>
      </c>
      <c r="BY38" s="13">
        <f t="shared" si="33"/>
        <v>3487.1451750000001</v>
      </c>
      <c r="BZ38" s="13"/>
      <c r="CA38" s="13"/>
      <c r="CB38" s="13">
        <f t="shared" si="34"/>
        <v>23813.928400000001</v>
      </c>
      <c r="CC38" s="13">
        <f t="shared" si="35"/>
        <v>23813.928400000001</v>
      </c>
      <c r="CD38" s="13"/>
      <c r="CE38" s="13"/>
      <c r="CF38" s="13">
        <f t="shared" si="36"/>
        <v>98557.955024999988</v>
      </c>
      <c r="CG38" s="13">
        <f t="shared" si="37"/>
        <v>98557.955024999988</v>
      </c>
      <c r="CH38" s="13"/>
      <c r="CI38" s="13"/>
      <c r="CJ38" s="13">
        <f t="shared" si="38"/>
        <v>18118.334699999999</v>
      </c>
      <c r="CK38" s="13">
        <f t="shared" si="39"/>
        <v>18118.334699999999</v>
      </c>
      <c r="CL38" s="13"/>
      <c r="CM38" s="13"/>
      <c r="CN38" s="13">
        <f t="shared" si="40"/>
        <v>62031.300725000001</v>
      </c>
      <c r="CO38" s="13">
        <f t="shared" si="41"/>
        <v>62031.300725000001</v>
      </c>
      <c r="CP38" s="13"/>
      <c r="CQ38" s="13"/>
      <c r="CR38" s="13">
        <f t="shared" si="42"/>
        <v>13225.502375</v>
      </c>
      <c r="CS38" s="13">
        <f t="shared" si="43"/>
        <v>13225.502375</v>
      </c>
      <c r="CT38" s="13"/>
      <c r="CU38" s="13"/>
      <c r="CV38" s="13">
        <f t="shared" si="44"/>
        <v>1077.4655499999999</v>
      </c>
      <c r="CW38" s="13">
        <f t="shared" si="45"/>
        <v>1077.4655499999999</v>
      </c>
      <c r="CX38" s="13"/>
      <c r="CY38" s="13"/>
      <c r="CZ38" s="13">
        <f t="shared" si="46"/>
        <v>1285.0461749999999</v>
      </c>
      <c r="DA38" s="13">
        <f t="shared" si="47"/>
        <v>1285.0461749999999</v>
      </c>
      <c r="DB38" s="13"/>
      <c r="DC38" s="13"/>
      <c r="DD38" s="13">
        <f t="shared" si="48"/>
        <v>2620.8885500000001</v>
      </c>
      <c r="DE38" s="13">
        <f t="shared" si="49"/>
        <v>2620.8885500000001</v>
      </c>
      <c r="DF38" s="13"/>
      <c r="DG38" s="13"/>
      <c r="DH38" s="13">
        <f t="shared" si="50"/>
        <v>72240.569400000008</v>
      </c>
      <c r="DI38" s="13">
        <f t="shared" si="51"/>
        <v>72240.569400000008</v>
      </c>
      <c r="DJ38" s="13"/>
      <c r="DK38" s="13"/>
      <c r="DL38" s="13">
        <f t="shared" si="52"/>
        <v>2805.6527500000002</v>
      </c>
      <c r="DM38" s="13">
        <f t="shared" si="53"/>
        <v>2805.6527500000002</v>
      </c>
      <c r="DN38" s="13"/>
      <c r="DO38" s="13"/>
      <c r="DP38" s="13">
        <f t="shared" si="54"/>
        <v>6012.6513000000004</v>
      </c>
      <c r="DQ38" s="13">
        <f t="shared" si="55"/>
        <v>6012.6513000000004</v>
      </c>
      <c r="DR38" s="13"/>
      <c r="DS38" s="13"/>
      <c r="DT38" s="13"/>
      <c r="DU38" s="13"/>
      <c r="DW38" s="13"/>
      <c r="DX38" s="13"/>
      <c r="DY38" s="13"/>
    </row>
    <row r="39" spans="1:129" x14ac:dyDescent="0.2">
      <c r="A39" s="11">
        <v>45748</v>
      </c>
      <c r="G39" s="14">
        <v>0</v>
      </c>
      <c r="H39" s="14">
        <v>0</v>
      </c>
      <c r="I39" s="14">
        <v>5295000</v>
      </c>
      <c r="J39" s="14">
        <v>697750</v>
      </c>
      <c r="K39" s="14">
        <f t="shared" si="3"/>
        <v>5295000</v>
      </c>
      <c r="L39" s="14">
        <f t="shared" si="0"/>
        <v>697750</v>
      </c>
      <c r="M39" s="14">
        <f t="shared" si="1"/>
        <v>5992750</v>
      </c>
      <c r="O39" s="13">
        <v>1702626</v>
      </c>
      <c r="P39" s="13">
        <v>224364</v>
      </c>
      <c r="Q39" s="13">
        <f t="shared" si="2"/>
        <v>1926990</v>
      </c>
      <c r="S39" s="13">
        <f t="shared" si="56"/>
        <v>3592374.2175000003</v>
      </c>
      <c r="T39" s="14">
        <f t="shared" si="4"/>
        <v>473386.04537499999</v>
      </c>
      <c r="U39" s="13">
        <f t="shared" si="5"/>
        <v>4065760.262875</v>
      </c>
      <c r="W39" s="2">
        <f>K39*$X$6</f>
        <v>291312.36749999999</v>
      </c>
      <c r="X39" s="2">
        <f t="shared" si="6"/>
        <v>38387.762875</v>
      </c>
      <c r="Y39" s="2">
        <f t="shared" si="7"/>
        <v>329700.13037500001</v>
      </c>
      <c r="AA39" s="2">
        <f>K39*$AB$6</f>
        <v>355629.67349999998</v>
      </c>
      <c r="AB39" s="2">
        <f t="shared" si="8"/>
        <v>46863.192574999994</v>
      </c>
      <c r="AC39" s="2">
        <f t="shared" si="9"/>
        <v>402492.86607499997</v>
      </c>
      <c r="AE39" s="13">
        <f>K39*$AF$6</f>
        <v>1302.0405000000001</v>
      </c>
      <c r="AF39" s="13">
        <f t="shared" si="10"/>
        <v>171.57672500000001</v>
      </c>
      <c r="AG39" s="13">
        <f t="shared" si="11"/>
        <v>1473.617225</v>
      </c>
      <c r="AI39" s="2">
        <f>K39*$AJ$6</f>
        <v>76862.749500000005</v>
      </c>
      <c r="AJ39" s="2">
        <f t="shared" si="12"/>
        <v>10128.608775000001</v>
      </c>
      <c r="AK39" s="2">
        <f t="shared" si="13"/>
        <v>86991.358275000006</v>
      </c>
      <c r="AM39" s="2">
        <f>K39*$AN$6</f>
        <v>353666.28750000003</v>
      </c>
      <c r="AN39" s="2">
        <f t="shared" si="14"/>
        <v>46604.466875000006</v>
      </c>
      <c r="AO39" s="2">
        <f t="shared" si="15"/>
        <v>400270.75437500002</v>
      </c>
      <c r="AP39" s="13"/>
      <c r="AQ39" s="2">
        <f>K39*$AR$6</f>
        <v>55754.232000000004</v>
      </c>
      <c r="AR39" s="2">
        <f t="shared" si="16"/>
        <v>7347.0284000000001</v>
      </c>
      <c r="AS39" s="2">
        <f t="shared" si="17"/>
        <v>63101.260400000006</v>
      </c>
      <c r="AT39" s="13"/>
      <c r="AU39" s="13">
        <f>K39*$AV$6</f>
        <v>3097.0454999999997</v>
      </c>
      <c r="AV39" s="13">
        <f t="shared" si="18"/>
        <v>408.11397499999998</v>
      </c>
      <c r="AW39" s="13">
        <f t="shared" si="19"/>
        <v>3505.1594749999995</v>
      </c>
      <c r="AX39" s="13"/>
      <c r="AY39" s="13">
        <f>K39*$AZ$6</f>
        <v>35674.003499999999</v>
      </c>
      <c r="AZ39" s="13">
        <f t="shared" si="20"/>
        <v>4700.9510749999999</v>
      </c>
      <c r="BA39" s="13">
        <f t="shared" si="21"/>
        <v>40374.954574999996</v>
      </c>
      <c r="BB39" s="13"/>
      <c r="BC39" s="13">
        <f>K39*$BD$6</f>
        <v>49871.486999999994</v>
      </c>
      <c r="BD39" s="13">
        <f t="shared" si="22"/>
        <v>6571.8281499999994</v>
      </c>
      <c r="BE39" s="13">
        <f t="shared" si="23"/>
        <v>56443.315149999995</v>
      </c>
      <c r="BF39" s="13"/>
      <c r="BG39" s="13">
        <f>K39*$BH$6</f>
        <v>6976.692</v>
      </c>
      <c r="BH39" s="13">
        <f t="shared" si="24"/>
        <v>919.35539999999992</v>
      </c>
      <c r="BI39" s="13">
        <f t="shared" si="25"/>
        <v>7896.0473999999995</v>
      </c>
      <c r="BJ39" s="13"/>
      <c r="BK39" s="13">
        <f>K39*$BM$6</f>
        <v>36243.216</v>
      </c>
      <c r="BL39" s="13">
        <f t="shared" si="59"/>
        <v>4775.9592000000002</v>
      </c>
      <c r="BM39" s="13">
        <f t="shared" si="27"/>
        <v>41019.175199999998</v>
      </c>
      <c r="BN39" s="13"/>
      <c r="BO39" s="13">
        <f>K39*$BP$6</f>
        <v>2059.7550000000001</v>
      </c>
      <c r="BP39" s="13">
        <f t="shared" si="28"/>
        <v>271.42475000000002</v>
      </c>
      <c r="BQ39" s="13">
        <f t="shared" si="29"/>
        <v>2331.1797500000002</v>
      </c>
      <c r="BR39" s="13"/>
      <c r="BS39" s="13">
        <f>K39*$BT$6</f>
        <v>7280.0955000000004</v>
      </c>
      <c r="BT39" s="13">
        <f t="shared" si="30"/>
        <v>959.33647500000006</v>
      </c>
      <c r="BU39" s="13">
        <f t="shared" si="31"/>
        <v>8239.4319749999995</v>
      </c>
      <c r="BV39" s="13"/>
      <c r="BW39" s="13">
        <f>K39*$BX$6</f>
        <v>26462.821499999998</v>
      </c>
      <c r="BX39" s="13">
        <f t="shared" si="32"/>
        <v>3487.1451750000001</v>
      </c>
      <c r="BY39" s="13">
        <f t="shared" si="33"/>
        <v>29949.966675</v>
      </c>
      <c r="BZ39" s="13"/>
      <c r="CA39" s="13">
        <f>K39*$CB$6</f>
        <v>180716.23200000002</v>
      </c>
      <c r="CB39" s="13">
        <f t="shared" si="34"/>
        <v>23813.928400000001</v>
      </c>
      <c r="CC39" s="13">
        <f t="shared" si="35"/>
        <v>204530.16040000002</v>
      </c>
      <c r="CD39" s="13"/>
      <c r="CE39" s="13">
        <f>K39*$CF$6</f>
        <v>747924.57449999999</v>
      </c>
      <c r="CF39" s="13">
        <f t="shared" si="36"/>
        <v>98557.955024999988</v>
      </c>
      <c r="CG39" s="13">
        <f t="shared" si="37"/>
        <v>846482.52952500002</v>
      </c>
      <c r="CH39" s="13"/>
      <c r="CI39" s="13">
        <f>K39*$CJ$6</f>
        <v>137494.20600000001</v>
      </c>
      <c r="CJ39" s="13">
        <f t="shared" si="38"/>
        <v>18118.334699999999</v>
      </c>
      <c r="CK39" s="13">
        <f t="shared" si="39"/>
        <v>155612.54070000001</v>
      </c>
      <c r="CL39" s="13"/>
      <c r="CM39" s="13">
        <f>K39*$CN$6</f>
        <v>470735.56050000002</v>
      </c>
      <c r="CN39" s="13">
        <f t="shared" si="40"/>
        <v>62031.300725000001</v>
      </c>
      <c r="CO39" s="13">
        <f t="shared" si="41"/>
        <v>532766.861225</v>
      </c>
      <c r="CP39" s="13"/>
      <c r="CQ39" s="13">
        <f>K39*$CR$6</f>
        <v>100364.0775</v>
      </c>
      <c r="CR39" s="13">
        <f t="shared" si="42"/>
        <v>13225.502375</v>
      </c>
      <c r="CS39" s="13">
        <f t="shared" si="43"/>
        <v>113589.579875</v>
      </c>
      <c r="CT39" s="13"/>
      <c r="CU39" s="13">
        <f>K39*$CV$6</f>
        <v>8176.5389999999998</v>
      </c>
      <c r="CV39" s="13">
        <f t="shared" si="44"/>
        <v>1077.4655499999999</v>
      </c>
      <c r="CW39" s="13">
        <f t="shared" si="45"/>
        <v>9254.0045499999997</v>
      </c>
      <c r="CX39" s="13"/>
      <c r="CY39" s="13">
        <f>K39*$CZ$6</f>
        <v>9751.8014999999996</v>
      </c>
      <c r="CZ39" s="13">
        <f t="shared" si="46"/>
        <v>1285.0461749999999</v>
      </c>
      <c r="DA39" s="13">
        <f t="shared" si="47"/>
        <v>11036.847674999999</v>
      </c>
      <c r="DB39" s="13"/>
      <c r="DC39" s="13">
        <f>K39*$DD$6</f>
        <v>19889.078999999998</v>
      </c>
      <c r="DD39" s="13">
        <f t="shared" si="48"/>
        <v>2620.8885500000001</v>
      </c>
      <c r="DE39" s="13">
        <f t="shared" si="49"/>
        <v>22509.967549999998</v>
      </c>
      <c r="DF39" s="13"/>
      <c r="DG39" s="13">
        <f>K39*$DH$6</f>
        <v>548210.41200000001</v>
      </c>
      <c r="DH39" s="13">
        <f t="shared" si="50"/>
        <v>72240.569400000008</v>
      </c>
      <c r="DI39" s="13">
        <f t="shared" si="51"/>
        <v>620450.98140000005</v>
      </c>
      <c r="DJ39" s="13"/>
      <c r="DK39" s="13">
        <f>K39*$DL$6</f>
        <v>21291.195</v>
      </c>
      <c r="DL39" s="13">
        <f t="shared" si="52"/>
        <v>2805.6527500000002</v>
      </c>
      <c r="DM39" s="13">
        <f t="shared" si="53"/>
        <v>24096.847750000001</v>
      </c>
      <c r="DN39" s="13"/>
      <c r="DO39" s="13">
        <f>K39*$DP$6</f>
        <v>45628.074000000001</v>
      </c>
      <c r="DP39" s="13">
        <f t="shared" si="54"/>
        <v>6012.6513000000004</v>
      </c>
      <c r="DQ39" s="13">
        <f t="shared" si="55"/>
        <v>51640.725299999998</v>
      </c>
      <c r="DR39" s="13"/>
      <c r="DS39" s="13"/>
      <c r="DT39" s="13"/>
      <c r="DU39" s="13"/>
      <c r="DW39" s="13"/>
      <c r="DX39" s="13"/>
      <c r="DY39" s="13"/>
    </row>
    <row r="40" spans="1:129" x14ac:dyDescent="0.2">
      <c r="A40" s="11">
        <v>45931</v>
      </c>
      <c r="H40" s="14">
        <v>0</v>
      </c>
      <c r="J40" s="14">
        <v>565375</v>
      </c>
      <c r="L40" s="14">
        <f t="shared" si="0"/>
        <v>565375</v>
      </c>
      <c r="M40" s="14">
        <f t="shared" si="1"/>
        <v>565375</v>
      </c>
      <c r="P40" s="13">
        <v>181798</v>
      </c>
      <c r="Q40" s="13">
        <f t="shared" si="2"/>
        <v>181798</v>
      </c>
      <c r="S40" s="13"/>
      <c r="T40" s="14">
        <f t="shared" si="4"/>
        <v>383576.68993750005</v>
      </c>
      <c r="U40" s="13">
        <f t="shared" si="5"/>
        <v>383576.68993750005</v>
      </c>
      <c r="W40" s="2"/>
      <c r="X40" s="2">
        <f t="shared" si="6"/>
        <v>31104.953687500001</v>
      </c>
      <c r="Y40" s="2">
        <f t="shared" si="7"/>
        <v>31104.953687500001</v>
      </c>
      <c r="AA40" s="2"/>
      <c r="AB40" s="2">
        <f t="shared" si="8"/>
        <v>37972.450737499996</v>
      </c>
      <c r="AC40" s="2">
        <f t="shared" si="9"/>
        <v>37972.450737499996</v>
      </c>
      <c r="AF40" s="13">
        <f t="shared" si="10"/>
        <v>139.0257125</v>
      </c>
      <c r="AG40" s="13">
        <f t="shared" si="11"/>
        <v>139.0257125</v>
      </c>
      <c r="AI40" s="2"/>
      <c r="AJ40" s="2">
        <f t="shared" si="12"/>
        <v>8207.0400375000008</v>
      </c>
      <c r="AK40" s="2">
        <f t="shared" si="13"/>
        <v>8207.0400375000008</v>
      </c>
      <c r="AM40" s="2"/>
      <c r="AN40" s="2">
        <f t="shared" si="14"/>
        <v>37762.809687500005</v>
      </c>
      <c r="AO40" s="2">
        <f t="shared" si="15"/>
        <v>37762.809687500005</v>
      </c>
      <c r="AP40" s="13"/>
      <c r="AQ40" s="2"/>
      <c r="AR40" s="2">
        <f t="shared" si="16"/>
        <v>5953.1725999999999</v>
      </c>
      <c r="AS40" s="2">
        <f t="shared" si="17"/>
        <v>5953.1725999999999</v>
      </c>
      <c r="AT40" s="13"/>
      <c r="AU40" s="13"/>
      <c r="AV40" s="13">
        <f t="shared" si="18"/>
        <v>330.6878375</v>
      </c>
      <c r="AW40" s="13">
        <f t="shared" si="19"/>
        <v>330.6878375</v>
      </c>
      <c r="AX40" s="13"/>
      <c r="AY40" s="13"/>
      <c r="AZ40" s="13">
        <f t="shared" si="20"/>
        <v>3809.1009875</v>
      </c>
      <c r="BA40" s="13">
        <f t="shared" si="21"/>
        <v>3809.1009875</v>
      </c>
      <c r="BB40" s="13"/>
      <c r="BC40" s="13"/>
      <c r="BD40" s="13">
        <f t="shared" si="22"/>
        <v>5325.0409749999999</v>
      </c>
      <c r="BE40" s="13">
        <f t="shared" si="23"/>
        <v>5325.0409749999999</v>
      </c>
      <c r="BF40" s="13"/>
      <c r="BG40" s="13"/>
      <c r="BH40" s="13">
        <f t="shared" si="24"/>
        <v>744.93809999999996</v>
      </c>
      <c r="BI40" s="13">
        <f t="shared" si="25"/>
        <v>744.93809999999996</v>
      </c>
      <c r="BJ40" s="13"/>
      <c r="BK40" s="13"/>
      <c r="BL40" s="13">
        <f t="shared" si="59"/>
        <v>3869.8788</v>
      </c>
      <c r="BM40" s="13">
        <f t="shared" si="27"/>
        <v>3869.8788</v>
      </c>
      <c r="BN40" s="13"/>
      <c r="BO40" s="13"/>
      <c r="BP40" s="13">
        <f t="shared" si="28"/>
        <v>219.93087500000001</v>
      </c>
      <c r="BQ40" s="13">
        <f t="shared" si="29"/>
        <v>219.93087500000001</v>
      </c>
      <c r="BR40" s="13"/>
      <c r="BS40" s="13"/>
      <c r="BT40" s="13">
        <f t="shared" si="30"/>
        <v>777.33408750000001</v>
      </c>
      <c r="BU40" s="13">
        <f t="shared" si="31"/>
        <v>777.33408750000001</v>
      </c>
      <c r="BV40" s="13"/>
      <c r="BW40" s="13"/>
      <c r="BX40" s="13">
        <f t="shared" si="32"/>
        <v>2825.5746374999999</v>
      </c>
      <c r="BY40" s="13">
        <f t="shared" si="33"/>
        <v>2825.5746374999999</v>
      </c>
      <c r="BZ40" s="13"/>
      <c r="CA40" s="13"/>
      <c r="CB40" s="13">
        <f t="shared" si="34"/>
        <v>19296.0226</v>
      </c>
      <c r="CC40" s="13">
        <f t="shared" si="35"/>
        <v>19296.0226</v>
      </c>
      <c r="CD40" s="13"/>
      <c r="CE40" s="13"/>
      <c r="CF40" s="13">
        <f t="shared" si="36"/>
        <v>79859.840662499992</v>
      </c>
      <c r="CG40" s="13">
        <f t="shared" si="37"/>
        <v>79859.840662499992</v>
      </c>
      <c r="CH40" s="13"/>
      <c r="CI40" s="13"/>
      <c r="CJ40" s="13">
        <f t="shared" si="38"/>
        <v>14680.979550000002</v>
      </c>
      <c r="CK40" s="13">
        <f t="shared" si="39"/>
        <v>14680.979550000002</v>
      </c>
      <c r="CL40" s="13"/>
      <c r="CM40" s="13"/>
      <c r="CN40" s="13">
        <f t="shared" si="40"/>
        <v>50262.911712500005</v>
      </c>
      <c r="CO40" s="13">
        <f t="shared" si="41"/>
        <v>50262.911712500005</v>
      </c>
      <c r="CP40" s="13"/>
      <c r="CQ40" s="13"/>
      <c r="CR40" s="13">
        <f t="shared" si="42"/>
        <v>10716.4004375</v>
      </c>
      <c r="CS40" s="13">
        <f t="shared" si="43"/>
        <v>10716.4004375</v>
      </c>
      <c r="CT40" s="13"/>
      <c r="CU40" s="13"/>
      <c r="CV40" s="13">
        <f t="shared" si="44"/>
        <v>873.05207499999995</v>
      </c>
      <c r="CW40" s="13">
        <f t="shared" si="45"/>
        <v>873.05207499999995</v>
      </c>
      <c r="CX40" s="13"/>
      <c r="CY40" s="13"/>
      <c r="CZ40" s="13">
        <f t="shared" si="46"/>
        <v>1041.2511374999999</v>
      </c>
      <c r="DA40" s="13">
        <f t="shared" si="47"/>
        <v>1041.2511374999999</v>
      </c>
      <c r="DB40" s="13"/>
      <c r="DC40" s="13"/>
      <c r="DD40" s="13">
        <f t="shared" si="48"/>
        <v>2123.6615750000001</v>
      </c>
      <c r="DE40" s="13">
        <f t="shared" si="49"/>
        <v>2123.6615750000001</v>
      </c>
      <c r="DF40" s="13"/>
      <c r="DG40" s="13"/>
      <c r="DH40" s="13">
        <f t="shared" si="50"/>
        <v>58535.309099999999</v>
      </c>
      <c r="DI40" s="13">
        <f t="shared" si="51"/>
        <v>58535.309099999999</v>
      </c>
      <c r="DJ40" s="13"/>
      <c r="DK40" s="13"/>
      <c r="DL40" s="13">
        <f t="shared" si="52"/>
        <v>2273.372875</v>
      </c>
      <c r="DM40" s="13">
        <f t="shared" si="53"/>
        <v>2273.372875</v>
      </c>
      <c r="DN40" s="13"/>
      <c r="DO40" s="13"/>
      <c r="DP40" s="13">
        <f t="shared" si="54"/>
        <v>4871.9494500000001</v>
      </c>
      <c r="DQ40" s="13">
        <f t="shared" si="55"/>
        <v>4871.9494500000001</v>
      </c>
      <c r="DR40" s="13"/>
      <c r="DS40" s="13"/>
      <c r="DT40" s="13"/>
      <c r="DU40" s="13"/>
      <c r="DW40" s="13"/>
      <c r="DX40" s="13"/>
      <c r="DY40" s="13"/>
    </row>
    <row r="41" spans="1:129" x14ac:dyDescent="0.2">
      <c r="A41" s="11">
        <v>46113</v>
      </c>
      <c r="G41" s="14">
        <v>0</v>
      </c>
      <c r="H41" s="14">
        <v>0</v>
      </c>
      <c r="I41" s="14">
        <v>5435000</v>
      </c>
      <c r="J41" s="14">
        <v>565375</v>
      </c>
      <c r="K41" s="14">
        <f t="shared" si="3"/>
        <v>5435000</v>
      </c>
      <c r="L41" s="14">
        <f t="shared" si="0"/>
        <v>565375</v>
      </c>
      <c r="M41" s="14">
        <f t="shared" si="1"/>
        <v>6000375</v>
      </c>
      <c r="O41" s="13">
        <v>1747643</v>
      </c>
      <c r="P41" s="13">
        <v>181798</v>
      </c>
      <c r="Q41" s="13">
        <f t="shared" si="2"/>
        <v>1929441</v>
      </c>
      <c r="S41" s="13">
        <f t="shared" si="56"/>
        <v>3687356.7274999991</v>
      </c>
      <c r="T41" s="14">
        <f t="shared" si="4"/>
        <v>383576.68993750005</v>
      </c>
      <c r="U41" s="13">
        <f t="shared" si="5"/>
        <v>4070933.4174374994</v>
      </c>
      <c r="W41" s="2">
        <f>K41*$X$6</f>
        <v>299014.67749999999</v>
      </c>
      <c r="X41" s="2">
        <f t="shared" si="6"/>
        <v>31104.953687500001</v>
      </c>
      <c r="Y41" s="2">
        <f t="shared" si="7"/>
        <v>330119.63118749997</v>
      </c>
      <c r="AA41" s="2">
        <f>K41*$AB$6</f>
        <v>365032.5355</v>
      </c>
      <c r="AB41" s="2">
        <f t="shared" si="8"/>
        <v>37972.450737499996</v>
      </c>
      <c r="AC41" s="2">
        <f t="shared" si="9"/>
        <v>403004.98623749998</v>
      </c>
      <c r="AE41" s="13">
        <f>K41*$AF$6</f>
        <v>1336.4665</v>
      </c>
      <c r="AF41" s="13">
        <f t="shared" si="10"/>
        <v>139.0257125</v>
      </c>
      <c r="AG41" s="13">
        <f t="shared" si="11"/>
        <v>1475.4922125000001</v>
      </c>
      <c r="AI41" s="2">
        <f>K41*$AJ$6</f>
        <v>78895.003500000006</v>
      </c>
      <c r="AJ41" s="2">
        <f t="shared" si="12"/>
        <v>8207.0400375000008</v>
      </c>
      <c r="AK41" s="2">
        <f t="shared" si="13"/>
        <v>87102.043537500009</v>
      </c>
      <c r="AM41" s="2">
        <f>K41*$AN$6</f>
        <v>363017.23750000005</v>
      </c>
      <c r="AN41" s="2">
        <f t="shared" si="14"/>
        <v>37762.809687500005</v>
      </c>
      <c r="AO41" s="2">
        <f t="shared" si="15"/>
        <v>400780.04718750005</v>
      </c>
      <c r="AP41" s="13"/>
      <c r="AQ41" s="2">
        <f>K41*$AR$6</f>
        <v>57228.376000000004</v>
      </c>
      <c r="AR41" s="2">
        <f t="shared" si="16"/>
        <v>5953.1725999999999</v>
      </c>
      <c r="AS41" s="2">
        <f t="shared" si="17"/>
        <v>63181.548600000002</v>
      </c>
      <c r="AT41" s="13"/>
      <c r="AU41" s="13">
        <f>K41*$AV$6</f>
        <v>3178.9314999999997</v>
      </c>
      <c r="AV41" s="13">
        <f t="shared" si="18"/>
        <v>330.6878375</v>
      </c>
      <c r="AW41" s="13">
        <f t="shared" si="19"/>
        <v>3509.6193374999998</v>
      </c>
      <c r="AX41" s="13"/>
      <c r="AY41" s="13">
        <f>K41*$AZ$6</f>
        <v>36617.2255</v>
      </c>
      <c r="AZ41" s="13">
        <f t="shared" si="20"/>
        <v>3809.1009875</v>
      </c>
      <c r="BA41" s="13">
        <f t="shared" si="21"/>
        <v>40426.326487500002</v>
      </c>
      <c r="BB41" s="13"/>
      <c r="BC41" s="13">
        <f>K41*$BD$6</f>
        <v>51190.090999999993</v>
      </c>
      <c r="BD41" s="13">
        <f t="shared" si="22"/>
        <v>5325.0409749999999</v>
      </c>
      <c r="BE41" s="13">
        <f t="shared" si="23"/>
        <v>56515.131974999997</v>
      </c>
      <c r="BF41" s="13"/>
      <c r="BG41" s="13">
        <f>K41*$BH$6</f>
        <v>7161.1559999999999</v>
      </c>
      <c r="BH41" s="13">
        <f t="shared" si="24"/>
        <v>744.93809999999996</v>
      </c>
      <c r="BI41" s="13">
        <f t="shared" si="25"/>
        <v>7906.0941000000003</v>
      </c>
      <c r="BJ41" s="13"/>
      <c r="BK41" s="13">
        <f>K41*$BM$6</f>
        <v>37201.487999999998</v>
      </c>
      <c r="BL41" s="13">
        <f t="shared" si="59"/>
        <v>3869.8788</v>
      </c>
      <c r="BM41" s="13">
        <f t="shared" si="27"/>
        <v>41071.366799999996</v>
      </c>
      <c r="BN41" s="13"/>
      <c r="BO41" s="13">
        <f>K41*$BP$6</f>
        <v>2114.2150000000001</v>
      </c>
      <c r="BP41" s="13">
        <f t="shared" si="28"/>
        <v>219.93087500000001</v>
      </c>
      <c r="BQ41" s="13">
        <f t="shared" si="29"/>
        <v>2334.1458750000002</v>
      </c>
      <c r="BR41" s="13"/>
      <c r="BS41" s="13">
        <f>K41*$BT$6</f>
        <v>7472.5815000000002</v>
      </c>
      <c r="BT41" s="13">
        <f t="shared" si="30"/>
        <v>777.33408750000001</v>
      </c>
      <c r="BU41" s="13">
        <f t="shared" si="31"/>
        <v>8249.9155874999997</v>
      </c>
      <c r="BV41" s="13"/>
      <c r="BW41" s="13">
        <f>K41*$BX$6</f>
        <v>27162.499499999998</v>
      </c>
      <c r="BX41" s="13">
        <f t="shared" si="32"/>
        <v>2825.5746374999999</v>
      </c>
      <c r="BY41" s="13">
        <f t="shared" si="33"/>
        <v>29988.0741375</v>
      </c>
      <c r="BZ41" s="13"/>
      <c r="CA41" s="13">
        <f>K41*$CB$6</f>
        <v>185494.37600000002</v>
      </c>
      <c r="CB41" s="13">
        <f t="shared" si="34"/>
        <v>19296.0226</v>
      </c>
      <c r="CC41" s="13">
        <f t="shared" si="35"/>
        <v>204790.39860000001</v>
      </c>
      <c r="CD41" s="13"/>
      <c r="CE41" s="13">
        <f>K41*$CF$6</f>
        <v>767699.72849999997</v>
      </c>
      <c r="CF41" s="13">
        <f t="shared" si="36"/>
        <v>79859.840662499992</v>
      </c>
      <c r="CG41" s="13">
        <f t="shared" si="37"/>
        <v>847559.56916249997</v>
      </c>
      <c r="CH41" s="13"/>
      <c r="CI41" s="13">
        <f>K41*$CJ$6</f>
        <v>141129.55800000002</v>
      </c>
      <c r="CJ41" s="13">
        <f t="shared" si="38"/>
        <v>14680.979550000002</v>
      </c>
      <c r="CK41" s="13">
        <f t="shared" si="39"/>
        <v>155810.53755000001</v>
      </c>
      <c r="CL41" s="13"/>
      <c r="CM41" s="13">
        <f>K41*$CN$6</f>
        <v>483181.82650000002</v>
      </c>
      <c r="CN41" s="13">
        <f t="shared" si="40"/>
        <v>50262.911712500005</v>
      </c>
      <c r="CO41" s="13">
        <f t="shared" si="41"/>
        <v>533444.7382125</v>
      </c>
      <c r="CP41" s="13"/>
      <c r="CQ41" s="13">
        <f>K41*$CR$6</f>
        <v>103017.70749999999</v>
      </c>
      <c r="CR41" s="13">
        <f t="shared" si="42"/>
        <v>10716.4004375</v>
      </c>
      <c r="CS41" s="13">
        <f t="shared" si="43"/>
        <v>113734.1079375</v>
      </c>
      <c r="CT41" s="13"/>
      <c r="CU41" s="13">
        <f>K41*$CV$6</f>
        <v>8392.726999999999</v>
      </c>
      <c r="CV41" s="13">
        <f t="shared" si="44"/>
        <v>873.05207499999995</v>
      </c>
      <c r="CW41" s="13">
        <f t="shared" si="45"/>
        <v>9265.7790749999986</v>
      </c>
      <c r="CX41" s="13"/>
      <c r="CY41" s="13">
        <f>K41*$CZ$6</f>
        <v>10009.639499999999</v>
      </c>
      <c r="CZ41" s="13">
        <f t="shared" si="46"/>
        <v>1041.2511374999999</v>
      </c>
      <c r="DA41" s="13">
        <f t="shared" si="47"/>
        <v>11050.890637499999</v>
      </c>
      <c r="DB41" s="13"/>
      <c r="DC41" s="13">
        <f>K41*$DD$6</f>
        <v>20414.947</v>
      </c>
      <c r="DD41" s="13">
        <f t="shared" si="48"/>
        <v>2123.6615750000001</v>
      </c>
      <c r="DE41" s="13">
        <f t="shared" si="49"/>
        <v>22538.608574999998</v>
      </c>
      <c r="DF41" s="13"/>
      <c r="DG41" s="13">
        <f>K41*$DH$6</f>
        <v>562705.11600000004</v>
      </c>
      <c r="DH41" s="13">
        <f t="shared" si="50"/>
        <v>58535.309099999999</v>
      </c>
      <c r="DI41" s="13">
        <f t="shared" si="51"/>
        <v>621240.42509999999</v>
      </c>
      <c r="DJ41" s="13"/>
      <c r="DK41" s="13">
        <f>K41*$DL$6</f>
        <v>21854.135000000002</v>
      </c>
      <c r="DL41" s="13">
        <f t="shared" si="52"/>
        <v>2273.372875</v>
      </c>
      <c r="DM41" s="13">
        <f t="shared" si="53"/>
        <v>24127.507875000003</v>
      </c>
      <c r="DN41" s="13"/>
      <c r="DO41" s="13">
        <f>K41*$DP$6</f>
        <v>46834.482000000004</v>
      </c>
      <c r="DP41" s="13">
        <f t="shared" si="54"/>
        <v>4871.9494500000001</v>
      </c>
      <c r="DQ41" s="13">
        <f t="shared" si="55"/>
        <v>51706.431450000004</v>
      </c>
      <c r="DR41" s="13"/>
      <c r="DS41" s="13"/>
      <c r="DT41" s="13"/>
      <c r="DU41" s="13"/>
      <c r="DW41" s="13"/>
      <c r="DX41" s="13"/>
      <c r="DY41" s="13"/>
    </row>
    <row r="42" spans="1:129" x14ac:dyDescent="0.2">
      <c r="A42" s="11">
        <v>46296</v>
      </c>
      <c r="H42" s="14">
        <v>0</v>
      </c>
      <c r="J42" s="14">
        <v>429500</v>
      </c>
      <c r="L42" s="14">
        <f t="shared" si="0"/>
        <v>429500</v>
      </c>
      <c r="M42" s="14">
        <f t="shared" si="1"/>
        <v>429500</v>
      </c>
      <c r="P42" s="13">
        <v>138107</v>
      </c>
      <c r="Q42" s="13">
        <f t="shared" si="2"/>
        <v>138107</v>
      </c>
      <c r="S42" s="13"/>
      <c r="T42" s="14">
        <f t="shared" si="4"/>
        <v>291392.77174999996</v>
      </c>
      <c r="U42" s="13">
        <f t="shared" si="5"/>
        <v>291392.77174999996</v>
      </c>
      <c r="W42" s="2"/>
      <c r="X42" s="2">
        <f t="shared" si="6"/>
        <v>23629.586750000002</v>
      </c>
      <c r="Y42" s="2">
        <f t="shared" si="7"/>
        <v>23629.586750000002</v>
      </c>
      <c r="AA42" s="2"/>
      <c r="AB42" s="2">
        <f t="shared" si="8"/>
        <v>28846.637349999997</v>
      </c>
      <c r="AC42" s="2">
        <f t="shared" si="9"/>
        <v>28846.637349999997</v>
      </c>
      <c r="AF42" s="13">
        <f t="shared" si="10"/>
        <v>105.61405000000001</v>
      </c>
      <c r="AG42" s="13">
        <f t="shared" si="11"/>
        <v>105.61405000000001</v>
      </c>
      <c r="AI42" s="2"/>
      <c r="AJ42" s="2">
        <f t="shared" si="12"/>
        <v>6234.6649500000003</v>
      </c>
      <c r="AK42" s="2">
        <f t="shared" si="13"/>
        <v>6234.6649500000003</v>
      </c>
      <c r="AM42" s="2"/>
      <c r="AN42" s="2">
        <f t="shared" si="14"/>
        <v>28687.378750000003</v>
      </c>
      <c r="AO42" s="2">
        <f t="shared" si="15"/>
        <v>28687.378750000003</v>
      </c>
      <c r="AP42" s="13"/>
      <c r="AQ42" s="2"/>
      <c r="AR42" s="2">
        <f t="shared" si="16"/>
        <v>4522.4632000000001</v>
      </c>
      <c r="AS42" s="2">
        <f t="shared" si="17"/>
        <v>4522.4632000000001</v>
      </c>
      <c r="AT42" s="13"/>
      <c r="AU42" s="13"/>
      <c r="AV42" s="13">
        <f t="shared" si="18"/>
        <v>251.21454999999997</v>
      </c>
      <c r="AW42" s="13">
        <f t="shared" si="19"/>
        <v>251.21454999999997</v>
      </c>
      <c r="AX42" s="13"/>
      <c r="AY42" s="13"/>
      <c r="AZ42" s="13">
        <f t="shared" si="20"/>
        <v>2893.6703499999999</v>
      </c>
      <c r="BA42" s="13">
        <f t="shared" si="21"/>
        <v>2893.6703499999999</v>
      </c>
      <c r="BB42" s="13"/>
      <c r="BC42" s="13"/>
      <c r="BD42" s="13">
        <f t="shared" si="22"/>
        <v>4045.2886999999996</v>
      </c>
      <c r="BE42" s="13">
        <f t="shared" si="23"/>
        <v>4045.2886999999996</v>
      </c>
      <c r="BF42" s="13"/>
      <c r="BG42" s="13"/>
      <c r="BH42" s="13">
        <f t="shared" si="24"/>
        <v>565.90919999999994</v>
      </c>
      <c r="BI42" s="13">
        <f t="shared" si="25"/>
        <v>565.90919999999994</v>
      </c>
      <c r="BJ42" s="13"/>
      <c r="BK42" s="13"/>
      <c r="BL42" s="13">
        <f t="shared" si="59"/>
        <v>2939.8415999999997</v>
      </c>
      <c r="BM42" s="13">
        <f t="shared" si="27"/>
        <v>2939.8415999999997</v>
      </c>
      <c r="BN42" s="13"/>
      <c r="BO42" s="13"/>
      <c r="BP42" s="13">
        <f t="shared" si="28"/>
        <v>167.07550000000001</v>
      </c>
      <c r="BQ42" s="13">
        <f t="shared" si="29"/>
        <v>167.07550000000001</v>
      </c>
      <c r="BR42" s="13"/>
      <c r="BS42" s="13"/>
      <c r="BT42" s="13">
        <f t="shared" si="30"/>
        <v>590.51954999999998</v>
      </c>
      <c r="BU42" s="13">
        <f t="shared" si="31"/>
        <v>590.51954999999998</v>
      </c>
      <c r="BV42" s="13"/>
      <c r="BW42" s="13"/>
      <c r="BX42" s="13">
        <f t="shared" si="32"/>
        <v>2146.51215</v>
      </c>
      <c r="BY42" s="13">
        <f t="shared" si="33"/>
        <v>2146.51215</v>
      </c>
      <c r="BZ42" s="13"/>
      <c r="CA42" s="13"/>
      <c r="CB42" s="13">
        <f t="shared" si="34"/>
        <v>14658.663200000001</v>
      </c>
      <c r="CC42" s="13">
        <f t="shared" si="35"/>
        <v>14658.663200000001</v>
      </c>
      <c r="CD42" s="13"/>
      <c r="CE42" s="13"/>
      <c r="CF42" s="13">
        <f t="shared" si="36"/>
        <v>60667.347449999994</v>
      </c>
      <c r="CG42" s="13">
        <f t="shared" si="37"/>
        <v>60667.347449999994</v>
      </c>
      <c r="CH42" s="13"/>
      <c r="CI42" s="13"/>
      <c r="CJ42" s="13">
        <f t="shared" si="38"/>
        <v>11152.740600000001</v>
      </c>
      <c r="CK42" s="13">
        <f t="shared" si="39"/>
        <v>11152.740600000001</v>
      </c>
      <c r="CL42" s="13"/>
      <c r="CM42" s="13"/>
      <c r="CN42" s="13">
        <f t="shared" si="40"/>
        <v>38183.366050000004</v>
      </c>
      <c r="CO42" s="13">
        <f t="shared" si="41"/>
        <v>38183.366050000004</v>
      </c>
      <c r="CP42" s="13"/>
      <c r="CQ42" s="13"/>
      <c r="CR42" s="13">
        <f t="shared" si="42"/>
        <v>8140.9577499999996</v>
      </c>
      <c r="CS42" s="13">
        <f t="shared" si="43"/>
        <v>8140.9577499999996</v>
      </c>
      <c r="CT42" s="13"/>
      <c r="CU42" s="13"/>
      <c r="CV42" s="13">
        <f t="shared" si="44"/>
        <v>663.23389999999995</v>
      </c>
      <c r="CW42" s="13">
        <f t="shared" si="45"/>
        <v>663.23389999999995</v>
      </c>
      <c r="CX42" s="13"/>
      <c r="CY42" s="13"/>
      <c r="CZ42" s="13">
        <f t="shared" si="46"/>
        <v>791.01014999999995</v>
      </c>
      <c r="DA42" s="13">
        <f t="shared" si="47"/>
        <v>791.01014999999995</v>
      </c>
      <c r="DB42" s="13"/>
      <c r="DC42" s="13"/>
      <c r="DD42" s="13">
        <f t="shared" si="48"/>
        <v>1613.2879</v>
      </c>
      <c r="DE42" s="13">
        <f t="shared" si="49"/>
        <v>1613.2879</v>
      </c>
      <c r="DF42" s="13"/>
      <c r="DG42" s="13"/>
      <c r="DH42" s="13">
        <f t="shared" si="50"/>
        <v>44467.681199999999</v>
      </c>
      <c r="DI42" s="13">
        <f t="shared" si="51"/>
        <v>44467.681199999999</v>
      </c>
      <c r="DJ42" s="13"/>
      <c r="DK42" s="13"/>
      <c r="DL42" s="13">
        <f t="shared" si="52"/>
        <v>1727.0195000000001</v>
      </c>
      <c r="DM42" s="13">
        <f t="shared" si="53"/>
        <v>1727.0195000000001</v>
      </c>
      <c r="DN42" s="13"/>
      <c r="DO42" s="13"/>
      <c r="DP42" s="13">
        <f t="shared" si="54"/>
        <v>3701.0873999999999</v>
      </c>
      <c r="DQ42" s="13">
        <f t="shared" si="55"/>
        <v>3701.0873999999999</v>
      </c>
      <c r="DR42" s="13"/>
      <c r="DS42" s="13"/>
      <c r="DT42" s="13"/>
      <c r="DU42" s="13"/>
      <c r="DW42" s="13"/>
      <c r="DX42" s="13"/>
      <c r="DY42" s="13"/>
    </row>
    <row r="43" spans="1:129" x14ac:dyDescent="0.2">
      <c r="A43" s="11">
        <v>46478</v>
      </c>
      <c r="G43" s="14">
        <v>0</v>
      </c>
      <c r="H43" s="14">
        <v>0</v>
      </c>
      <c r="I43" s="14">
        <v>5580000</v>
      </c>
      <c r="J43" s="14">
        <v>429500</v>
      </c>
      <c r="K43" s="14">
        <f t="shared" si="3"/>
        <v>5580000</v>
      </c>
      <c r="L43" s="14">
        <f t="shared" si="0"/>
        <v>429500</v>
      </c>
      <c r="M43" s="14">
        <f t="shared" si="1"/>
        <v>6009500</v>
      </c>
      <c r="O43" s="13">
        <v>1794269</v>
      </c>
      <c r="P43" s="13">
        <v>138107</v>
      </c>
      <c r="Q43" s="13">
        <f t="shared" si="2"/>
        <v>1932376</v>
      </c>
      <c r="S43" s="13">
        <f t="shared" si="56"/>
        <v>3785731.4699999997</v>
      </c>
      <c r="T43" s="14">
        <f t="shared" si="4"/>
        <v>291392.77174999996</v>
      </c>
      <c r="U43" s="13">
        <f t="shared" si="5"/>
        <v>4077124.2417499996</v>
      </c>
      <c r="W43" s="2">
        <f>K43*$X$6</f>
        <v>306992.07</v>
      </c>
      <c r="X43" s="2">
        <f t="shared" si="6"/>
        <v>23629.586750000002</v>
      </c>
      <c r="Y43" s="2">
        <f t="shared" si="7"/>
        <v>330621.65675000002</v>
      </c>
      <c r="AA43" s="2">
        <f>K43*$AB$6</f>
        <v>374771.21399999998</v>
      </c>
      <c r="AB43" s="2">
        <f t="shared" si="8"/>
        <v>28846.637349999997</v>
      </c>
      <c r="AC43" s="2">
        <f t="shared" si="9"/>
        <v>403617.85134999995</v>
      </c>
      <c r="AE43" s="13">
        <f>K43*$AF$6</f>
        <v>1372.1220000000001</v>
      </c>
      <c r="AF43" s="13">
        <f t="shared" si="10"/>
        <v>105.61405000000001</v>
      </c>
      <c r="AG43" s="13">
        <f t="shared" si="11"/>
        <v>1477.73605</v>
      </c>
      <c r="AI43" s="2">
        <f>K43*$AJ$6</f>
        <v>80999.838000000003</v>
      </c>
      <c r="AJ43" s="2">
        <f t="shared" si="12"/>
        <v>6234.6649500000003</v>
      </c>
      <c r="AK43" s="2">
        <f t="shared" si="13"/>
        <v>87234.502950000009</v>
      </c>
      <c r="AM43" s="2">
        <f>K43*$AN$6</f>
        <v>372702.15</v>
      </c>
      <c r="AN43" s="2">
        <f t="shared" si="14"/>
        <v>28687.378750000003</v>
      </c>
      <c r="AO43" s="2">
        <f t="shared" si="15"/>
        <v>401389.52875000006</v>
      </c>
      <c r="AP43" s="13"/>
      <c r="AQ43" s="2">
        <f>K43*$AR$6</f>
        <v>58755.167999999998</v>
      </c>
      <c r="AR43" s="2">
        <f t="shared" si="16"/>
        <v>4522.4632000000001</v>
      </c>
      <c r="AS43" s="2">
        <f t="shared" si="17"/>
        <v>63277.631199999996</v>
      </c>
      <c r="AT43" s="13"/>
      <c r="AU43" s="13">
        <f>K43*$AV$6</f>
        <v>3263.7419999999997</v>
      </c>
      <c r="AV43" s="13">
        <f t="shared" si="18"/>
        <v>251.21454999999997</v>
      </c>
      <c r="AW43" s="13">
        <f t="shared" si="19"/>
        <v>3514.9565499999999</v>
      </c>
      <c r="AX43" s="13"/>
      <c r="AY43" s="13">
        <f>K43*$AZ$6</f>
        <v>37594.133999999998</v>
      </c>
      <c r="AZ43" s="13">
        <f t="shared" si="20"/>
        <v>2893.6703499999999</v>
      </c>
      <c r="BA43" s="13">
        <f t="shared" si="21"/>
        <v>40487.804349999999</v>
      </c>
      <c r="BB43" s="13"/>
      <c r="BC43" s="13">
        <f>K43*$BD$6</f>
        <v>52555.787999999993</v>
      </c>
      <c r="BD43" s="13">
        <f t="shared" si="22"/>
        <v>4045.2886999999996</v>
      </c>
      <c r="BE43" s="13">
        <f t="shared" si="23"/>
        <v>56601.076699999991</v>
      </c>
      <c r="BF43" s="13"/>
      <c r="BG43" s="13">
        <f>K43*$BH$6</f>
        <v>7352.2079999999996</v>
      </c>
      <c r="BH43" s="13">
        <f t="shared" si="24"/>
        <v>565.90919999999994</v>
      </c>
      <c r="BI43" s="13">
        <f t="shared" si="25"/>
        <v>7918.1171999999997</v>
      </c>
      <c r="BJ43" s="13"/>
      <c r="BK43" s="13">
        <f>K43*$BM$6</f>
        <v>38193.983999999997</v>
      </c>
      <c r="BL43" s="13">
        <f t="shared" si="59"/>
        <v>2939.8415999999997</v>
      </c>
      <c r="BM43" s="13">
        <f t="shared" si="27"/>
        <v>41133.825599999996</v>
      </c>
      <c r="BN43" s="13"/>
      <c r="BO43" s="13">
        <f>K43*$BP$6</f>
        <v>2170.6200000000003</v>
      </c>
      <c r="BP43" s="13">
        <f t="shared" si="28"/>
        <v>167.07550000000001</v>
      </c>
      <c r="BQ43" s="13">
        <f t="shared" si="29"/>
        <v>2337.6955000000003</v>
      </c>
      <c r="BR43" s="13"/>
      <c r="BS43" s="13">
        <f>K43*$BT$6</f>
        <v>7671.942</v>
      </c>
      <c r="BT43" s="13">
        <f t="shared" si="30"/>
        <v>590.51954999999998</v>
      </c>
      <c r="BU43" s="13">
        <f t="shared" si="31"/>
        <v>8262.46155</v>
      </c>
      <c r="BV43" s="13"/>
      <c r="BW43" s="13">
        <f>K43*$BX$6</f>
        <v>27887.166000000001</v>
      </c>
      <c r="BX43" s="13">
        <f t="shared" si="32"/>
        <v>2146.51215</v>
      </c>
      <c r="BY43" s="13">
        <f t="shared" si="33"/>
        <v>30033.67815</v>
      </c>
      <c r="BZ43" s="13"/>
      <c r="CA43" s="13">
        <f>K43*$CB$6</f>
        <v>190443.16800000001</v>
      </c>
      <c r="CB43" s="13">
        <f t="shared" si="34"/>
        <v>14658.663200000001</v>
      </c>
      <c r="CC43" s="13">
        <f t="shared" si="35"/>
        <v>205101.83120000002</v>
      </c>
      <c r="CD43" s="13"/>
      <c r="CE43" s="13">
        <f>K43*$CF$6</f>
        <v>788181.13799999992</v>
      </c>
      <c r="CF43" s="13">
        <f t="shared" si="36"/>
        <v>60667.347449999994</v>
      </c>
      <c r="CG43" s="13">
        <f t="shared" si="37"/>
        <v>848848.48544999992</v>
      </c>
      <c r="CH43" s="13"/>
      <c r="CI43" s="13">
        <f>K43*$CJ$6</f>
        <v>144894.74400000001</v>
      </c>
      <c r="CJ43" s="13">
        <f t="shared" si="38"/>
        <v>11152.740600000001</v>
      </c>
      <c r="CK43" s="13">
        <f t="shared" si="39"/>
        <v>156047.4846</v>
      </c>
      <c r="CL43" s="13"/>
      <c r="CM43" s="13">
        <f>K43*$CN$6</f>
        <v>496072.60200000001</v>
      </c>
      <c r="CN43" s="13">
        <f t="shared" si="40"/>
        <v>38183.366050000004</v>
      </c>
      <c r="CO43" s="13">
        <f t="shared" si="41"/>
        <v>534255.96805000002</v>
      </c>
      <c r="CP43" s="13"/>
      <c r="CQ43" s="13">
        <f>K43*$CR$6</f>
        <v>105766.11</v>
      </c>
      <c r="CR43" s="13">
        <f t="shared" si="42"/>
        <v>8140.9577499999996</v>
      </c>
      <c r="CS43" s="13">
        <f t="shared" si="43"/>
        <v>113907.06775</v>
      </c>
      <c r="CT43" s="13"/>
      <c r="CU43" s="13">
        <f>K43*$CV$6</f>
        <v>8616.6360000000004</v>
      </c>
      <c r="CV43" s="13">
        <f t="shared" si="44"/>
        <v>663.23389999999995</v>
      </c>
      <c r="CW43" s="13">
        <f t="shared" si="45"/>
        <v>9279.8698999999997</v>
      </c>
      <c r="CX43" s="13"/>
      <c r="CY43" s="13">
        <f>K43*$CZ$6</f>
        <v>10276.686</v>
      </c>
      <c r="CZ43" s="13">
        <f t="shared" si="46"/>
        <v>791.01014999999995</v>
      </c>
      <c r="DA43" s="13">
        <f t="shared" si="47"/>
        <v>11067.69615</v>
      </c>
      <c r="DB43" s="13"/>
      <c r="DC43" s="13">
        <f>K43*$DD$6</f>
        <v>20959.595999999998</v>
      </c>
      <c r="DD43" s="13">
        <f t="shared" si="48"/>
        <v>1613.2879</v>
      </c>
      <c r="DE43" s="13">
        <f t="shared" si="49"/>
        <v>22572.883899999997</v>
      </c>
      <c r="DF43" s="13"/>
      <c r="DG43" s="13">
        <f>K43*$DH$6</f>
        <v>577717.48800000001</v>
      </c>
      <c r="DH43" s="13">
        <f t="shared" si="50"/>
        <v>44467.681199999999</v>
      </c>
      <c r="DI43" s="13">
        <f t="shared" si="51"/>
        <v>622185.1692</v>
      </c>
      <c r="DJ43" s="13"/>
      <c r="DK43" s="13">
        <f>K43*$DL$6</f>
        <v>22437.18</v>
      </c>
      <c r="DL43" s="13">
        <f t="shared" si="52"/>
        <v>1727.0195000000001</v>
      </c>
      <c r="DM43" s="13">
        <f t="shared" si="53"/>
        <v>24164.199499999999</v>
      </c>
      <c r="DN43" s="13"/>
      <c r="DO43" s="13">
        <f>K43*$DP$6</f>
        <v>48083.976000000002</v>
      </c>
      <c r="DP43" s="13">
        <f t="shared" si="54"/>
        <v>3701.0873999999999</v>
      </c>
      <c r="DQ43" s="13">
        <f t="shared" si="55"/>
        <v>51785.063399999999</v>
      </c>
      <c r="DR43" s="13"/>
      <c r="DS43" s="13"/>
      <c r="DT43" s="13"/>
      <c r="DU43" s="13"/>
      <c r="DW43" s="13"/>
      <c r="DX43" s="13"/>
      <c r="DY43" s="13"/>
    </row>
    <row r="44" spans="1:129" x14ac:dyDescent="0.2">
      <c r="A44" s="11">
        <v>46661</v>
      </c>
      <c r="H44" s="14">
        <v>0</v>
      </c>
      <c r="J44" s="14">
        <v>290000</v>
      </c>
      <c r="L44" s="14">
        <f t="shared" si="0"/>
        <v>290000</v>
      </c>
      <c r="M44" s="14">
        <f t="shared" si="1"/>
        <v>290000</v>
      </c>
      <c r="P44" s="13">
        <v>93251</v>
      </c>
      <c r="Q44" s="13">
        <f t="shared" si="2"/>
        <v>93251</v>
      </c>
      <c r="S44" s="13"/>
      <c r="T44" s="14">
        <f t="shared" si="4"/>
        <v>196749.48499999999</v>
      </c>
      <c r="U44" s="13">
        <f t="shared" si="5"/>
        <v>196749.48499999999</v>
      </c>
      <c r="W44" s="2"/>
      <c r="X44" s="2">
        <f t="shared" si="6"/>
        <v>15954.785000000002</v>
      </c>
      <c r="Y44" s="2">
        <f t="shared" si="7"/>
        <v>15954.785000000002</v>
      </c>
      <c r="AA44" s="2"/>
      <c r="AB44" s="2">
        <f t="shared" si="8"/>
        <v>19477.357</v>
      </c>
      <c r="AC44" s="2">
        <f t="shared" si="9"/>
        <v>19477.357</v>
      </c>
      <c r="AF44" s="13">
        <f t="shared" si="10"/>
        <v>71.311000000000007</v>
      </c>
      <c r="AG44" s="13">
        <f t="shared" si="11"/>
        <v>71.311000000000007</v>
      </c>
      <c r="AI44" s="2"/>
      <c r="AJ44" s="2">
        <f t="shared" si="12"/>
        <v>4209.6689999999999</v>
      </c>
      <c r="AK44" s="2">
        <f t="shared" si="13"/>
        <v>4209.6689999999999</v>
      </c>
      <c r="AM44" s="2"/>
      <c r="AN44" s="2">
        <f t="shared" si="14"/>
        <v>19369.825000000001</v>
      </c>
      <c r="AO44" s="2">
        <f t="shared" si="15"/>
        <v>19369.825000000001</v>
      </c>
      <c r="AP44" s="13"/>
      <c r="AQ44" s="2"/>
      <c r="AR44" s="2">
        <f t="shared" si="16"/>
        <v>3053.5839999999998</v>
      </c>
      <c r="AS44" s="2">
        <f t="shared" si="17"/>
        <v>3053.5839999999998</v>
      </c>
      <c r="AT44" s="13"/>
      <c r="AU44" s="13"/>
      <c r="AV44" s="13">
        <f t="shared" si="18"/>
        <v>169.62099999999998</v>
      </c>
      <c r="AW44" s="13">
        <f t="shared" si="19"/>
        <v>169.62099999999998</v>
      </c>
      <c r="AX44" s="13"/>
      <c r="AY44" s="13"/>
      <c r="AZ44" s="13">
        <f t="shared" si="20"/>
        <v>1953.817</v>
      </c>
      <c r="BA44" s="13">
        <f t="shared" si="21"/>
        <v>1953.817</v>
      </c>
      <c r="BB44" s="13"/>
      <c r="BC44" s="13"/>
      <c r="BD44" s="13">
        <f t="shared" si="22"/>
        <v>2731.3939999999998</v>
      </c>
      <c r="BE44" s="13">
        <f t="shared" si="23"/>
        <v>2731.3939999999998</v>
      </c>
      <c r="BF44" s="13"/>
      <c r="BG44" s="13"/>
      <c r="BH44" s="13">
        <f t="shared" si="24"/>
        <v>382.10399999999998</v>
      </c>
      <c r="BI44" s="13">
        <f t="shared" si="25"/>
        <v>382.10399999999998</v>
      </c>
      <c r="BJ44" s="13"/>
      <c r="BK44" s="13"/>
      <c r="BL44" s="13">
        <f t="shared" si="59"/>
        <v>1984.992</v>
      </c>
      <c r="BM44" s="13">
        <f t="shared" si="27"/>
        <v>1984.992</v>
      </c>
      <c r="BN44" s="13"/>
      <c r="BO44" s="13"/>
      <c r="BP44" s="13">
        <f t="shared" si="28"/>
        <v>112.81</v>
      </c>
      <c r="BQ44" s="13">
        <f t="shared" si="29"/>
        <v>112.81</v>
      </c>
      <c r="BR44" s="13"/>
      <c r="BS44" s="13"/>
      <c r="BT44" s="13">
        <f t="shared" si="30"/>
        <v>398.721</v>
      </c>
      <c r="BU44" s="13">
        <f t="shared" si="31"/>
        <v>398.721</v>
      </c>
      <c r="BV44" s="13"/>
      <c r="BW44" s="13"/>
      <c r="BX44" s="13">
        <f t="shared" si="32"/>
        <v>1449.3329999999999</v>
      </c>
      <c r="BY44" s="13">
        <f t="shared" si="33"/>
        <v>1449.3329999999999</v>
      </c>
      <c r="BZ44" s="13"/>
      <c r="CA44" s="13"/>
      <c r="CB44" s="13">
        <f t="shared" si="34"/>
        <v>9897.5840000000007</v>
      </c>
      <c r="CC44" s="13">
        <f t="shared" si="35"/>
        <v>9897.5840000000007</v>
      </c>
      <c r="CD44" s="13"/>
      <c r="CE44" s="13"/>
      <c r="CF44" s="13">
        <f t="shared" si="36"/>
        <v>40962.818999999996</v>
      </c>
      <c r="CG44" s="13">
        <f t="shared" si="37"/>
        <v>40962.818999999996</v>
      </c>
      <c r="CH44" s="13"/>
      <c r="CI44" s="13"/>
      <c r="CJ44" s="13">
        <f t="shared" si="38"/>
        <v>7530.3720000000003</v>
      </c>
      <c r="CK44" s="13">
        <f t="shared" si="39"/>
        <v>7530.3720000000003</v>
      </c>
      <c r="CL44" s="13"/>
      <c r="CM44" s="13"/>
      <c r="CN44" s="13">
        <f t="shared" si="40"/>
        <v>25781.551000000003</v>
      </c>
      <c r="CO44" s="13">
        <f t="shared" si="41"/>
        <v>25781.551000000003</v>
      </c>
      <c r="CP44" s="13"/>
      <c r="CQ44" s="13"/>
      <c r="CR44" s="13">
        <f t="shared" si="42"/>
        <v>5496.8049999999994</v>
      </c>
      <c r="CS44" s="13">
        <f t="shared" si="43"/>
        <v>5496.8049999999994</v>
      </c>
      <c r="CT44" s="13"/>
      <c r="CU44" s="13"/>
      <c r="CV44" s="13">
        <f t="shared" si="44"/>
        <v>447.81799999999998</v>
      </c>
      <c r="CW44" s="13">
        <f t="shared" si="45"/>
        <v>447.81799999999998</v>
      </c>
      <c r="CX44" s="13"/>
      <c r="CY44" s="13"/>
      <c r="CZ44" s="13">
        <f t="shared" si="46"/>
        <v>534.09299999999996</v>
      </c>
      <c r="DA44" s="13">
        <f t="shared" si="47"/>
        <v>534.09299999999996</v>
      </c>
      <c r="DB44" s="13"/>
      <c r="DC44" s="13"/>
      <c r="DD44" s="13">
        <f t="shared" si="48"/>
        <v>1089.298</v>
      </c>
      <c r="DE44" s="13">
        <f t="shared" si="49"/>
        <v>1089.298</v>
      </c>
      <c r="DF44" s="13"/>
      <c r="DG44" s="13"/>
      <c r="DH44" s="13">
        <f t="shared" si="50"/>
        <v>30024.744000000002</v>
      </c>
      <c r="DI44" s="13">
        <f t="shared" si="51"/>
        <v>30024.744000000002</v>
      </c>
      <c r="DJ44" s="13"/>
      <c r="DK44" s="13"/>
      <c r="DL44" s="13">
        <f t="shared" si="52"/>
        <v>1166.0900000000001</v>
      </c>
      <c r="DM44" s="13">
        <f t="shared" si="53"/>
        <v>1166.0900000000001</v>
      </c>
      <c r="DN44" s="13"/>
      <c r="DO44" s="13"/>
      <c r="DP44" s="13">
        <f t="shared" si="54"/>
        <v>2498.9880000000003</v>
      </c>
      <c r="DQ44" s="13">
        <f t="shared" si="55"/>
        <v>2498.9880000000003</v>
      </c>
      <c r="DR44" s="13"/>
      <c r="DS44" s="13"/>
      <c r="DT44" s="13"/>
      <c r="DU44" s="13"/>
      <c r="DW44" s="13"/>
      <c r="DX44" s="13"/>
      <c r="DY44" s="13"/>
    </row>
    <row r="45" spans="1:129" x14ac:dyDescent="0.2">
      <c r="A45" s="11">
        <v>46844</v>
      </c>
      <c r="G45" s="14">
        <v>0</v>
      </c>
      <c r="H45" s="14">
        <v>0</v>
      </c>
      <c r="I45" s="14">
        <v>5725000</v>
      </c>
      <c r="J45" s="14">
        <v>290000</v>
      </c>
      <c r="K45" s="14">
        <f t="shared" si="3"/>
        <v>5725000</v>
      </c>
      <c r="L45" s="14">
        <f t="shared" si="0"/>
        <v>290000</v>
      </c>
      <c r="M45" s="14">
        <f t="shared" si="1"/>
        <v>6015000</v>
      </c>
      <c r="O45" s="13">
        <v>1840894</v>
      </c>
      <c r="P45" s="13">
        <v>93251</v>
      </c>
      <c r="Q45" s="13">
        <f t="shared" si="2"/>
        <v>1934145</v>
      </c>
      <c r="S45" s="13">
        <f t="shared" si="56"/>
        <v>3884106.2124999999</v>
      </c>
      <c r="T45" s="14">
        <f t="shared" si="4"/>
        <v>196749.48499999999</v>
      </c>
      <c r="U45" s="13">
        <f t="shared" si="5"/>
        <v>4080855.6974999998</v>
      </c>
      <c r="W45" s="2">
        <f>K45*$X$6</f>
        <v>314969.46250000002</v>
      </c>
      <c r="X45" s="2">
        <f t="shared" si="6"/>
        <v>15954.785000000002</v>
      </c>
      <c r="Y45" s="2">
        <f t="shared" si="7"/>
        <v>330924.2475</v>
      </c>
      <c r="AA45" s="2">
        <f>K45*$AB$6</f>
        <v>384509.89249999996</v>
      </c>
      <c r="AB45" s="2">
        <f t="shared" si="8"/>
        <v>19477.357</v>
      </c>
      <c r="AC45" s="2">
        <f t="shared" si="9"/>
        <v>403987.24949999998</v>
      </c>
      <c r="AE45" s="13">
        <f>K45*$AF$6</f>
        <v>1407.7775000000001</v>
      </c>
      <c r="AF45" s="13">
        <f t="shared" si="10"/>
        <v>71.311000000000007</v>
      </c>
      <c r="AG45" s="13">
        <f t="shared" si="11"/>
        <v>1479.0885000000001</v>
      </c>
      <c r="AI45" s="2">
        <f>K45*$AJ$6</f>
        <v>83104.672500000001</v>
      </c>
      <c r="AJ45" s="2">
        <f t="shared" si="12"/>
        <v>4209.6689999999999</v>
      </c>
      <c r="AK45" s="2">
        <f t="shared" si="13"/>
        <v>87314.341499999995</v>
      </c>
      <c r="AM45" s="2">
        <f>K45*$AN$6</f>
        <v>382387.0625</v>
      </c>
      <c r="AN45" s="2">
        <f t="shared" si="14"/>
        <v>19369.825000000001</v>
      </c>
      <c r="AO45" s="2">
        <f t="shared" si="15"/>
        <v>401756.88750000001</v>
      </c>
      <c r="AP45" s="13"/>
      <c r="AQ45" s="2">
        <f>K45*$AR$6</f>
        <v>60281.96</v>
      </c>
      <c r="AR45" s="2">
        <f t="shared" si="16"/>
        <v>3053.5839999999998</v>
      </c>
      <c r="AS45" s="2">
        <f t="shared" si="17"/>
        <v>63335.544000000002</v>
      </c>
      <c r="AT45" s="13"/>
      <c r="AU45" s="13">
        <f>K45*$AV$6</f>
        <v>3348.5524999999998</v>
      </c>
      <c r="AV45" s="13">
        <f t="shared" si="18"/>
        <v>169.62099999999998</v>
      </c>
      <c r="AW45" s="13">
        <f t="shared" si="19"/>
        <v>3518.1734999999999</v>
      </c>
      <c r="AX45" s="13"/>
      <c r="AY45" s="13">
        <f>K45*$AZ$6</f>
        <v>38571.042499999996</v>
      </c>
      <c r="AZ45" s="13">
        <f t="shared" si="20"/>
        <v>1953.817</v>
      </c>
      <c r="BA45" s="13">
        <f t="shared" si="21"/>
        <v>40524.859499999999</v>
      </c>
      <c r="BB45" s="13"/>
      <c r="BC45" s="13">
        <f>K45*$BD$6</f>
        <v>53921.484999999993</v>
      </c>
      <c r="BD45" s="13">
        <f t="shared" si="22"/>
        <v>2731.3939999999998</v>
      </c>
      <c r="BE45" s="13">
        <f t="shared" si="23"/>
        <v>56652.878999999994</v>
      </c>
      <c r="BF45" s="13"/>
      <c r="BG45" s="13">
        <f>K45*$BH$6</f>
        <v>7543.2599999999993</v>
      </c>
      <c r="BH45" s="13">
        <f t="shared" si="24"/>
        <v>382.10399999999998</v>
      </c>
      <c r="BI45" s="13">
        <f t="shared" si="25"/>
        <v>7925.3639999999996</v>
      </c>
      <c r="BJ45" s="13"/>
      <c r="BK45" s="13">
        <f>K45*$BM$6</f>
        <v>39186.479999999996</v>
      </c>
      <c r="BL45" s="13">
        <f t="shared" si="59"/>
        <v>1984.992</v>
      </c>
      <c r="BM45" s="13">
        <f t="shared" si="27"/>
        <v>41171.471999999994</v>
      </c>
      <c r="BN45" s="13"/>
      <c r="BO45" s="13">
        <f>K45*$BP$6</f>
        <v>2227.0250000000001</v>
      </c>
      <c r="BP45" s="13">
        <f t="shared" si="28"/>
        <v>112.81</v>
      </c>
      <c r="BQ45" s="13">
        <f t="shared" si="29"/>
        <v>2339.835</v>
      </c>
      <c r="BR45" s="13"/>
      <c r="BS45" s="13">
        <f>K45*$BT$6</f>
        <v>7871.3025000000007</v>
      </c>
      <c r="BT45" s="13">
        <f t="shared" si="30"/>
        <v>398.721</v>
      </c>
      <c r="BU45" s="13">
        <f t="shared" si="31"/>
        <v>8270.0235000000011</v>
      </c>
      <c r="BV45" s="13"/>
      <c r="BW45" s="13">
        <f>K45*$BX$6</f>
        <v>28611.8325</v>
      </c>
      <c r="BX45" s="13">
        <f t="shared" si="32"/>
        <v>1449.3329999999999</v>
      </c>
      <c r="BY45" s="13">
        <f t="shared" si="33"/>
        <v>30061.165499999999</v>
      </c>
      <c r="BZ45" s="13"/>
      <c r="CA45" s="13">
        <f>K45*$CB$6</f>
        <v>195391.96000000002</v>
      </c>
      <c r="CB45" s="13">
        <f t="shared" si="34"/>
        <v>9897.5840000000007</v>
      </c>
      <c r="CC45" s="13">
        <f t="shared" si="35"/>
        <v>205289.54400000002</v>
      </c>
      <c r="CD45" s="13"/>
      <c r="CE45" s="13">
        <f>K45*$CF$6</f>
        <v>808662.54749999999</v>
      </c>
      <c r="CF45" s="13">
        <f t="shared" si="36"/>
        <v>40962.818999999996</v>
      </c>
      <c r="CG45" s="13">
        <f t="shared" si="37"/>
        <v>849625.3665</v>
      </c>
      <c r="CH45" s="13"/>
      <c r="CI45" s="13">
        <f>K45*$CJ$6</f>
        <v>148659.93000000002</v>
      </c>
      <c r="CJ45" s="13">
        <f t="shared" si="38"/>
        <v>7530.3720000000003</v>
      </c>
      <c r="CK45" s="13">
        <f t="shared" si="39"/>
        <v>156190.30200000003</v>
      </c>
      <c r="CL45" s="13"/>
      <c r="CM45" s="13">
        <f>K45*$CN$6</f>
        <v>508963.37750000006</v>
      </c>
      <c r="CN45" s="13">
        <f t="shared" si="40"/>
        <v>25781.551000000003</v>
      </c>
      <c r="CO45" s="13">
        <f t="shared" si="41"/>
        <v>534744.92850000004</v>
      </c>
      <c r="CP45" s="13"/>
      <c r="CQ45" s="13">
        <f>K45*$CR$6</f>
        <v>108514.5125</v>
      </c>
      <c r="CR45" s="13">
        <f t="shared" si="42"/>
        <v>5496.8049999999994</v>
      </c>
      <c r="CS45" s="13">
        <f t="shared" si="43"/>
        <v>114011.31749999999</v>
      </c>
      <c r="CT45" s="13"/>
      <c r="CU45" s="13">
        <f>K45*$CV$6</f>
        <v>8840.5450000000001</v>
      </c>
      <c r="CV45" s="13">
        <f t="shared" si="44"/>
        <v>447.81799999999998</v>
      </c>
      <c r="CW45" s="13">
        <f t="shared" si="45"/>
        <v>9288.3629999999994</v>
      </c>
      <c r="CX45" s="13"/>
      <c r="CY45" s="13">
        <f>K45*$CZ$6</f>
        <v>10543.7325</v>
      </c>
      <c r="CZ45" s="13">
        <f t="shared" si="46"/>
        <v>534.09299999999996</v>
      </c>
      <c r="DA45" s="13">
        <f t="shared" si="47"/>
        <v>11077.825500000001</v>
      </c>
      <c r="DB45" s="13"/>
      <c r="DC45" s="13">
        <f>K45*$DD$6</f>
        <v>21504.244999999999</v>
      </c>
      <c r="DD45" s="13">
        <f t="shared" si="48"/>
        <v>1089.298</v>
      </c>
      <c r="DE45" s="13">
        <f t="shared" si="49"/>
        <v>22593.542999999998</v>
      </c>
      <c r="DF45" s="13"/>
      <c r="DG45" s="13">
        <f>K45*$DH$6</f>
        <v>592729.86</v>
      </c>
      <c r="DH45" s="13">
        <f t="shared" si="50"/>
        <v>30024.744000000002</v>
      </c>
      <c r="DI45" s="13">
        <f t="shared" si="51"/>
        <v>622754.60399999993</v>
      </c>
      <c r="DJ45" s="13"/>
      <c r="DK45" s="13">
        <f>K45*$DL$6</f>
        <v>23020.225000000002</v>
      </c>
      <c r="DL45" s="13">
        <f t="shared" si="52"/>
        <v>1166.0900000000001</v>
      </c>
      <c r="DM45" s="13">
        <f t="shared" si="53"/>
        <v>24186.315000000002</v>
      </c>
      <c r="DN45" s="13"/>
      <c r="DO45" s="13">
        <f>K45*$DP$6</f>
        <v>49333.47</v>
      </c>
      <c r="DP45" s="13">
        <f t="shared" si="54"/>
        <v>2498.9880000000003</v>
      </c>
      <c r="DQ45" s="13">
        <f t="shared" si="55"/>
        <v>51832.457999999999</v>
      </c>
      <c r="DR45" s="13"/>
      <c r="DS45" s="13"/>
      <c r="DT45" s="13"/>
      <c r="DU45" s="13"/>
      <c r="DW45" s="13"/>
      <c r="DX45" s="13"/>
      <c r="DY45" s="13"/>
    </row>
    <row r="46" spans="1:129" x14ac:dyDescent="0.2">
      <c r="A46" s="11">
        <v>47027</v>
      </c>
      <c r="H46" s="14">
        <v>0</v>
      </c>
      <c r="J46" s="14">
        <v>146875</v>
      </c>
      <c r="L46" s="14">
        <f t="shared" si="0"/>
        <v>146875</v>
      </c>
      <c r="M46" s="14">
        <f t="shared" si="1"/>
        <v>146875</v>
      </c>
      <c r="P46" s="13">
        <v>47228</v>
      </c>
      <c r="Q46" s="13">
        <f t="shared" si="2"/>
        <v>47228</v>
      </c>
      <c r="S46" s="13"/>
      <c r="T46" s="14">
        <f t="shared" si="4"/>
        <v>99646.829687500009</v>
      </c>
      <c r="U46" s="13">
        <f t="shared" si="5"/>
        <v>99646.829687500009</v>
      </c>
      <c r="W46" s="2"/>
      <c r="X46" s="2">
        <f t="shared" si="6"/>
        <v>8080.5484375000005</v>
      </c>
      <c r="Y46" s="2">
        <f t="shared" si="7"/>
        <v>8080.5484375000005</v>
      </c>
      <c r="AA46" s="2"/>
      <c r="AB46" s="2">
        <f t="shared" si="8"/>
        <v>9864.6096874999985</v>
      </c>
      <c r="AC46" s="2">
        <f t="shared" si="9"/>
        <v>9864.6096874999985</v>
      </c>
      <c r="AF46" s="13">
        <f t="shared" si="10"/>
        <v>36.116562500000001</v>
      </c>
      <c r="AG46" s="13">
        <f t="shared" si="11"/>
        <v>36.116562500000001</v>
      </c>
      <c r="AI46" s="2"/>
      <c r="AJ46" s="2">
        <f t="shared" si="12"/>
        <v>2132.0521874999999</v>
      </c>
      <c r="AK46" s="2">
        <f t="shared" si="13"/>
        <v>2132.0521874999999</v>
      </c>
      <c r="AM46" s="2"/>
      <c r="AN46" s="2">
        <f t="shared" si="14"/>
        <v>9810.1484375</v>
      </c>
      <c r="AO46" s="2">
        <f t="shared" si="15"/>
        <v>9810.1484375</v>
      </c>
      <c r="AP46" s="13"/>
      <c r="AQ46" s="2"/>
      <c r="AR46" s="2">
        <f t="shared" si="16"/>
        <v>1546.5350000000001</v>
      </c>
      <c r="AS46" s="2">
        <f t="shared" si="17"/>
        <v>1546.5350000000001</v>
      </c>
      <c r="AT46" s="13"/>
      <c r="AU46" s="13"/>
      <c r="AV46" s="13">
        <f t="shared" si="18"/>
        <v>85.907187499999992</v>
      </c>
      <c r="AW46" s="13">
        <f t="shared" si="19"/>
        <v>85.907187499999992</v>
      </c>
      <c r="AX46" s="13"/>
      <c r="AY46" s="13"/>
      <c r="AZ46" s="13">
        <f t="shared" si="20"/>
        <v>989.54093749999993</v>
      </c>
      <c r="BA46" s="13">
        <f t="shared" si="21"/>
        <v>989.54093749999993</v>
      </c>
      <c r="BB46" s="13"/>
      <c r="BC46" s="13"/>
      <c r="BD46" s="13">
        <f t="shared" si="22"/>
        <v>1383.3568749999999</v>
      </c>
      <c r="BE46" s="13">
        <f t="shared" si="23"/>
        <v>1383.3568749999999</v>
      </c>
      <c r="BF46" s="13"/>
      <c r="BG46" s="13"/>
      <c r="BH46" s="13">
        <f t="shared" si="24"/>
        <v>193.52249999999998</v>
      </c>
      <c r="BI46" s="13">
        <f t="shared" si="25"/>
        <v>193.52249999999998</v>
      </c>
      <c r="BJ46" s="13"/>
      <c r="BK46" s="13"/>
      <c r="BL46" s="13">
        <f t="shared" si="59"/>
        <v>1005.3299999999999</v>
      </c>
      <c r="BM46" s="13">
        <f t="shared" si="27"/>
        <v>1005.3299999999999</v>
      </c>
      <c r="BN46" s="13"/>
      <c r="BO46" s="13"/>
      <c r="BP46" s="13">
        <f t="shared" si="28"/>
        <v>57.134375000000006</v>
      </c>
      <c r="BQ46" s="13">
        <f t="shared" si="29"/>
        <v>57.134375000000006</v>
      </c>
      <c r="BR46" s="13"/>
      <c r="BS46" s="13"/>
      <c r="BT46" s="13">
        <f t="shared" si="30"/>
        <v>201.93843750000002</v>
      </c>
      <c r="BU46" s="13">
        <f t="shared" si="31"/>
        <v>201.93843750000002</v>
      </c>
      <c r="BV46" s="13"/>
      <c r="BW46" s="13"/>
      <c r="BX46" s="13">
        <f t="shared" si="32"/>
        <v>734.03718749999996</v>
      </c>
      <c r="BY46" s="13">
        <f t="shared" si="33"/>
        <v>734.03718749999996</v>
      </c>
      <c r="BZ46" s="13"/>
      <c r="CA46" s="13"/>
      <c r="CB46" s="13">
        <f t="shared" si="34"/>
        <v>5012.7850000000008</v>
      </c>
      <c r="CC46" s="13">
        <f t="shared" si="35"/>
        <v>5012.7850000000008</v>
      </c>
      <c r="CD46" s="13"/>
      <c r="CE46" s="13"/>
      <c r="CF46" s="13">
        <f t="shared" si="36"/>
        <v>20746.255312499998</v>
      </c>
      <c r="CG46" s="13">
        <f t="shared" si="37"/>
        <v>20746.255312499998</v>
      </c>
      <c r="CH46" s="13"/>
      <c r="CI46" s="13"/>
      <c r="CJ46" s="13">
        <f t="shared" si="38"/>
        <v>3813.8737500000002</v>
      </c>
      <c r="CK46" s="13">
        <f t="shared" si="39"/>
        <v>3813.8737500000002</v>
      </c>
      <c r="CL46" s="13"/>
      <c r="CM46" s="13"/>
      <c r="CN46" s="13">
        <f t="shared" si="40"/>
        <v>13057.466562500002</v>
      </c>
      <c r="CO46" s="13">
        <f t="shared" si="41"/>
        <v>13057.466562500002</v>
      </c>
      <c r="CP46" s="13"/>
      <c r="CQ46" s="13"/>
      <c r="CR46" s="13">
        <f t="shared" si="42"/>
        <v>2783.9421874999998</v>
      </c>
      <c r="CS46" s="13">
        <f t="shared" si="43"/>
        <v>2783.9421874999998</v>
      </c>
      <c r="CT46" s="13"/>
      <c r="CU46" s="13"/>
      <c r="CV46" s="13">
        <f t="shared" si="44"/>
        <v>226.80437499999999</v>
      </c>
      <c r="CW46" s="13">
        <f t="shared" si="45"/>
        <v>226.80437499999999</v>
      </c>
      <c r="CX46" s="13"/>
      <c r="CY46" s="13"/>
      <c r="CZ46" s="13">
        <f t="shared" si="46"/>
        <v>270.49968749999999</v>
      </c>
      <c r="DA46" s="13">
        <f t="shared" si="47"/>
        <v>270.49968749999999</v>
      </c>
      <c r="DB46" s="13"/>
      <c r="DC46" s="13"/>
      <c r="DD46" s="13">
        <f t="shared" si="48"/>
        <v>551.69187499999998</v>
      </c>
      <c r="DE46" s="13">
        <f t="shared" si="49"/>
        <v>551.69187499999998</v>
      </c>
      <c r="DF46" s="13"/>
      <c r="DG46" s="13"/>
      <c r="DH46" s="13">
        <f t="shared" si="50"/>
        <v>15206.497500000001</v>
      </c>
      <c r="DI46" s="13">
        <f t="shared" si="51"/>
        <v>15206.497500000001</v>
      </c>
      <c r="DJ46" s="13"/>
      <c r="DK46" s="13"/>
      <c r="DL46" s="13">
        <f t="shared" si="52"/>
        <v>590.58437500000002</v>
      </c>
      <c r="DM46" s="13">
        <f t="shared" si="53"/>
        <v>590.58437500000002</v>
      </c>
      <c r="DN46" s="13"/>
      <c r="DO46" s="13"/>
      <c r="DP46" s="13">
        <f t="shared" si="54"/>
        <v>1265.6512500000001</v>
      </c>
      <c r="DQ46" s="13">
        <f t="shared" si="55"/>
        <v>1265.6512500000001</v>
      </c>
      <c r="DR46" s="13"/>
      <c r="DS46" s="13"/>
      <c r="DT46" s="13"/>
      <c r="DU46" s="13"/>
      <c r="DW46" s="13"/>
      <c r="DX46" s="13"/>
      <c r="DY46" s="13"/>
    </row>
    <row r="47" spans="1:129" x14ac:dyDescent="0.2">
      <c r="A47" s="11">
        <v>47209</v>
      </c>
      <c r="G47" s="14">
        <v>0</v>
      </c>
      <c r="H47" s="14">
        <v>0</v>
      </c>
      <c r="I47" s="14">
        <v>5875000</v>
      </c>
      <c r="J47" s="14">
        <v>146875</v>
      </c>
      <c r="K47" s="14">
        <f t="shared" si="3"/>
        <v>5875000</v>
      </c>
      <c r="L47" s="14">
        <f t="shared" si="0"/>
        <v>146875</v>
      </c>
      <c r="M47" s="14">
        <f t="shared" si="1"/>
        <v>6021875</v>
      </c>
      <c r="O47" s="13">
        <v>1889127</v>
      </c>
      <c r="P47" s="13">
        <v>47228</v>
      </c>
      <c r="Q47" s="13">
        <f t="shared" si="2"/>
        <v>1936355</v>
      </c>
      <c r="S47" s="13">
        <f t="shared" si="56"/>
        <v>3985873.1874999991</v>
      </c>
      <c r="T47" s="14">
        <f t="shared" si="4"/>
        <v>99646.829687500009</v>
      </c>
      <c r="U47" s="13">
        <f t="shared" si="5"/>
        <v>4085520.017187499</v>
      </c>
      <c r="W47" s="2">
        <f>K47*$X$6</f>
        <v>323221.9375</v>
      </c>
      <c r="X47" s="2">
        <f t="shared" si="6"/>
        <v>8080.5484375000005</v>
      </c>
      <c r="Y47" s="2">
        <f t="shared" si="7"/>
        <v>331302.48593750002</v>
      </c>
      <c r="AA47" s="2">
        <f>K47*$AB$6</f>
        <v>394584.38749999995</v>
      </c>
      <c r="AB47" s="2">
        <f t="shared" si="8"/>
        <v>9864.6096874999985</v>
      </c>
      <c r="AC47" s="2">
        <f t="shared" si="9"/>
        <v>404448.99718749995</v>
      </c>
      <c r="AE47" s="13">
        <f>K47*$AF$6</f>
        <v>1444.6625000000001</v>
      </c>
      <c r="AF47" s="13">
        <f t="shared" si="10"/>
        <v>36.116562500000001</v>
      </c>
      <c r="AG47" s="13">
        <f t="shared" si="11"/>
        <v>1480.7790625000002</v>
      </c>
      <c r="AI47" s="2">
        <f>K47*$AJ$6</f>
        <v>85282.087500000009</v>
      </c>
      <c r="AJ47" s="2">
        <f t="shared" si="12"/>
        <v>2132.0521874999999</v>
      </c>
      <c r="AK47" s="2">
        <f t="shared" si="13"/>
        <v>87414.139687500006</v>
      </c>
      <c r="AM47" s="2">
        <f>K47*$AN$6</f>
        <v>392405.9375</v>
      </c>
      <c r="AN47" s="2">
        <f t="shared" si="14"/>
        <v>9810.1484375</v>
      </c>
      <c r="AO47" s="2">
        <f t="shared" si="15"/>
        <v>402216.0859375</v>
      </c>
      <c r="AP47" s="13"/>
      <c r="AQ47" s="2">
        <f>K47*$AR$6</f>
        <v>61861.4</v>
      </c>
      <c r="AR47" s="2">
        <f t="shared" si="16"/>
        <v>1546.5350000000001</v>
      </c>
      <c r="AS47" s="2">
        <f t="shared" si="17"/>
        <v>63407.935000000005</v>
      </c>
      <c r="AT47" s="13"/>
      <c r="AU47" s="13">
        <f>K47*$AV$6</f>
        <v>3436.2874999999999</v>
      </c>
      <c r="AV47" s="13">
        <f t="shared" si="18"/>
        <v>85.907187499999992</v>
      </c>
      <c r="AW47" s="13">
        <f t="shared" si="19"/>
        <v>3522.1946874999999</v>
      </c>
      <c r="AX47" s="13"/>
      <c r="AY47" s="13">
        <f>K47*$AZ$6</f>
        <v>39581.637499999997</v>
      </c>
      <c r="AZ47" s="13">
        <f t="shared" si="20"/>
        <v>989.54093749999993</v>
      </c>
      <c r="BA47" s="13">
        <f t="shared" si="21"/>
        <v>40571.178437499999</v>
      </c>
      <c r="BB47" s="13"/>
      <c r="BC47" s="13">
        <f>K47*$BD$6</f>
        <v>55334.274999999994</v>
      </c>
      <c r="BD47" s="13">
        <f t="shared" si="22"/>
        <v>1383.3568749999999</v>
      </c>
      <c r="BE47" s="13">
        <f t="shared" si="23"/>
        <v>56717.631874999992</v>
      </c>
      <c r="BF47" s="13"/>
      <c r="BG47" s="13">
        <f>K47*$BH$6</f>
        <v>7740.9</v>
      </c>
      <c r="BH47" s="13">
        <f t="shared" si="24"/>
        <v>193.52249999999998</v>
      </c>
      <c r="BI47" s="13">
        <f t="shared" si="25"/>
        <v>7934.4224999999997</v>
      </c>
      <c r="BJ47" s="13"/>
      <c r="BK47" s="13">
        <f>K47*$BM$6</f>
        <v>40213.199999999997</v>
      </c>
      <c r="BL47" s="13">
        <f t="shared" si="59"/>
        <v>1005.3299999999999</v>
      </c>
      <c r="BM47" s="13">
        <f t="shared" si="27"/>
        <v>41218.53</v>
      </c>
      <c r="BN47" s="13"/>
      <c r="BO47" s="13">
        <f>K47*$BP$6</f>
        <v>2285.375</v>
      </c>
      <c r="BP47" s="13">
        <f t="shared" si="28"/>
        <v>57.134375000000006</v>
      </c>
      <c r="BQ47" s="13">
        <f t="shared" si="29"/>
        <v>2342.5093750000001</v>
      </c>
      <c r="BR47" s="13"/>
      <c r="BS47" s="13">
        <f>K47*$BT$6</f>
        <v>8077.5375000000004</v>
      </c>
      <c r="BT47" s="13">
        <f t="shared" si="30"/>
        <v>201.93843750000002</v>
      </c>
      <c r="BU47" s="13">
        <f t="shared" si="31"/>
        <v>8279.4759375000012</v>
      </c>
      <c r="BV47" s="13"/>
      <c r="BW47" s="13">
        <f>K47*$BX$6</f>
        <v>29361.487499999999</v>
      </c>
      <c r="BX47" s="13">
        <f t="shared" si="32"/>
        <v>734.03718749999996</v>
      </c>
      <c r="BY47" s="13">
        <f t="shared" si="33"/>
        <v>30095.524687499998</v>
      </c>
      <c r="BZ47" s="13"/>
      <c r="CA47" s="13">
        <f>K47*$CB$6</f>
        <v>200511.40000000002</v>
      </c>
      <c r="CB47" s="13">
        <f t="shared" si="34"/>
        <v>5012.7850000000008</v>
      </c>
      <c r="CC47" s="13">
        <f t="shared" si="35"/>
        <v>205524.18500000003</v>
      </c>
      <c r="CD47" s="13"/>
      <c r="CE47" s="13">
        <f>K47*$CF$6</f>
        <v>829850.21249999991</v>
      </c>
      <c r="CF47" s="13">
        <f t="shared" si="36"/>
        <v>20746.255312499998</v>
      </c>
      <c r="CG47" s="13">
        <f t="shared" si="37"/>
        <v>850596.46781249996</v>
      </c>
      <c r="CH47" s="13"/>
      <c r="CI47" s="13">
        <f>K47*$CJ$6</f>
        <v>152554.95000000001</v>
      </c>
      <c r="CJ47" s="13">
        <f t="shared" si="38"/>
        <v>3813.8737500000002</v>
      </c>
      <c r="CK47" s="13">
        <f t="shared" si="39"/>
        <v>156368.82375000001</v>
      </c>
      <c r="CL47" s="13"/>
      <c r="CM47" s="13">
        <f>K47*$CN$6</f>
        <v>522298.66250000003</v>
      </c>
      <c r="CN47" s="13">
        <f t="shared" si="40"/>
        <v>13057.466562500002</v>
      </c>
      <c r="CO47" s="13">
        <f t="shared" si="41"/>
        <v>535356.12906250008</v>
      </c>
      <c r="CP47" s="13"/>
      <c r="CQ47" s="13">
        <f>K47*$CR$6</f>
        <v>111357.6875</v>
      </c>
      <c r="CR47" s="13">
        <f t="shared" si="42"/>
        <v>2783.9421874999998</v>
      </c>
      <c r="CS47" s="13">
        <f t="shared" si="43"/>
        <v>114141.6296875</v>
      </c>
      <c r="CT47" s="13"/>
      <c r="CU47" s="13">
        <f>K47*$CV$6</f>
        <v>9072.1749999999993</v>
      </c>
      <c r="CV47" s="13">
        <f t="shared" si="44"/>
        <v>226.80437499999999</v>
      </c>
      <c r="CW47" s="13">
        <f t="shared" si="45"/>
        <v>9298.979374999999</v>
      </c>
      <c r="CX47" s="13"/>
      <c r="CY47" s="13">
        <f>K47*$CZ$6</f>
        <v>10819.987499999999</v>
      </c>
      <c r="CZ47" s="13">
        <f t="shared" si="46"/>
        <v>270.49968749999999</v>
      </c>
      <c r="DA47" s="13">
        <f t="shared" si="47"/>
        <v>11090.487187499999</v>
      </c>
      <c r="DB47" s="13"/>
      <c r="DC47" s="13">
        <f>K47*$DD$6</f>
        <v>22067.674999999999</v>
      </c>
      <c r="DD47" s="13">
        <f t="shared" si="48"/>
        <v>551.69187499999998</v>
      </c>
      <c r="DE47" s="13">
        <f t="shared" si="49"/>
        <v>22619.366875</v>
      </c>
      <c r="DF47" s="13"/>
      <c r="DG47" s="13">
        <f>K47*$DH$6</f>
        <v>608259.9</v>
      </c>
      <c r="DH47" s="13">
        <f t="shared" si="50"/>
        <v>15206.497500000001</v>
      </c>
      <c r="DI47" s="13">
        <f t="shared" si="51"/>
        <v>623466.39750000008</v>
      </c>
      <c r="DJ47" s="13"/>
      <c r="DK47" s="13">
        <f>K47*$DL$6</f>
        <v>23623.375</v>
      </c>
      <c r="DL47" s="13">
        <f t="shared" si="52"/>
        <v>590.58437500000002</v>
      </c>
      <c r="DM47" s="13">
        <f t="shared" si="53"/>
        <v>24213.959374999999</v>
      </c>
      <c r="DN47" s="13"/>
      <c r="DO47" s="13">
        <f>K47*$DP$6</f>
        <v>50626.05</v>
      </c>
      <c r="DP47" s="13">
        <f t="shared" si="54"/>
        <v>1265.6512500000001</v>
      </c>
      <c r="DQ47" s="13">
        <f t="shared" si="55"/>
        <v>51891.701250000006</v>
      </c>
      <c r="DR47" s="13"/>
      <c r="DS47" s="13"/>
      <c r="DT47" s="13"/>
      <c r="DU47" s="13"/>
      <c r="DW47" s="13"/>
      <c r="DX47" s="13"/>
      <c r="DY47" s="13"/>
    </row>
    <row r="48" spans="1:129" x14ac:dyDescent="0.2">
      <c r="W48" s="2"/>
      <c r="X48" s="2"/>
      <c r="Y48" s="2"/>
      <c r="AA48" s="2"/>
      <c r="AB48" s="2"/>
      <c r="AC48" s="2"/>
      <c r="AI48" s="2"/>
      <c r="AJ48" s="2"/>
      <c r="AK48" s="2"/>
      <c r="AM48" s="2"/>
      <c r="AN48" s="2"/>
      <c r="AO48" s="2"/>
      <c r="AP48" s="13"/>
      <c r="AQ48" s="2"/>
      <c r="AR48" s="2"/>
      <c r="AS48" s="2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W48" s="13"/>
      <c r="DX48" s="13"/>
      <c r="DY48" s="13"/>
    </row>
    <row r="49" spans="1:129" ht="13.5" thickBot="1" x14ac:dyDescent="0.25">
      <c r="A49" s="11" t="s">
        <v>0</v>
      </c>
      <c r="C49" s="25">
        <f>SUM(C8:C48)</f>
        <v>45050000</v>
      </c>
      <c r="D49" s="25">
        <f t="shared" ref="D49:M49" si="60">SUM(D8:D48)</f>
        <v>15816194</v>
      </c>
      <c r="E49" s="25">
        <f t="shared" si="60"/>
        <v>10090000</v>
      </c>
      <c r="F49" s="25">
        <f t="shared" si="60"/>
        <v>2329887</v>
      </c>
      <c r="G49" s="25">
        <f t="shared" si="60"/>
        <v>0</v>
      </c>
      <c r="H49" s="25">
        <f t="shared" si="60"/>
        <v>15526833</v>
      </c>
      <c r="I49" s="25">
        <f t="shared" si="60"/>
        <v>38080000</v>
      </c>
      <c r="J49" s="25">
        <f t="shared" si="60"/>
        <v>13745094</v>
      </c>
      <c r="K49" s="25">
        <f t="shared" si="60"/>
        <v>93220000</v>
      </c>
      <c r="L49" s="25">
        <f t="shared" si="60"/>
        <v>47418008</v>
      </c>
      <c r="M49" s="25">
        <f t="shared" si="60"/>
        <v>140638008</v>
      </c>
      <c r="O49" s="25">
        <f>SUM(O8:O48)</f>
        <v>30111365</v>
      </c>
      <c r="P49" s="25">
        <f>SUM(P8:P48)</f>
        <v>14681229</v>
      </c>
      <c r="Q49" s="25">
        <f>SUM(Q8:Q48)</f>
        <v>44792594</v>
      </c>
      <c r="S49" s="25">
        <f>SUM(S8:S48)</f>
        <v>63108635.977499992</v>
      </c>
      <c r="T49" s="25">
        <f>SUM(T8:T48)</f>
        <v>32736780.40076999</v>
      </c>
      <c r="U49" s="25">
        <f>SUM(U8:U48)</f>
        <v>95845416.37827003</v>
      </c>
      <c r="W49" s="25">
        <f>SUM(W8:W48)</f>
        <v>5385945.9275000012</v>
      </c>
      <c r="X49" s="25">
        <f>SUM(X8:X48)</f>
        <v>2575918.3753700005</v>
      </c>
      <c r="Y49" s="25">
        <f>SUM(Y8:Y48)</f>
        <v>7961864.3028699988</v>
      </c>
      <c r="AA49" s="25">
        <f>SUM(AA8:AA48)</f>
        <v>6277427.5855</v>
      </c>
      <c r="AB49" s="25">
        <f>SUM(AB8:AB48)</f>
        <v>3035379.2798740007</v>
      </c>
      <c r="AC49" s="25">
        <f>SUM(AC8:AC48)</f>
        <v>9312806.8653740007</v>
      </c>
      <c r="AE49" s="25">
        <f>SUM(AE8:AE48)</f>
        <v>23821.616499999996</v>
      </c>
      <c r="AF49" s="25">
        <f>SUM(AF8:AF48)</f>
        <v>11358.969302000001</v>
      </c>
      <c r="AG49" s="25">
        <f>SUM(AG8:AG48)</f>
        <v>35180.585802000001</v>
      </c>
      <c r="AI49" s="25">
        <f>SUM(AI8:AI48)</f>
        <v>1401538.8535</v>
      </c>
      <c r="AJ49" s="25">
        <f>SUM(AJ8:AJ48)</f>
        <v>674413.99505799997</v>
      </c>
      <c r="AK49" s="25">
        <f>SUM(AK8:AK48)</f>
        <v>2075952.8485580003</v>
      </c>
      <c r="AM49" s="25">
        <f>SUM(AM8:AM48)</f>
        <v>6474004.4875000007</v>
      </c>
      <c r="AN49" s="25">
        <f>SUM(AN8:AN48)</f>
        <v>3110893.16065</v>
      </c>
      <c r="AO49" s="25">
        <f>SUM(AO8:AO48)</f>
        <v>9584897.6481499989</v>
      </c>
      <c r="AP49" s="13"/>
      <c r="AQ49" s="25">
        <f>SUM(AQ8:AQ48)</f>
        <v>1029930.9759999999</v>
      </c>
      <c r="AR49" s="25">
        <f>SUM(AR8:AR48)</f>
        <v>494320.17308799992</v>
      </c>
      <c r="AS49" s="25">
        <f>SUM(AS8:AS48)</f>
        <v>1524251.1490879999</v>
      </c>
      <c r="AT49" s="13"/>
      <c r="AU49" s="25">
        <f>SUM(AU8:AU48)</f>
        <v>56052.581499999993</v>
      </c>
      <c r="AV49" s="25">
        <f>SUM(AV8:AV48)</f>
        <v>26769.008722000006</v>
      </c>
      <c r="AW49" s="25">
        <f>SUM(AW8:AW48)</f>
        <v>82821.590221999999</v>
      </c>
      <c r="AX49" s="13"/>
      <c r="AY49" s="25">
        <f>SUM(AY8:AY48)</f>
        <v>656454.27549999987</v>
      </c>
      <c r="AZ49" s="25">
        <f>SUM(AZ8:AZ48)</f>
        <v>314648.29759399989</v>
      </c>
      <c r="BA49" s="25">
        <f>SUM(BA8:BA48)</f>
        <v>971102.57309399999</v>
      </c>
      <c r="BB49" s="13"/>
      <c r="BC49" s="25">
        <f>SUM(BC8:BC48)</f>
        <v>891450.19099999988</v>
      </c>
      <c r="BD49" s="25">
        <f>SUM(BD8:BD48)</f>
        <v>436654.83150799992</v>
      </c>
      <c r="BE49" s="25">
        <f>SUM(BE8:BE48)</f>
        <v>1328105.022508</v>
      </c>
      <c r="BF49" s="13"/>
      <c r="BG49" s="25">
        <f>SUM(BG8:BG48)</f>
        <v>118905.75599999999</v>
      </c>
      <c r="BH49" s="25">
        <f>SUM(BH8:BH48)</f>
        <v>57942.287727999996</v>
      </c>
      <c r="BI49" s="25">
        <f>SUM(BI8:BI48)</f>
        <v>176848.04372799996</v>
      </c>
      <c r="BJ49" s="13"/>
      <c r="BK49" s="25">
        <f>SUM(BK8:BK48)</f>
        <v>663558.28799999994</v>
      </c>
      <c r="BL49" s="25">
        <f>SUM(BL8:BL48)</f>
        <v>318211.81894399994</v>
      </c>
      <c r="BM49" s="25">
        <f>SUM(BM8:BM48)</f>
        <v>981770.10694399988</v>
      </c>
      <c r="BN49" s="13"/>
      <c r="BO49" s="25">
        <f>SUM(BO8:BO48)</f>
        <v>35105.714999999997</v>
      </c>
      <c r="BP49" s="25">
        <f>SUM(BP8:BP48)</f>
        <v>17107.328420000005</v>
      </c>
      <c r="BQ49" s="25">
        <f>SUM(BQ8:BQ48)</f>
        <v>52213.043420000002</v>
      </c>
      <c r="BR49" s="13"/>
      <c r="BS49" s="25">
        <f>SUM(BS8:BS48)</f>
        <v>133853.23149999999</v>
      </c>
      <c r="BT49" s="25">
        <f>SUM(BT8:BT48)</f>
        <v>64325.374922000003</v>
      </c>
      <c r="BU49" s="25">
        <f>SUM(BU8:BU48)</f>
        <v>198178.60642200004</v>
      </c>
      <c r="BV49" s="13"/>
      <c r="BW49" s="25">
        <f>SUM(BW8:BW48)</f>
        <v>466952.94950000005</v>
      </c>
      <c r="BX49" s="25">
        <f>SUM(BX8:BX48)</f>
        <v>225206.73070600006</v>
      </c>
      <c r="BY49" s="25">
        <f>SUM(BY8:BY48)</f>
        <v>692159.68020599999</v>
      </c>
      <c r="BZ49" s="13"/>
      <c r="CA49" s="25">
        <f>SUM(CA8:CA48)</f>
        <v>3118875.9760000003</v>
      </c>
      <c r="CB49" s="25">
        <f>SUM(CB8:CB48)</f>
        <v>1529041.5810880004</v>
      </c>
      <c r="CC49" s="25">
        <f>SUM(CC8:CC48)</f>
        <v>4647917.5570879988</v>
      </c>
      <c r="CD49" s="13"/>
      <c r="CE49" s="25">
        <f>SUM(CE8:CE48)</f>
        <v>13492461.078499997</v>
      </c>
      <c r="CF49" s="25">
        <f>SUM(CF8:CF48)</f>
        <v>6510309.7233579988</v>
      </c>
      <c r="CG49" s="25">
        <f>SUM(CG8:CG48)</f>
        <v>20002770.801857997</v>
      </c>
      <c r="CH49" s="13"/>
      <c r="CI49" s="25">
        <f>SUM(CI8:CI48)</f>
        <v>2502625.3580000005</v>
      </c>
      <c r="CJ49" s="25">
        <f>SUM(CJ8:CJ48)</f>
        <v>1191811.184104</v>
      </c>
      <c r="CK49" s="25">
        <f>SUM(CK8:CK48)</f>
        <v>3694436.5421039998</v>
      </c>
      <c r="CL49" s="13"/>
      <c r="CM49" s="25">
        <f>SUM(CM8:CM48)</f>
        <v>8022951.9765000008</v>
      </c>
      <c r="CN49" s="25">
        <f>SUM(CN8:CN48)</f>
        <v>3969448.7209819993</v>
      </c>
      <c r="CO49" s="25">
        <f>SUM(CO8:CO48)</f>
        <v>11992400.697482001</v>
      </c>
      <c r="CP49" s="13"/>
      <c r="CQ49" s="25">
        <f>SUM(CQ8:CQ48)</f>
        <v>1710548.9575</v>
      </c>
      <c r="CR49" s="25">
        <f>SUM(CR8:CR48)</f>
        <v>833561.29700999986</v>
      </c>
      <c r="CS49" s="25">
        <f>SUM(CS8:CS48)</f>
        <v>2544110.2545100003</v>
      </c>
      <c r="CT49" s="13"/>
      <c r="CU49" s="25">
        <f>SUM(CU8:CU48)</f>
        <v>139356.427</v>
      </c>
      <c r="CV49" s="25">
        <f>SUM(CV8:CV48)</f>
        <v>67908.749476000026</v>
      </c>
      <c r="CW49" s="25">
        <f>SUM(CW8:CW48)</f>
        <v>207265.17647600002</v>
      </c>
      <c r="CX49" s="13"/>
      <c r="CY49" s="25">
        <f>SUM(CY8:CY48)</f>
        <v>180297.08949999997</v>
      </c>
      <c r="CZ49" s="25">
        <f>SUM(CZ8:CZ48)</f>
        <v>86544.169025999989</v>
      </c>
      <c r="DA49" s="25">
        <f>SUM(DA8:DA48)</f>
        <v>266841.25852600002</v>
      </c>
      <c r="DB49" s="13"/>
      <c r="DC49" s="25">
        <f>SUM(DC8:DC48)</f>
        <v>341544.647</v>
      </c>
      <c r="DD49" s="25">
        <f>SUM(DD8:DD48)</f>
        <v>165986.17483599996</v>
      </c>
      <c r="DE49" s="25">
        <f>SUM(DE8:DE48)</f>
        <v>507530.82183600002</v>
      </c>
      <c r="DF49" s="13"/>
      <c r="DG49" s="25">
        <f>SUM(DG8:DG48)</f>
        <v>9651909.716</v>
      </c>
      <c r="DH49" s="25">
        <f>SUM(DH8:DH48)</f>
        <v>4692523.616208001</v>
      </c>
      <c r="DI49" s="25">
        <f>SUM(DI8:DI48)</f>
        <v>14344433.332208</v>
      </c>
      <c r="DJ49" s="14"/>
      <c r="DK49" s="25">
        <f>SUM(DK8:DK48)</f>
        <v>368572.63499999995</v>
      </c>
      <c r="DL49" s="25">
        <f>SUM(DL8:DL48)</f>
        <v>178631.36138000002</v>
      </c>
      <c r="DM49" s="25">
        <f>SUM(DM8:DM48)</f>
        <v>547203.99638000014</v>
      </c>
      <c r="DN49" s="13"/>
      <c r="DO49" s="25">
        <f>SUM(DO8:DO48)</f>
        <v>777672.68200000003</v>
      </c>
      <c r="DP49" s="25">
        <f>SUM(DP8:DP48)</f>
        <v>385244.19141600013</v>
      </c>
      <c r="DQ49" s="25">
        <f>SUM(DQ8:DQ48)</f>
        <v>1162916.8734160003</v>
      </c>
      <c r="DR49" s="13"/>
      <c r="DS49" s="25">
        <f>SUM(DS8:DS48)</f>
        <v>-813183</v>
      </c>
      <c r="DT49" s="25">
        <f>SUM(DT8:DT48)</f>
        <v>1762620</v>
      </c>
      <c r="DU49" s="25">
        <f>SUM(DU8:DU48)</f>
        <v>949437</v>
      </c>
      <c r="DW49" s="25">
        <f>SUM(DW8:DW48)</f>
        <v>-387471</v>
      </c>
      <c r="DX49" s="25">
        <f>SUM(DX8:DX48)</f>
        <v>87163</v>
      </c>
      <c r="DY49" s="25">
        <f>SUM(DY8:DY48)</f>
        <v>-300308</v>
      </c>
    </row>
    <row r="50" spans="1:129" ht="13.5" thickTop="1" x14ac:dyDescent="0.2">
      <c r="W50" s="2"/>
      <c r="X50" s="2"/>
      <c r="Y50" s="2"/>
      <c r="AA50" s="2"/>
      <c r="AB50" s="2"/>
      <c r="AC50" s="2"/>
      <c r="AI50" s="2"/>
      <c r="AJ50" s="2"/>
      <c r="AK50" s="2"/>
      <c r="AM50" s="2"/>
      <c r="AN50" s="2"/>
      <c r="AO50" s="2"/>
      <c r="AQ50" s="2"/>
      <c r="AR50" s="2"/>
      <c r="AS50" s="2"/>
    </row>
    <row r="51" spans="1:129" s="13" customFormat="1" x14ac:dyDescent="0.2">
      <c r="A51" s="41"/>
      <c r="C51" s="14"/>
      <c r="D51" s="14"/>
      <c r="E51" s="14"/>
      <c r="F51" s="14"/>
      <c r="G51" s="14"/>
      <c r="H51" s="14"/>
      <c r="I51" s="19"/>
      <c r="J51" s="14"/>
      <c r="K51" s="14"/>
      <c r="L51" s="14"/>
      <c r="M51" s="14"/>
    </row>
    <row r="52" spans="1:129" s="13" customFormat="1" x14ac:dyDescent="0.2">
      <c r="A52" s="4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29" s="13" customFormat="1" x14ac:dyDescent="0.2">
      <c r="A53" s="43"/>
      <c r="C53" s="14"/>
      <c r="D53" s="14"/>
      <c r="E53" s="14"/>
      <c r="F53" s="14"/>
      <c r="G53" s="14"/>
      <c r="H53" s="14"/>
      <c r="I53" s="19"/>
      <c r="J53" s="14"/>
      <c r="K53" s="14"/>
      <c r="L53" s="14"/>
      <c r="M53" s="14"/>
      <c r="O53" s="14"/>
      <c r="P53" s="14"/>
      <c r="Q53" s="14"/>
      <c r="S53" s="14"/>
      <c r="T53" s="14"/>
      <c r="U53" s="14"/>
      <c r="W53" s="14"/>
      <c r="X53" s="14"/>
      <c r="Y53" s="14"/>
      <c r="AA53" s="14"/>
      <c r="AB53" s="14"/>
      <c r="AC53" s="14"/>
      <c r="AE53" s="14"/>
      <c r="AF53" s="14"/>
      <c r="AG53" s="14"/>
      <c r="AI53" s="14"/>
      <c r="AJ53" s="14"/>
      <c r="AK53" s="14"/>
      <c r="AM53" s="14"/>
      <c r="AN53" s="14"/>
      <c r="AO53" s="14"/>
      <c r="AQ53" s="14"/>
      <c r="AR53" s="14"/>
      <c r="AS53" s="14"/>
      <c r="AU53" s="14"/>
      <c r="AV53" s="14"/>
      <c r="AW53" s="14"/>
      <c r="AY53" s="14"/>
      <c r="AZ53" s="14"/>
      <c r="BA53" s="14"/>
      <c r="BC53" s="14"/>
      <c r="BD53" s="14"/>
      <c r="BE53" s="14"/>
      <c r="BG53" s="14"/>
      <c r="BH53" s="14"/>
      <c r="BI53" s="14"/>
      <c r="BK53" s="14"/>
      <c r="BL53" s="14"/>
      <c r="BM53" s="14"/>
      <c r="BO53" s="14"/>
      <c r="BP53" s="14"/>
      <c r="BQ53" s="14"/>
      <c r="BS53" s="14"/>
      <c r="BT53" s="14"/>
      <c r="BU53" s="14"/>
      <c r="BW53" s="14"/>
      <c r="BX53" s="14"/>
      <c r="BY53" s="14"/>
      <c r="CA53" s="14"/>
      <c r="CB53" s="14"/>
      <c r="CC53" s="14"/>
      <c r="CE53" s="14"/>
      <c r="CF53" s="14"/>
      <c r="CG53" s="14"/>
      <c r="CI53" s="14"/>
      <c r="CJ53" s="14"/>
      <c r="CK53" s="14"/>
      <c r="CM53" s="14"/>
      <c r="CN53" s="14"/>
      <c r="CO53" s="14"/>
      <c r="CQ53" s="14"/>
      <c r="CR53" s="14"/>
      <c r="CS53" s="14"/>
      <c r="CU53" s="14"/>
      <c r="CV53" s="14"/>
      <c r="CW53" s="14"/>
      <c r="CY53" s="14"/>
      <c r="CZ53" s="14"/>
      <c r="DA53" s="14"/>
      <c r="DC53" s="14"/>
      <c r="DD53" s="14"/>
      <c r="DE53" s="14"/>
      <c r="DG53" s="14"/>
      <c r="DH53" s="14"/>
      <c r="DI53" s="14"/>
      <c r="DK53" s="14"/>
      <c r="DL53" s="14"/>
      <c r="DM53" s="14"/>
      <c r="DO53" s="14"/>
      <c r="DP53" s="14"/>
      <c r="DQ53" s="14"/>
      <c r="DS53" s="14"/>
      <c r="DT53" s="14"/>
      <c r="DU53" s="14"/>
      <c r="DW53" s="14"/>
      <c r="DX53" s="14"/>
      <c r="DY53" s="14"/>
    </row>
    <row r="54" spans="1:129" x14ac:dyDescent="0.2">
      <c r="W54" s="2"/>
      <c r="X54" s="2"/>
      <c r="Y54" s="2"/>
      <c r="AA54" s="2"/>
      <c r="AB54" s="2"/>
      <c r="AC54" s="2"/>
      <c r="AI54" s="2"/>
      <c r="AJ54" s="2"/>
      <c r="AK54" s="2"/>
      <c r="AM54" s="2"/>
      <c r="AN54" s="2"/>
      <c r="AO54" s="2"/>
      <c r="AQ54" s="2"/>
      <c r="AR54" s="2"/>
      <c r="AS54" s="2"/>
    </row>
    <row r="55" spans="1:129" x14ac:dyDescent="0.2">
      <c r="S55" s="13"/>
      <c r="T55" s="13"/>
      <c r="U55" s="13"/>
      <c r="W55" s="2"/>
      <c r="X55" s="2"/>
      <c r="Y55" s="2"/>
      <c r="AA55" s="2"/>
      <c r="AB55" s="2"/>
      <c r="AC55" s="2"/>
      <c r="AI55" s="2"/>
      <c r="AJ55" s="2"/>
      <c r="AK55" s="2"/>
      <c r="AM55" s="2"/>
      <c r="AN55" s="2"/>
      <c r="AO55" s="2"/>
      <c r="AQ55" s="2"/>
      <c r="AR55" s="2"/>
      <c r="AS55" s="2"/>
    </row>
    <row r="56" spans="1:129" x14ac:dyDescent="0.2">
      <c r="W56" s="2"/>
      <c r="X56" s="2"/>
      <c r="Y56" s="2"/>
      <c r="AA56" s="2"/>
      <c r="AB56" s="2"/>
      <c r="AC56" s="2"/>
      <c r="AI56" s="2"/>
      <c r="AJ56" s="2"/>
      <c r="AK56" s="2"/>
      <c r="AM56" s="2"/>
      <c r="AN56" s="2"/>
      <c r="AO56" s="2"/>
      <c r="AQ56" s="2"/>
      <c r="AR56" s="2"/>
      <c r="AS56" s="2"/>
    </row>
    <row r="57" spans="1:129" x14ac:dyDescent="0.2">
      <c r="W57" s="2"/>
      <c r="X57" s="2"/>
      <c r="Y57" s="2"/>
      <c r="AA57" s="2"/>
      <c r="AB57" s="2"/>
      <c r="AC57" s="2"/>
      <c r="AI57" s="2"/>
      <c r="AJ57" s="2"/>
      <c r="AK57" s="2"/>
      <c r="AM57" s="2"/>
      <c r="AN57" s="2"/>
      <c r="AO57" s="2"/>
      <c r="AQ57" s="2"/>
      <c r="AR57" s="2"/>
      <c r="AS57" s="2"/>
    </row>
    <row r="58" spans="1:129" x14ac:dyDescent="0.2">
      <c r="W58" s="2"/>
      <c r="X58" s="2"/>
      <c r="Y58" s="2"/>
      <c r="AA58" s="2"/>
      <c r="AB58" s="2"/>
      <c r="AC58" s="2"/>
      <c r="AI58" s="2"/>
      <c r="AJ58" s="2"/>
      <c r="AK58" s="2"/>
      <c r="AM58" s="2"/>
      <c r="AN58" s="2"/>
      <c r="AO58" s="2"/>
      <c r="AQ58" s="2"/>
      <c r="AR58" s="2"/>
      <c r="AS58" s="2"/>
    </row>
    <row r="59" spans="1:129" x14ac:dyDescent="0.2">
      <c r="W59" s="2"/>
      <c r="X59" s="2"/>
      <c r="Y59" s="2"/>
      <c r="AA59" s="2"/>
      <c r="AB59" s="2"/>
      <c r="AC59" s="2"/>
      <c r="AI59" s="2"/>
      <c r="AJ59" s="2"/>
      <c r="AK59" s="2"/>
      <c r="AM59" s="2"/>
      <c r="AN59" s="2"/>
      <c r="AO59" s="2"/>
      <c r="AQ59" s="2"/>
      <c r="AR59" s="2"/>
      <c r="AS59" s="2"/>
    </row>
    <row r="60" spans="1:129" x14ac:dyDescent="0.2">
      <c r="W60" s="2"/>
      <c r="X60" s="2"/>
      <c r="Y60" s="2"/>
      <c r="AA60" s="2"/>
      <c r="AB60" s="2"/>
      <c r="AC60" s="2"/>
      <c r="AI60" s="2"/>
      <c r="AJ60" s="2"/>
      <c r="AK60" s="2"/>
      <c r="AM60" s="2"/>
      <c r="AN60" s="2"/>
      <c r="AO60" s="2"/>
      <c r="AQ60" s="2"/>
      <c r="AR60" s="2"/>
      <c r="AS60" s="2"/>
    </row>
    <row r="61" spans="1:129" x14ac:dyDescent="0.2">
      <c r="W61" s="2"/>
      <c r="X61" s="2"/>
      <c r="Y61" s="2"/>
      <c r="AA61" s="2"/>
      <c r="AB61" s="2"/>
      <c r="AC61" s="2"/>
      <c r="AI61" s="2"/>
      <c r="AJ61" s="2"/>
      <c r="AK61" s="2"/>
      <c r="AM61" s="2"/>
      <c r="AN61" s="2"/>
      <c r="AO61" s="2"/>
      <c r="AQ61" s="2"/>
      <c r="AR61" s="2"/>
      <c r="AS61" s="2"/>
    </row>
    <row r="62" spans="1:129" x14ac:dyDescent="0.2">
      <c r="O62"/>
      <c r="P62"/>
      <c r="Q62"/>
      <c r="W62" s="2"/>
      <c r="X62" s="2"/>
      <c r="Y62" s="2"/>
      <c r="AA62" s="2"/>
      <c r="AB62" s="2"/>
      <c r="AC62" s="2"/>
      <c r="AI62" s="2"/>
      <c r="AJ62" s="2"/>
      <c r="AK62" s="2"/>
      <c r="AM62" s="2"/>
      <c r="AN62" s="2"/>
      <c r="AO62" s="2"/>
      <c r="AQ62" s="2"/>
      <c r="AR62" s="2"/>
      <c r="AS62" s="2"/>
    </row>
    <row r="63" spans="1:129" x14ac:dyDescent="0.2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V63"/>
      <c r="W63" s="2"/>
      <c r="X63" s="2"/>
      <c r="Y63" s="2"/>
      <c r="Z63"/>
      <c r="AA63" s="2"/>
      <c r="AB63" s="2"/>
      <c r="AC63" s="2"/>
      <c r="AD63"/>
      <c r="AE63"/>
      <c r="AF63"/>
      <c r="AG63"/>
      <c r="AH63"/>
      <c r="AI63" s="2"/>
      <c r="AJ63" s="2"/>
      <c r="AK63" s="2"/>
      <c r="AL63"/>
      <c r="AM63" s="2"/>
      <c r="AN63" s="2"/>
      <c r="AO63" s="2"/>
      <c r="AQ63" s="2"/>
      <c r="AR63" s="2"/>
      <c r="AS63" s="2"/>
    </row>
    <row r="64" spans="1:129" x14ac:dyDescent="0.2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V64"/>
      <c r="W64" s="2"/>
      <c r="X64" s="2"/>
      <c r="Y64" s="2"/>
      <c r="Z64"/>
      <c r="AA64" s="2"/>
      <c r="AB64" s="2"/>
      <c r="AC64" s="2"/>
      <c r="AD64"/>
      <c r="AE64"/>
      <c r="AF64"/>
      <c r="AG64"/>
      <c r="AH64"/>
      <c r="AI64" s="2"/>
      <c r="AJ64" s="2"/>
      <c r="AK64" s="2"/>
      <c r="AL64"/>
      <c r="AM64" s="2"/>
      <c r="AN64" s="2"/>
      <c r="AO64" s="2"/>
      <c r="AQ64" s="2"/>
      <c r="AR64" s="2"/>
      <c r="AS64" s="2"/>
    </row>
    <row r="65" spans="3:45" x14ac:dyDescent="0.2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V65"/>
      <c r="W65" s="2"/>
      <c r="X65" s="2"/>
      <c r="Y65" s="2"/>
      <c r="Z65"/>
      <c r="AA65" s="2"/>
      <c r="AB65" s="2"/>
      <c r="AC65" s="2"/>
      <c r="AD65"/>
      <c r="AE65"/>
      <c r="AF65"/>
      <c r="AG65"/>
      <c r="AH65"/>
      <c r="AI65" s="2"/>
      <c r="AJ65" s="2"/>
      <c r="AK65" s="2"/>
      <c r="AL65"/>
      <c r="AM65" s="2"/>
      <c r="AN65" s="2"/>
      <c r="AO65" s="2"/>
      <c r="AQ65" s="2"/>
      <c r="AR65" s="2"/>
      <c r="AS65" s="2"/>
    </row>
    <row r="66" spans="3:45" x14ac:dyDescent="0.2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V66"/>
      <c r="W66" s="2"/>
      <c r="X66" s="2"/>
      <c r="Y66" s="2"/>
      <c r="Z66"/>
      <c r="AA66" s="2"/>
      <c r="AB66" s="2"/>
      <c r="AC66" s="2"/>
      <c r="AD66"/>
      <c r="AE66"/>
      <c r="AF66"/>
      <c r="AG66"/>
      <c r="AH66"/>
      <c r="AI66" s="2"/>
      <c r="AJ66" s="2"/>
      <c r="AK66" s="2"/>
      <c r="AL66"/>
      <c r="AM66" s="2"/>
      <c r="AN66" s="2"/>
      <c r="AO66" s="2"/>
      <c r="AQ66" s="2"/>
      <c r="AR66" s="2"/>
      <c r="AS66" s="2"/>
    </row>
    <row r="67" spans="3:45" x14ac:dyDescent="0.2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V67"/>
      <c r="W67" s="2"/>
      <c r="X67" s="2"/>
      <c r="Y67" s="2"/>
      <c r="Z67"/>
      <c r="AA67" s="2"/>
      <c r="AB67" s="2"/>
      <c r="AC67" s="2"/>
      <c r="AD67"/>
      <c r="AE67"/>
      <c r="AF67"/>
      <c r="AG67"/>
      <c r="AH67"/>
      <c r="AI67" s="2"/>
      <c r="AJ67" s="2"/>
      <c r="AK67" s="2"/>
      <c r="AL67"/>
      <c r="AM67" s="2"/>
      <c r="AN67" s="2"/>
      <c r="AO67" s="2"/>
      <c r="AQ67" s="2"/>
      <c r="AR67" s="2"/>
      <c r="AS67" s="2"/>
    </row>
    <row r="68" spans="3:45" x14ac:dyDescent="0.2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V68"/>
      <c r="W68" s="2"/>
      <c r="X68" s="2"/>
      <c r="Y68" s="2"/>
      <c r="Z68"/>
      <c r="AA68" s="2"/>
      <c r="AB68" s="2"/>
      <c r="AC68" s="2"/>
      <c r="AD68"/>
      <c r="AE68"/>
      <c r="AF68"/>
      <c r="AG68"/>
      <c r="AH68"/>
      <c r="AI68" s="2"/>
      <c r="AJ68" s="2"/>
      <c r="AK68" s="2"/>
      <c r="AL68"/>
      <c r="AM68" s="2"/>
      <c r="AN68" s="2"/>
      <c r="AO68" s="2"/>
      <c r="AQ68" s="2"/>
      <c r="AR68" s="2"/>
      <c r="AS68" s="2"/>
    </row>
    <row r="69" spans="3:45" x14ac:dyDescent="0.2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V69"/>
      <c r="W69" s="2"/>
      <c r="X69" s="2"/>
      <c r="Y69" s="2"/>
      <c r="Z69"/>
      <c r="AA69" s="2"/>
      <c r="AB69" s="2"/>
      <c r="AC69" s="2"/>
      <c r="AD69"/>
      <c r="AE69"/>
      <c r="AF69"/>
      <c r="AG69"/>
      <c r="AH69"/>
      <c r="AI69" s="2"/>
      <c r="AJ69" s="2"/>
      <c r="AK69" s="2"/>
      <c r="AL69"/>
      <c r="AM69" s="2"/>
      <c r="AN69" s="2"/>
      <c r="AO69" s="2"/>
      <c r="AQ69" s="2"/>
      <c r="AR69" s="2"/>
      <c r="AS69" s="2"/>
    </row>
    <row r="70" spans="3:45" x14ac:dyDescent="0.2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V70"/>
      <c r="W70" s="2"/>
      <c r="X70" s="2"/>
      <c r="Y70" s="2"/>
      <c r="Z70"/>
      <c r="AA70" s="2"/>
      <c r="AB70" s="2"/>
      <c r="AC70" s="2"/>
      <c r="AD70"/>
      <c r="AE70"/>
      <c r="AF70"/>
      <c r="AG70"/>
      <c r="AH70"/>
      <c r="AI70" s="2"/>
      <c r="AJ70" s="2"/>
      <c r="AK70" s="2"/>
      <c r="AL70"/>
      <c r="AM70" s="2"/>
      <c r="AN70" s="2"/>
      <c r="AO70" s="2"/>
      <c r="AQ70" s="2"/>
      <c r="AR70" s="2"/>
      <c r="AS70" s="2"/>
    </row>
    <row r="71" spans="3:45" x14ac:dyDescent="0.2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V71"/>
      <c r="W71" s="2"/>
      <c r="X71" s="2"/>
      <c r="Y71" s="2"/>
      <c r="Z71"/>
      <c r="AA71" s="2"/>
      <c r="AB71" s="2"/>
      <c r="AC71" s="2"/>
      <c r="AD71"/>
      <c r="AE71"/>
      <c r="AF71"/>
      <c r="AG71"/>
      <c r="AH71"/>
      <c r="AI71" s="2"/>
      <c r="AJ71" s="2"/>
      <c r="AK71" s="2"/>
      <c r="AL71"/>
      <c r="AM71" s="2"/>
      <c r="AN71" s="2"/>
      <c r="AO71" s="2"/>
      <c r="AQ71" s="2"/>
      <c r="AR71" s="2"/>
      <c r="AS71" s="2"/>
    </row>
    <row r="72" spans="3:45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V72"/>
      <c r="W72" s="2"/>
      <c r="X72" s="2"/>
      <c r="Y72" s="2"/>
      <c r="Z72"/>
      <c r="AA72" s="2"/>
      <c r="AB72" s="2"/>
      <c r="AC72" s="2"/>
      <c r="AD72"/>
      <c r="AE72"/>
      <c r="AF72"/>
      <c r="AG72"/>
      <c r="AH72"/>
      <c r="AI72" s="2"/>
      <c r="AJ72" s="2"/>
      <c r="AK72" s="2"/>
      <c r="AL72"/>
      <c r="AM72" s="2"/>
      <c r="AN72" s="2"/>
      <c r="AO72" s="2"/>
      <c r="AQ72" s="2"/>
      <c r="AR72" s="2"/>
      <c r="AS72" s="2"/>
    </row>
    <row r="73" spans="3:45" x14ac:dyDescent="0.2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V73"/>
      <c r="W73" s="2"/>
      <c r="X73" s="2"/>
      <c r="Y73" s="2"/>
      <c r="Z73"/>
      <c r="AA73" s="2"/>
      <c r="AB73" s="2"/>
      <c r="AC73" s="2"/>
      <c r="AD73"/>
      <c r="AE73"/>
      <c r="AF73"/>
      <c r="AG73"/>
      <c r="AH73"/>
      <c r="AI73" s="2"/>
      <c r="AJ73" s="2"/>
      <c r="AK73" s="2"/>
      <c r="AL73"/>
      <c r="AM73" s="2"/>
      <c r="AN73" s="2"/>
      <c r="AO73" s="2"/>
      <c r="AQ73" s="2"/>
      <c r="AR73" s="2"/>
      <c r="AS73" s="2"/>
    </row>
    <row r="74" spans="3:45" x14ac:dyDescent="0.2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V74"/>
      <c r="W74" s="2"/>
      <c r="X74" s="2"/>
      <c r="Y74" s="2"/>
      <c r="Z74"/>
      <c r="AA74" s="2"/>
      <c r="AB74" s="2"/>
      <c r="AC74" s="2"/>
      <c r="AD74"/>
      <c r="AE74"/>
      <c r="AF74"/>
      <c r="AG74"/>
      <c r="AH74"/>
      <c r="AI74" s="2"/>
      <c r="AJ74" s="2"/>
      <c r="AK74" s="2"/>
      <c r="AL74"/>
      <c r="AM74" s="2"/>
      <c r="AN74" s="2"/>
      <c r="AO74" s="2"/>
      <c r="AQ74" s="2"/>
      <c r="AR74" s="2"/>
      <c r="AS74" s="2"/>
    </row>
    <row r="75" spans="3:45" x14ac:dyDescent="0.2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V75"/>
      <c r="W75" s="2"/>
      <c r="X75" s="2"/>
      <c r="Y75" s="2"/>
      <c r="Z75"/>
      <c r="AA75" s="2"/>
      <c r="AB75" s="2"/>
      <c r="AC75" s="2"/>
      <c r="AD75"/>
      <c r="AE75"/>
      <c r="AF75"/>
      <c r="AG75"/>
      <c r="AH75"/>
      <c r="AI75" s="2"/>
      <c r="AJ75" s="2"/>
      <c r="AK75" s="2"/>
      <c r="AL75"/>
      <c r="AM75" s="2"/>
      <c r="AN75" s="2"/>
      <c r="AO75" s="2"/>
      <c r="AQ75" s="2"/>
      <c r="AR75" s="2"/>
      <c r="AS75" s="2"/>
    </row>
    <row r="76" spans="3:45" x14ac:dyDescent="0.2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V76"/>
      <c r="W76" s="2"/>
      <c r="X76" s="2"/>
      <c r="Y76" s="2"/>
      <c r="Z76"/>
      <c r="AA76" s="2"/>
      <c r="AB76" s="2"/>
      <c r="AC76" s="2"/>
      <c r="AD76"/>
      <c r="AE76"/>
      <c r="AF76"/>
      <c r="AG76"/>
      <c r="AH76"/>
      <c r="AI76" s="2"/>
      <c r="AJ76" s="2"/>
      <c r="AK76" s="2"/>
      <c r="AL76"/>
      <c r="AM76" s="2"/>
      <c r="AN76" s="2"/>
      <c r="AO76" s="2"/>
      <c r="AQ76" s="2"/>
      <c r="AR76" s="2"/>
      <c r="AS76" s="2"/>
    </row>
    <row r="77" spans="3:45" x14ac:dyDescent="0.2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V77"/>
      <c r="Z77"/>
      <c r="AD77"/>
      <c r="AE77"/>
      <c r="AF77"/>
      <c r="AG77"/>
      <c r="AH77"/>
      <c r="AL77"/>
    </row>
    <row r="78" spans="3:45" x14ac:dyDescent="0.2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V78"/>
      <c r="Z78"/>
      <c r="AD78"/>
      <c r="AE78"/>
      <c r="AF78"/>
      <c r="AG78"/>
      <c r="AH78"/>
      <c r="AL78"/>
    </row>
    <row r="79" spans="3:45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V79"/>
      <c r="Z79"/>
      <c r="AD79"/>
      <c r="AE79"/>
      <c r="AF79"/>
      <c r="AG79"/>
      <c r="AH79"/>
      <c r="AL79"/>
    </row>
    <row r="80" spans="3:45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V80"/>
      <c r="Z80"/>
      <c r="AD80"/>
      <c r="AE80"/>
      <c r="AF80"/>
      <c r="AG80"/>
      <c r="AH80"/>
      <c r="AL80"/>
    </row>
    <row r="81" spans="3:38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V81"/>
      <c r="Z81"/>
      <c r="AD81"/>
      <c r="AE81"/>
      <c r="AF81"/>
      <c r="AG81"/>
      <c r="AH81"/>
      <c r="AL81"/>
    </row>
    <row r="82" spans="3:38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V82"/>
      <c r="Z82"/>
      <c r="AD82"/>
      <c r="AE82"/>
      <c r="AF82"/>
      <c r="AG82"/>
      <c r="AH82"/>
      <c r="AL82"/>
    </row>
    <row r="83" spans="3:38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V83"/>
      <c r="Z83"/>
      <c r="AD83"/>
      <c r="AE83"/>
      <c r="AF83"/>
      <c r="AG83"/>
      <c r="AH83"/>
      <c r="AL83"/>
    </row>
    <row r="84" spans="3:38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V84"/>
      <c r="Z84"/>
      <c r="AD84"/>
      <c r="AE84"/>
      <c r="AF84"/>
      <c r="AG84"/>
      <c r="AH84"/>
      <c r="AL84"/>
    </row>
    <row r="85" spans="3:38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V85"/>
      <c r="Z85"/>
      <c r="AD85"/>
      <c r="AE85"/>
      <c r="AF85"/>
      <c r="AG85"/>
      <c r="AH85"/>
      <c r="AL85"/>
    </row>
    <row r="86" spans="3:38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V86"/>
      <c r="Z86"/>
      <c r="AD86"/>
      <c r="AE86"/>
      <c r="AF86"/>
      <c r="AG86"/>
      <c r="AH86"/>
      <c r="AL86"/>
    </row>
    <row r="87" spans="3:38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V87"/>
      <c r="Z87"/>
      <c r="AD87"/>
      <c r="AE87"/>
      <c r="AF87"/>
      <c r="AG87"/>
      <c r="AH87"/>
      <c r="AL87"/>
    </row>
    <row r="88" spans="3:38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V88"/>
      <c r="Z88"/>
      <c r="AD88"/>
      <c r="AE88"/>
      <c r="AF88"/>
      <c r="AG88"/>
      <c r="AH88"/>
      <c r="AL88"/>
    </row>
    <row r="89" spans="3:38" x14ac:dyDescent="0.2">
      <c r="C89"/>
      <c r="D89"/>
      <c r="E89"/>
      <c r="F89"/>
      <c r="G89"/>
      <c r="H89"/>
      <c r="I89"/>
      <c r="J89"/>
      <c r="K89"/>
      <c r="L89"/>
      <c r="M89"/>
      <c r="N89"/>
      <c r="R89"/>
      <c r="V89"/>
      <c r="Z89"/>
      <c r="AD89"/>
      <c r="AE89"/>
      <c r="AF89"/>
      <c r="AG89"/>
      <c r="AH89"/>
      <c r="AL89"/>
    </row>
  </sheetData>
  <pageMargins left="0.45" right="0" top="0.5" bottom="0.5" header="0.3" footer="0.3"/>
  <pageSetup scale="80" orientation="landscape" r:id="rId1"/>
  <headerFooter>
    <oddFooter>&amp;CPage &amp;P of &amp;N&amp;R&amp;D</oddFooter>
  </headerFooter>
  <colBreaks count="9" manualBreakCount="9">
    <brk id="25" max="1048575" man="1"/>
    <brk id="37" max="1048575" man="1"/>
    <brk id="49" max="1048575" man="1"/>
    <brk id="61" max="1048575" man="1"/>
    <brk id="73" max="1048575" man="1"/>
    <brk id="85" max="1048575" man="1"/>
    <brk id="97" max="1048575" man="1"/>
    <brk id="109" max="1048575" man="1"/>
    <brk id="1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63831-1DB8-41A5-9E0C-400C1C29302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fb01b7f1-02f8-40dd-82e7-c2f3d510b46c"/>
    <ds:schemaRef ds:uri="0c8ef2fa-e185-4145-9060-da5e913317f5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C46B12F-591F-4362-A9BE-4171CA479259}"/>
</file>

<file path=customXml/itemProps3.xml><?xml version="1.0" encoding="utf-8"?>
<ds:datastoreItem xmlns:ds="http://schemas.openxmlformats.org/officeDocument/2006/customXml" ds:itemID="{B85C6524-6263-4041-A906-F229F91418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 2019B - Final</vt:lpstr>
      <vt:lpstr>'Ref 2019B -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2009(A&amp;B) DS Final</dc:title>
  <dc:creator>Weems R McFadden</dc:creator>
  <cp:lastModifiedBy>Cindy Lui</cp:lastModifiedBy>
  <cp:lastPrinted>2023-04-13T17:02:15Z</cp:lastPrinted>
  <dcterms:created xsi:type="dcterms:W3CDTF">1998-02-23T20:58:01Z</dcterms:created>
  <dcterms:modified xsi:type="dcterms:W3CDTF">2026-04-20T20:55:26Z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