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threadedComments/threadedComment2.xml" ContentType="application/vnd.ms-excel.threadedcomments+xml"/>
  <Override PartName="/xl/comments4.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usmd.sharepoint.com/sites/usmo-finrep-FinAff/Shared Documents/FinAff/Debt_ Digital Accessibility Reports/Debt Management/Revenue Bonds/EXCEL/"/>
    </mc:Choice>
  </mc:AlternateContent>
  <xr:revisionPtr revIDLastSave="4" documentId="8_{81E35DD6-E1C3-43B1-8BB7-5A85E990710B}" xr6:coauthVersionLast="47" xr6:coauthVersionMax="47" xr10:uidLastSave="{0C449105-ECD1-41ED-9559-770D25E84E18}"/>
  <bookViews>
    <workbookView xWindow="55980" yWindow="315" windowWidth="28245" windowHeight="14415" xr2:uid="{00000000-000D-0000-FFFF-FFFF00000000}"/>
  </bookViews>
  <sheets>
    <sheet name="2022A Revised" sheetId="15" r:id="rId1"/>
    <sheet name="Adjustment-42nd Amendment" sheetId="16" state="hidden" r:id="rId2"/>
    <sheet name="summary 8-14-23" sheetId="21" state="hidden" r:id="rId3"/>
    <sheet name="summary 2-14-24" sheetId="25" state="hidden" r:id="rId4"/>
    <sheet name="summary Final 4-19-24" sheetId="28" state="hidden" r:id="rId5"/>
  </sheets>
  <externalReferences>
    <externalReference r:id="rId6"/>
    <externalReference r:id="rId7"/>
    <externalReference r:id="rId8"/>
    <externalReference r:id="rId9"/>
    <externalReference r:id="rId10"/>
  </externalReferences>
  <definedNames>
    <definedName name="_xlnm._FilterDatabase" localSheetId="0" hidden="1">'2022A Revised'!$BF$1:$BF$601</definedName>
    <definedName name="_xlnm.Print_Area" localSheetId="0">'2022A Revised'!$A$1:$BX$71</definedName>
    <definedName name="_xlnm.Print_Titles" localSheetId="0">'2022A Revised'!$A:$A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3" i="15" l="1"/>
  <c r="AG11" i="15"/>
  <c r="AH13" i="15"/>
  <c r="AH12" i="15"/>
  <c r="AH11" i="15"/>
  <c r="AH10" i="15"/>
  <c r="AI7" i="15"/>
  <c r="AH8" i="15"/>
  <c r="AG8" i="15"/>
  <c r="AH7" i="15"/>
  <c r="AG7" i="15"/>
  <c r="BS12" i="15"/>
  <c r="BS14" i="15"/>
  <c r="BR8" i="15"/>
  <c r="BR13" i="15" s="1"/>
  <c r="BS13" i="15" l="1"/>
  <c r="BS15" i="15" l="1"/>
  <c r="BS16" i="15"/>
  <c r="BS17" i="15"/>
  <c r="BS18" i="15"/>
  <c r="BS19" i="15"/>
  <c r="BS20" i="15"/>
  <c r="BS21" i="15"/>
  <c r="BS22" i="15"/>
  <c r="BS23" i="15"/>
  <c r="BS24" i="15"/>
  <c r="BS25" i="15"/>
  <c r="BS26" i="15"/>
  <c r="BS27" i="15"/>
  <c r="BS28" i="15"/>
  <c r="BS29" i="15"/>
  <c r="BS30" i="15"/>
  <c r="BS31" i="15"/>
  <c r="BS32" i="15"/>
  <c r="BS33" i="15"/>
  <c r="BS34" i="15"/>
  <c r="BS35" i="15"/>
  <c r="BS36" i="15"/>
  <c r="BS37" i="15"/>
  <c r="BS38" i="15"/>
  <c r="BS39" i="15"/>
  <c r="BS40" i="15"/>
  <c r="BS41" i="15"/>
  <c r="BS42" i="15"/>
  <c r="BS43" i="15"/>
  <c r="BS44" i="15"/>
  <c r="BS45" i="15"/>
  <c r="BS46" i="15"/>
  <c r="BS47" i="15"/>
  <c r="BS48" i="15"/>
  <c r="BS49" i="15"/>
  <c r="BR15" i="15"/>
  <c r="BR17" i="15"/>
  <c r="BT18" i="15"/>
  <c r="BR19" i="15"/>
  <c r="BR21" i="15"/>
  <c r="BR23" i="15"/>
  <c r="BT24" i="15"/>
  <c r="BR25" i="15"/>
  <c r="BT26" i="15"/>
  <c r="BR27" i="15"/>
  <c r="BR29" i="15"/>
  <c r="BT30" i="15"/>
  <c r="BR31" i="15"/>
  <c r="BR33" i="15"/>
  <c r="BR35" i="15"/>
  <c r="BT36" i="15"/>
  <c r="BR37" i="15"/>
  <c r="BT38" i="15"/>
  <c r="BR39" i="15"/>
  <c r="BR41" i="15"/>
  <c r="BT42" i="15"/>
  <c r="BR43" i="15"/>
  <c r="BR45" i="15"/>
  <c r="BR47" i="15"/>
  <c r="BT48" i="15"/>
  <c r="BR49" i="15"/>
  <c r="BT14" i="15"/>
  <c r="BR11" i="15"/>
  <c r="BT46" i="15" l="1"/>
  <c r="BT34" i="15"/>
  <c r="BT22" i="15"/>
  <c r="BT35" i="15"/>
  <c r="BT23" i="15"/>
  <c r="BT39" i="15"/>
  <c r="BT27" i="15"/>
  <c r="BT47" i="15"/>
  <c r="BT25" i="15"/>
  <c r="BT44" i="15"/>
  <c r="BT32" i="15"/>
  <c r="BT20" i="15"/>
  <c r="BT43" i="15"/>
  <c r="BT31" i="15"/>
  <c r="BT19" i="15"/>
  <c r="BT33" i="15"/>
  <c r="BT17" i="15"/>
  <c r="BT40" i="15"/>
  <c r="BT28" i="15"/>
  <c r="BT16" i="15"/>
  <c r="BT41" i="15"/>
  <c r="BT15" i="15"/>
  <c r="BT45" i="15"/>
  <c r="BT49" i="15"/>
  <c r="BT37" i="15"/>
  <c r="BR71" i="15"/>
  <c r="BT29" i="15"/>
  <c r="BT21" i="15"/>
  <c r="AT12" i="15" l="1"/>
  <c r="J66" i="15" l="1"/>
  <c r="Q8" i="15"/>
  <c r="S7" i="15"/>
  <c r="R7" i="15"/>
  <c r="Q7" i="15"/>
  <c r="AM12" i="15"/>
  <c r="AM11" i="15"/>
  <c r="AQ10" i="15"/>
  <c r="AP12" i="15" l="1"/>
  <c r="AT11" i="15"/>
  <c r="BO12" i="15" l="1"/>
  <c r="BG12" i="15"/>
  <c r="BC12" i="15"/>
  <c r="AY12" i="15"/>
  <c r="Z12" i="15"/>
  <c r="V12" i="15"/>
  <c r="V13" i="15"/>
  <c r="AL14" i="15"/>
  <c r="BJ15" i="15"/>
  <c r="BK15" i="15"/>
  <c r="BK16" i="15"/>
  <c r="BJ17" i="15"/>
  <c r="BK17" i="15"/>
  <c r="BK18" i="15"/>
  <c r="BJ19" i="15"/>
  <c r="BK19" i="15"/>
  <c r="BK20" i="15"/>
  <c r="BJ21" i="15"/>
  <c r="BK21" i="15"/>
  <c r="BK22" i="15"/>
  <c r="BJ23" i="15"/>
  <c r="BK23" i="15"/>
  <c r="BK24" i="15"/>
  <c r="BJ25" i="15"/>
  <c r="BK25" i="15"/>
  <c r="BK26" i="15"/>
  <c r="BJ27" i="15"/>
  <c r="BK27" i="15"/>
  <c r="BK28" i="15"/>
  <c r="BJ29" i="15"/>
  <c r="BK29" i="15"/>
  <c r="BK30" i="15"/>
  <c r="BJ31" i="15"/>
  <c r="BK31" i="15"/>
  <c r="BK32" i="15"/>
  <c r="BJ33" i="15"/>
  <c r="BK33" i="15"/>
  <c r="BK34" i="15"/>
  <c r="BJ35" i="15"/>
  <c r="BK35" i="15"/>
  <c r="BK36" i="15"/>
  <c r="BJ37" i="15"/>
  <c r="BK37" i="15"/>
  <c r="BK38" i="15"/>
  <c r="BJ39" i="15"/>
  <c r="BK39" i="15"/>
  <c r="BK40" i="15"/>
  <c r="BJ41" i="15"/>
  <c r="BK41" i="15"/>
  <c r="BK42" i="15"/>
  <c r="BJ43" i="15"/>
  <c r="BK43" i="15"/>
  <c r="BK44" i="15"/>
  <c r="BJ45" i="15"/>
  <c r="BK45" i="15"/>
  <c r="BK46" i="15"/>
  <c r="BJ47" i="15"/>
  <c r="BK47" i="15"/>
  <c r="BK48" i="15"/>
  <c r="BJ49" i="15"/>
  <c r="BK49" i="15"/>
  <c r="BK14" i="15"/>
  <c r="BF15" i="15"/>
  <c r="BG15" i="15"/>
  <c r="BG16" i="15"/>
  <c r="BF17" i="15"/>
  <c r="BG17" i="15"/>
  <c r="BG18" i="15"/>
  <c r="BF19" i="15"/>
  <c r="BG19" i="15"/>
  <c r="BG20" i="15"/>
  <c r="BF21" i="15"/>
  <c r="BG21" i="15"/>
  <c r="BG22" i="15"/>
  <c r="BF23" i="15"/>
  <c r="BG23" i="15"/>
  <c r="BG24" i="15"/>
  <c r="BF25" i="15"/>
  <c r="BG25" i="15"/>
  <c r="BG26" i="15"/>
  <c r="BF27" i="15"/>
  <c r="BG27" i="15"/>
  <c r="BG28" i="15"/>
  <c r="BF29" i="15"/>
  <c r="BG29" i="15"/>
  <c r="BG30" i="15"/>
  <c r="BF31" i="15"/>
  <c r="BG31" i="15"/>
  <c r="BG32" i="15"/>
  <c r="BF33" i="15"/>
  <c r="BG33" i="15"/>
  <c r="BG34" i="15"/>
  <c r="BF35" i="15"/>
  <c r="BG35" i="15"/>
  <c r="BG36" i="15"/>
  <c r="BF37" i="15"/>
  <c r="BG37" i="15"/>
  <c r="BH37" i="15" s="1"/>
  <c r="BG38" i="15"/>
  <c r="BF39" i="15"/>
  <c r="BG39" i="15"/>
  <c r="BG40" i="15"/>
  <c r="BF41" i="15"/>
  <c r="BG41" i="15"/>
  <c r="BG42" i="15"/>
  <c r="BF43" i="15"/>
  <c r="BG43" i="15"/>
  <c r="BG44" i="15"/>
  <c r="BF45" i="15"/>
  <c r="BG45" i="15"/>
  <c r="BG46" i="15"/>
  <c r="BF47" i="15"/>
  <c r="BG47" i="15"/>
  <c r="BG48" i="15"/>
  <c r="BF49" i="15"/>
  <c r="BG49" i="15"/>
  <c r="BG14" i="15"/>
  <c r="BB15" i="15"/>
  <c r="BC15" i="15"/>
  <c r="BC16" i="15"/>
  <c r="BB17" i="15"/>
  <c r="BC17" i="15"/>
  <c r="BC18" i="15"/>
  <c r="BB19" i="15"/>
  <c r="BC19" i="15"/>
  <c r="BC20" i="15"/>
  <c r="BB21" i="15"/>
  <c r="BC21" i="15"/>
  <c r="BC22" i="15"/>
  <c r="BB23" i="15"/>
  <c r="BC23" i="15"/>
  <c r="BC24" i="15"/>
  <c r="BB25" i="15"/>
  <c r="BC25" i="15"/>
  <c r="BC26" i="15"/>
  <c r="BB27" i="15"/>
  <c r="BC27" i="15"/>
  <c r="BC28" i="15"/>
  <c r="BB29" i="15"/>
  <c r="BC29" i="15"/>
  <c r="BC30" i="15"/>
  <c r="BB31" i="15"/>
  <c r="BC31" i="15"/>
  <c r="BC32" i="15"/>
  <c r="BB33" i="15"/>
  <c r="BC33" i="15"/>
  <c r="BC34" i="15"/>
  <c r="BB35" i="15"/>
  <c r="BC35" i="15"/>
  <c r="BC36" i="15"/>
  <c r="BB37" i="15"/>
  <c r="BC37" i="15"/>
  <c r="BC38" i="15"/>
  <c r="BB39" i="15"/>
  <c r="BC39" i="15"/>
  <c r="BC40" i="15"/>
  <c r="BD40" i="15" s="1"/>
  <c r="BB41" i="15"/>
  <c r="BC41" i="15"/>
  <c r="BC42" i="15"/>
  <c r="BB43" i="15"/>
  <c r="BC43" i="15"/>
  <c r="BC44" i="15"/>
  <c r="BB45" i="15"/>
  <c r="BC45" i="15"/>
  <c r="BD46" i="15"/>
  <c r="BC46" i="15"/>
  <c r="BB47" i="15"/>
  <c r="BC47" i="15"/>
  <c r="BC48" i="15"/>
  <c r="BB49" i="15"/>
  <c r="BC49" i="15"/>
  <c r="BD49" i="15" s="1"/>
  <c r="BC14" i="15"/>
  <c r="BD14" i="15"/>
  <c r="AX15" i="15"/>
  <c r="AY15" i="15"/>
  <c r="AY16" i="15"/>
  <c r="AX17" i="15"/>
  <c r="AG17" i="15" s="1"/>
  <c r="AY17" i="15"/>
  <c r="AY18" i="15"/>
  <c r="AX19" i="15"/>
  <c r="AY19" i="15"/>
  <c r="AY20" i="15"/>
  <c r="AX21" i="15"/>
  <c r="AY21" i="15"/>
  <c r="AY22" i="15"/>
  <c r="AX23" i="15"/>
  <c r="AY23" i="15"/>
  <c r="AY24" i="15"/>
  <c r="AX25" i="15"/>
  <c r="AG25" i="15" s="1"/>
  <c r="AY25" i="15"/>
  <c r="AY26" i="15"/>
  <c r="AX27" i="15"/>
  <c r="AY27" i="15"/>
  <c r="AY28" i="15"/>
  <c r="AX29" i="15"/>
  <c r="AY29" i="15"/>
  <c r="AY30" i="15"/>
  <c r="AX31" i="15"/>
  <c r="AY31" i="15"/>
  <c r="AY32" i="15"/>
  <c r="AX33" i="15"/>
  <c r="AG33" i="15" s="1"/>
  <c r="AY33" i="15"/>
  <c r="AY34" i="15"/>
  <c r="AX35" i="15"/>
  <c r="AY35" i="15"/>
  <c r="AY36" i="15"/>
  <c r="AX37" i="15"/>
  <c r="AY37" i="15"/>
  <c r="AY38" i="15"/>
  <c r="AX39" i="15"/>
  <c r="AY39" i="15"/>
  <c r="AY40" i="15"/>
  <c r="AX41" i="15"/>
  <c r="AG41" i="15" s="1"/>
  <c r="AY41" i="15"/>
  <c r="AY42" i="15"/>
  <c r="AX43" i="15"/>
  <c r="AY43" i="15"/>
  <c r="AY44" i="15"/>
  <c r="AX45" i="15"/>
  <c r="AY45" i="15"/>
  <c r="AY46" i="15"/>
  <c r="AX47" i="15"/>
  <c r="AY47" i="15"/>
  <c r="AY48" i="15"/>
  <c r="AH48" i="15" s="1"/>
  <c r="AX49" i="15"/>
  <c r="AG49" i="15" s="1"/>
  <c r="AY49" i="15"/>
  <c r="AY14" i="15"/>
  <c r="AZ14" i="15"/>
  <c r="AO15" i="15"/>
  <c r="AP15" i="15"/>
  <c r="AP16" i="15"/>
  <c r="AO17" i="15"/>
  <c r="AP17" i="15"/>
  <c r="AP18" i="15"/>
  <c r="AO19" i="15"/>
  <c r="AP19" i="15"/>
  <c r="AP20" i="15"/>
  <c r="AO21" i="15"/>
  <c r="AP21" i="15"/>
  <c r="AP22" i="15"/>
  <c r="AO23" i="15"/>
  <c r="AP23" i="15"/>
  <c r="AP24" i="15"/>
  <c r="AO25" i="15"/>
  <c r="AP25" i="15"/>
  <c r="AP26" i="15"/>
  <c r="AO27" i="15"/>
  <c r="AP27" i="15"/>
  <c r="AP28" i="15"/>
  <c r="AO29" i="15"/>
  <c r="AP29" i="15"/>
  <c r="AP30" i="15"/>
  <c r="AO31" i="15"/>
  <c r="AP31" i="15"/>
  <c r="AQ31" i="15" s="1"/>
  <c r="AP32" i="15"/>
  <c r="AO33" i="15"/>
  <c r="AP33" i="15"/>
  <c r="AP34" i="15"/>
  <c r="AO35" i="15"/>
  <c r="AP35" i="15"/>
  <c r="AP36" i="15"/>
  <c r="AO37" i="15"/>
  <c r="AP37" i="15"/>
  <c r="AP38" i="15"/>
  <c r="AO39" i="15"/>
  <c r="AP39" i="15"/>
  <c r="AP40" i="15"/>
  <c r="AO41" i="15"/>
  <c r="AP41" i="15"/>
  <c r="AP42" i="15"/>
  <c r="AO43" i="15"/>
  <c r="AP43" i="15"/>
  <c r="AQ43" i="15" s="1"/>
  <c r="AP44" i="15"/>
  <c r="AO45" i="15"/>
  <c r="AP45" i="15"/>
  <c r="AP46" i="15"/>
  <c r="AO47" i="15"/>
  <c r="AP47" i="15"/>
  <c r="AP48" i="15"/>
  <c r="AO49" i="15"/>
  <c r="AP49" i="15"/>
  <c r="AP14" i="15"/>
  <c r="AK15" i="15"/>
  <c r="AL15" i="15"/>
  <c r="AL16" i="15"/>
  <c r="AK17" i="15"/>
  <c r="AL17" i="15"/>
  <c r="AL18" i="15"/>
  <c r="AK19" i="15"/>
  <c r="AL19" i="15"/>
  <c r="AL20" i="15"/>
  <c r="AK21" i="15"/>
  <c r="AL21" i="15"/>
  <c r="AL22" i="15"/>
  <c r="AK23" i="15"/>
  <c r="AL23" i="15"/>
  <c r="AL24" i="15"/>
  <c r="AK25" i="15"/>
  <c r="AL25" i="15"/>
  <c r="AL26" i="15"/>
  <c r="AK27" i="15"/>
  <c r="AL27" i="15"/>
  <c r="AL28" i="15"/>
  <c r="AK29" i="15"/>
  <c r="AL29" i="15"/>
  <c r="AL30" i="15"/>
  <c r="AK31" i="15"/>
  <c r="AL31" i="15"/>
  <c r="AL32" i="15"/>
  <c r="AK33" i="15"/>
  <c r="AL33" i="15"/>
  <c r="AL34" i="15"/>
  <c r="AK35" i="15"/>
  <c r="AM35" i="15" s="1"/>
  <c r="AL35" i="15"/>
  <c r="AL36" i="15"/>
  <c r="AK37" i="15"/>
  <c r="AL37" i="15"/>
  <c r="AL38" i="15"/>
  <c r="AK39" i="15"/>
  <c r="AL39" i="15"/>
  <c r="AL40" i="15"/>
  <c r="AK41" i="15"/>
  <c r="AL41" i="15"/>
  <c r="AL42" i="15"/>
  <c r="AK43" i="15"/>
  <c r="AL43" i="15"/>
  <c r="AL44" i="15"/>
  <c r="AK45" i="15"/>
  <c r="AL45" i="15"/>
  <c r="AL46" i="15"/>
  <c r="AK47" i="15"/>
  <c r="AL47" i="15"/>
  <c r="AL48" i="15"/>
  <c r="AK49" i="15"/>
  <c r="AL49" i="15"/>
  <c r="H682" i="28"/>
  <c r="H680" i="28"/>
  <c r="H678" i="28"/>
  <c r="H676" i="28"/>
  <c r="H674" i="28"/>
  <c r="H672" i="28"/>
  <c r="H670" i="28"/>
  <c r="H668" i="28"/>
  <c r="H666" i="28"/>
  <c r="H664" i="28"/>
  <c r="H662" i="28"/>
  <c r="H660" i="28"/>
  <c r="H658" i="28"/>
  <c r="H656" i="28"/>
  <c r="H654" i="28"/>
  <c r="H652" i="28"/>
  <c r="H650" i="28"/>
  <c r="H648" i="28"/>
  <c r="H646" i="28"/>
  <c r="H644" i="28"/>
  <c r="H642" i="28"/>
  <c r="H640" i="28"/>
  <c r="H638" i="28"/>
  <c r="H636" i="28"/>
  <c r="H634" i="28"/>
  <c r="H632" i="28"/>
  <c r="H630" i="28"/>
  <c r="H628" i="28"/>
  <c r="H626" i="28"/>
  <c r="H624" i="28"/>
  <c r="H622" i="28"/>
  <c r="H620" i="28"/>
  <c r="H618" i="28"/>
  <c r="H616" i="28"/>
  <c r="H614" i="28"/>
  <c r="H612" i="28"/>
  <c r="C609" i="28"/>
  <c r="C608" i="28"/>
  <c r="C610" i="28" s="1"/>
  <c r="H598" i="28"/>
  <c r="H596" i="28"/>
  <c r="H594" i="28"/>
  <c r="H592" i="28"/>
  <c r="H590" i="28"/>
  <c r="H588" i="28"/>
  <c r="H586" i="28"/>
  <c r="H584" i="28"/>
  <c r="H582" i="28"/>
  <c r="H580" i="28"/>
  <c r="H578" i="28"/>
  <c r="H576" i="28"/>
  <c r="H574" i="28"/>
  <c r="H572" i="28"/>
  <c r="H570" i="28"/>
  <c r="H568" i="28"/>
  <c r="H566" i="28"/>
  <c r="H564" i="28"/>
  <c r="H562" i="28"/>
  <c r="H560" i="28"/>
  <c r="H558" i="28"/>
  <c r="C603" i="28" s="1"/>
  <c r="H556" i="28"/>
  <c r="H554" i="28"/>
  <c r="H552" i="28"/>
  <c r="H550" i="28"/>
  <c r="H548" i="28"/>
  <c r="H546" i="28"/>
  <c r="H544" i="28"/>
  <c r="H542" i="28"/>
  <c r="H540" i="28"/>
  <c r="H538" i="28"/>
  <c r="H536" i="28"/>
  <c r="H534" i="28"/>
  <c r="H532" i="28"/>
  <c r="H530" i="28"/>
  <c r="H528" i="28"/>
  <c r="H526" i="28"/>
  <c r="H524" i="28"/>
  <c r="H522" i="28"/>
  <c r="H520" i="28"/>
  <c r="H518" i="28"/>
  <c r="H516" i="28"/>
  <c r="H514" i="28"/>
  <c r="H512" i="28"/>
  <c r="H510" i="28"/>
  <c r="H508" i="28"/>
  <c r="H506" i="28"/>
  <c r="H504" i="28"/>
  <c r="H502" i="28"/>
  <c r="H500" i="28"/>
  <c r="H498" i="28"/>
  <c r="C497" i="28"/>
  <c r="H496" i="28"/>
  <c r="H494" i="28"/>
  <c r="H492" i="28"/>
  <c r="H490" i="28"/>
  <c r="H488" i="28"/>
  <c r="H486" i="28"/>
  <c r="H484" i="28"/>
  <c r="H482" i="28"/>
  <c r="H480" i="28"/>
  <c r="H478" i="28"/>
  <c r="H476" i="28"/>
  <c r="H474" i="28"/>
  <c r="H472" i="28"/>
  <c r="H470" i="28"/>
  <c r="H468" i="28"/>
  <c r="H466" i="28"/>
  <c r="H464" i="28"/>
  <c r="H462" i="28"/>
  <c r="H460" i="28"/>
  <c r="H458" i="28"/>
  <c r="H456" i="28"/>
  <c r="H454" i="28"/>
  <c r="H452" i="28"/>
  <c r="H450" i="28"/>
  <c r="C449" i="28"/>
  <c r="C445" i="28" s="1"/>
  <c r="H448" i="28"/>
  <c r="J446" i="28"/>
  <c r="H446" i="28"/>
  <c r="J444" i="28"/>
  <c r="H444" i="28"/>
  <c r="J442" i="28"/>
  <c r="H442" i="28"/>
  <c r="C441" i="28"/>
  <c r="J437" i="28"/>
  <c r="H437" i="28"/>
  <c r="N433" i="28"/>
  <c r="H433" i="28"/>
  <c r="G433" i="28"/>
  <c r="E433" i="28"/>
  <c r="D433" i="28"/>
  <c r="C433" i="28"/>
  <c r="L431" i="28"/>
  <c r="F431" i="28"/>
  <c r="X430" i="28"/>
  <c r="P430" i="28"/>
  <c r="M430" i="28"/>
  <c r="K430" i="28"/>
  <c r="J430" i="28"/>
  <c r="I430" i="28"/>
  <c r="F430" i="28"/>
  <c r="X429" i="28"/>
  <c r="M429" i="28"/>
  <c r="K429" i="28"/>
  <c r="O431" i="28" s="1"/>
  <c r="J429" i="28"/>
  <c r="I429" i="28"/>
  <c r="F429" i="28"/>
  <c r="P429" i="28" s="1"/>
  <c r="X428" i="28"/>
  <c r="M428" i="28"/>
  <c r="M433" i="28" s="1"/>
  <c r="K428" i="28"/>
  <c r="J428" i="28"/>
  <c r="I428" i="28"/>
  <c r="F428" i="28"/>
  <c r="P428" i="28" s="1"/>
  <c r="O427" i="28"/>
  <c r="L427" i="28"/>
  <c r="F427" i="28"/>
  <c r="F433" i="28" s="1"/>
  <c r="X426" i="28"/>
  <c r="O426" i="28"/>
  <c r="K426" i="28"/>
  <c r="J426" i="28"/>
  <c r="I426" i="28"/>
  <c r="O423" i="28"/>
  <c r="N423" i="28"/>
  <c r="H423" i="28"/>
  <c r="G423" i="28"/>
  <c r="E423" i="28"/>
  <c r="D423" i="28"/>
  <c r="C423" i="28"/>
  <c r="X421" i="28"/>
  <c r="P421" i="28"/>
  <c r="M421" i="28"/>
  <c r="K421" i="28"/>
  <c r="J421" i="28"/>
  <c r="I421" i="28"/>
  <c r="F421" i="28"/>
  <c r="X420" i="28"/>
  <c r="P420" i="28"/>
  <c r="M420" i="28"/>
  <c r="K420" i="28"/>
  <c r="J420" i="28"/>
  <c r="I420" i="28"/>
  <c r="F420" i="28"/>
  <c r="X419" i="28"/>
  <c r="M419" i="28"/>
  <c r="L419" i="28"/>
  <c r="Y419" i="28" s="1"/>
  <c r="F419" i="28"/>
  <c r="P419" i="28" s="1"/>
  <c r="X418" i="28"/>
  <c r="P418" i="28"/>
  <c r="M418" i="28"/>
  <c r="M423" i="28" s="1"/>
  <c r="K418" i="28"/>
  <c r="J418" i="28"/>
  <c r="I418" i="28"/>
  <c r="F418" i="28"/>
  <c r="F423" i="28" s="1"/>
  <c r="N415" i="28"/>
  <c r="J415" i="28"/>
  <c r="I415" i="28"/>
  <c r="H415" i="28"/>
  <c r="G415" i="28"/>
  <c r="E415" i="28"/>
  <c r="D415" i="28"/>
  <c r="C415" i="28"/>
  <c r="L413" i="28"/>
  <c r="K413" i="28"/>
  <c r="F413" i="28"/>
  <c r="X412" i="28"/>
  <c r="M412" i="28"/>
  <c r="K412" i="28"/>
  <c r="L412" i="28" s="1"/>
  <c r="Y412" i="28" s="1"/>
  <c r="F412" i="28"/>
  <c r="P412" i="28" s="1"/>
  <c r="Y411" i="28"/>
  <c r="X411" i="28"/>
  <c r="P411" i="28"/>
  <c r="M411" i="28"/>
  <c r="M415" i="28" s="1"/>
  <c r="L411" i="28"/>
  <c r="F411" i="28"/>
  <c r="Y410" i="28"/>
  <c r="X410" i="28"/>
  <c r="P410" i="28"/>
  <c r="M410" i="28"/>
  <c r="L410" i="28"/>
  <c r="F410" i="28"/>
  <c r="O409" i="28"/>
  <c r="K409" i="28"/>
  <c r="L409" i="28" s="1"/>
  <c r="F409" i="28"/>
  <c r="O408" i="28"/>
  <c r="O415" i="28" s="1"/>
  <c r="K408" i="28"/>
  <c r="F408" i="28"/>
  <c r="L407" i="28"/>
  <c r="F407" i="28"/>
  <c r="F415" i="28" s="1"/>
  <c r="N404" i="28"/>
  <c r="H404" i="28"/>
  <c r="G404" i="28"/>
  <c r="E404" i="28"/>
  <c r="D404" i="28"/>
  <c r="C404" i="28"/>
  <c r="X402" i="28"/>
  <c r="P402" i="28"/>
  <c r="M402" i="28"/>
  <c r="K402" i="28"/>
  <c r="J402" i="28"/>
  <c r="I402" i="28"/>
  <c r="F402" i="28"/>
  <c r="X401" i="28"/>
  <c r="M401" i="28"/>
  <c r="L401" i="28"/>
  <c r="Y401" i="28" s="1"/>
  <c r="F401" i="28"/>
  <c r="F404" i="28" s="1"/>
  <c r="X400" i="28"/>
  <c r="P400" i="28"/>
  <c r="M400" i="28"/>
  <c r="M404" i="28" s="1"/>
  <c r="K400" i="28"/>
  <c r="J400" i="28"/>
  <c r="I400" i="28"/>
  <c r="F400" i="28"/>
  <c r="O399" i="28"/>
  <c r="O404" i="28" s="1"/>
  <c r="K399" i="28"/>
  <c r="J399" i="28"/>
  <c r="I399" i="28"/>
  <c r="F399" i="28"/>
  <c r="L398" i="28"/>
  <c r="F398" i="28"/>
  <c r="O395" i="28"/>
  <c r="N395" i="28"/>
  <c r="H395" i="28"/>
  <c r="G395" i="28"/>
  <c r="E395" i="28"/>
  <c r="D395" i="28"/>
  <c r="C395" i="28"/>
  <c r="X393" i="28"/>
  <c r="M393" i="28"/>
  <c r="K393" i="28"/>
  <c r="J393" i="28"/>
  <c r="I393" i="28"/>
  <c r="F393" i="28"/>
  <c r="F395" i="28" s="1"/>
  <c r="X392" i="28"/>
  <c r="M392" i="28"/>
  <c r="K392" i="28"/>
  <c r="J392" i="28"/>
  <c r="I392" i="28"/>
  <c r="F392" i="28"/>
  <c r="P392" i="28" s="1"/>
  <c r="X391" i="28"/>
  <c r="P391" i="28"/>
  <c r="M391" i="28"/>
  <c r="K391" i="28"/>
  <c r="J391" i="28"/>
  <c r="I391" i="28"/>
  <c r="F391" i="28"/>
  <c r="X390" i="28"/>
  <c r="P390" i="28"/>
  <c r="M390" i="28"/>
  <c r="K390" i="28"/>
  <c r="J390" i="28"/>
  <c r="I390" i="28"/>
  <c r="F390" i="28"/>
  <c r="X389" i="28"/>
  <c r="P389" i="28"/>
  <c r="M389" i="28"/>
  <c r="L389" i="28"/>
  <c r="Y389" i="28" s="1"/>
  <c r="F389" i="28"/>
  <c r="X388" i="28"/>
  <c r="P388" i="28"/>
  <c r="M388" i="28"/>
  <c r="K388" i="28"/>
  <c r="J388" i="28"/>
  <c r="I388" i="28"/>
  <c r="L388" i="28" s="1"/>
  <c r="Y388" i="28" s="1"/>
  <c r="X387" i="28"/>
  <c r="P387" i="28"/>
  <c r="M387" i="28"/>
  <c r="K387" i="28"/>
  <c r="J387" i="28"/>
  <c r="I387" i="28"/>
  <c r="F387" i="28"/>
  <c r="X386" i="28"/>
  <c r="M386" i="28"/>
  <c r="M395" i="28" s="1"/>
  <c r="K386" i="28"/>
  <c r="J386" i="28"/>
  <c r="I386" i="28"/>
  <c r="L386" i="28" s="1"/>
  <c r="F386" i="28"/>
  <c r="P386" i="28" s="1"/>
  <c r="O383" i="28"/>
  <c r="N383" i="28"/>
  <c r="M383" i="28"/>
  <c r="J383" i="28"/>
  <c r="I383" i="28"/>
  <c r="H383" i="28"/>
  <c r="G383" i="28"/>
  <c r="E383" i="28"/>
  <c r="D383" i="28"/>
  <c r="C383" i="28"/>
  <c r="X381" i="28"/>
  <c r="M381" i="28"/>
  <c r="K381" i="28"/>
  <c r="K383" i="28" s="1"/>
  <c r="F381" i="28"/>
  <c r="F383" i="28" s="1"/>
  <c r="D381" i="28"/>
  <c r="P381" i="28" s="1"/>
  <c r="Y380" i="28"/>
  <c r="X380" i="28"/>
  <c r="P380" i="28"/>
  <c r="M380" i="28"/>
  <c r="L380" i="28"/>
  <c r="F380" i="28"/>
  <c r="O377" i="28"/>
  <c r="N377" i="28"/>
  <c r="J377" i="28"/>
  <c r="I377" i="28"/>
  <c r="H377" i="28"/>
  <c r="G377" i="28"/>
  <c r="E377" i="28"/>
  <c r="D377" i="28"/>
  <c r="D435" i="28" s="1"/>
  <c r="X375" i="28"/>
  <c r="P375" i="28"/>
  <c r="M375" i="28"/>
  <c r="L375" i="28"/>
  <c r="Y375" i="28" s="1"/>
  <c r="X374" i="28"/>
  <c r="M374" i="28"/>
  <c r="L374" i="28"/>
  <c r="Y374" i="28" s="1"/>
  <c r="F374" i="28"/>
  <c r="P374" i="28" s="1"/>
  <c r="X373" i="28"/>
  <c r="P373" i="28"/>
  <c r="M373" i="28"/>
  <c r="L373" i="28"/>
  <c r="Y373" i="28" s="1"/>
  <c r="F373" i="28"/>
  <c r="F377" i="28" s="1"/>
  <c r="X372" i="28"/>
  <c r="M372" i="28"/>
  <c r="K372" i="28"/>
  <c r="L372" i="28" s="1"/>
  <c r="Y372" i="28" s="1"/>
  <c r="F372" i="28"/>
  <c r="C372" i="28"/>
  <c r="P372" i="28" s="1"/>
  <c r="X371" i="28"/>
  <c r="P371" i="28"/>
  <c r="M371" i="28"/>
  <c r="M377" i="28" s="1"/>
  <c r="K371" i="28"/>
  <c r="O368" i="28"/>
  <c r="N368" i="28"/>
  <c r="I368" i="28"/>
  <c r="H368" i="28"/>
  <c r="H435" i="28" s="1"/>
  <c r="G368" i="28"/>
  <c r="F368" i="28"/>
  <c r="E368" i="28"/>
  <c r="E435" i="28" s="1"/>
  <c r="D368" i="28"/>
  <c r="C368" i="28"/>
  <c r="P368" i="28" s="1"/>
  <c r="X366" i="28"/>
  <c r="P366" i="28"/>
  <c r="M366" i="28"/>
  <c r="M368" i="28" s="1"/>
  <c r="K366" i="28"/>
  <c r="J366" i="28"/>
  <c r="X365" i="28"/>
  <c r="P365" i="28"/>
  <c r="M365" i="28"/>
  <c r="K365" i="28"/>
  <c r="J365" i="28"/>
  <c r="O362" i="28"/>
  <c r="N362" i="28"/>
  <c r="M362" i="28"/>
  <c r="I362" i="28"/>
  <c r="H362" i="28"/>
  <c r="G362" i="28"/>
  <c r="E362" i="28"/>
  <c r="D362" i="28"/>
  <c r="C362" i="28"/>
  <c r="X360" i="28"/>
  <c r="P360" i="28"/>
  <c r="M360" i="28"/>
  <c r="K360" i="28"/>
  <c r="J360" i="28"/>
  <c r="F360" i="28"/>
  <c r="F362" i="28" s="1"/>
  <c r="X359" i="28"/>
  <c r="P359" i="28"/>
  <c r="M359" i="28"/>
  <c r="K359" i="28"/>
  <c r="J359" i="28"/>
  <c r="X358" i="28"/>
  <c r="P358" i="28"/>
  <c r="M358" i="28"/>
  <c r="K358" i="28"/>
  <c r="J358" i="28"/>
  <c r="L358" i="28" s="1"/>
  <c r="Y358" i="28" s="1"/>
  <c r="O355" i="28"/>
  <c r="N355" i="28"/>
  <c r="N435" i="28" s="1"/>
  <c r="M355" i="28"/>
  <c r="I355" i="28"/>
  <c r="H355" i="28"/>
  <c r="G355" i="28"/>
  <c r="G435" i="28" s="1"/>
  <c r="E355" i="28"/>
  <c r="D355" i="28"/>
  <c r="C355" i="28"/>
  <c r="P355" i="28" s="1"/>
  <c r="X353" i="28"/>
  <c r="P353" i="28"/>
  <c r="M353" i="28"/>
  <c r="K353" i="28"/>
  <c r="J353" i="28"/>
  <c r="F353" i="28"/>
  <c r="X352" i="28"/>
  <c r="M352" i="28"/>
  <c r="K352" i="28"/>
  <c r="J352" i="28"/>
  <c r="F352" i="28"/>
  <c r="F355" i="28" s="1"/>
  <c r="O349" i="28"/>
  <c r="N349" i="28"/>
  <c r="J349" i="28"/>
  <c r="I349" i="28"/>
  <c r="H349" i="28"/>
  <c r="G349" i="28"/>
  <c r="F349" i="28"/>
  <c r="E349" i="28"/>
  <c r="D349" i="28"/>
  <c r="C349" i="28"/>
  <c r="P349" i="28" s="1"/>
  <c r="X347" i="28"/>
  <c r="P347" i="28"/>
  <c r="M347" i="28"/>
  <c r="K347" i="28"/>
  <c r="L347" i="28" s="1"/>
  <c r="Y347" i="28" s="1"/>
  <c r="X346" i="28"/>
  <c r="P346" i="28"/>
  <c r="M346" i="28"/>
  <c r="M349" i="28" s="1"/>
  <c r="K346" i="28"/>
  <c r="L346" i="28" s="1"/>
  <c r="Y346" i="28" s="1"/>
  <c r="X345" i="28"/>
  <c r="P345" i="28"/>
  <c r="M345" i="28"/>
  <c r="K345" i="28"/>
  <c r="O342" i="28"/>
  <c r="N342" i="28"/>
  <c r="K342" i="28"/>
  <c r="J342" i="28"/>
  <c r="I342" i="28"/>
  <c r="H342" i="28"/>
  <c r="G342" i="28"/>
  <c r="F342" i="28"/>
  <c r="E342" i="28"/>
  <c r="D342" i="28"/>
  <c r="C342" i="28"/>
  <c r="P342" i="28" s="1"/>
  <c r="Y340" i="28"/>
  <c r="X340" i="28"/>
  <c r="P340" i="28"/>
  <c r="M340" i="28"/>
  <c r="M342" i="28" s="1"/>
  <c r="L340" i="28"/>
  <c r="X339" i="28"/>
  <c r="P339" i="28"/>
  <c r="M339" i="28"/>
  <c r="L339" i="28"/>
  <c r="Y339" i="28" s="1"/>
  <c r="N334" i="28"/>
  <c r="M334" i="28"/>
  <c r="H334" i="28"/>
  <c r="G334" i="28"/>
  <c r="E334" i="28"/>
  <c r="D334" i="28"/>
  <c r="C334" i="28"/>
  <c r="O332" i="28"/>
  <c r="L332" i="28"/>
  <c r="O331" i="28"/>
  <c r="L331" i="28"/>
  <c r="O330" i="28"/>
  <c r="L330" i="28"/>
  <c r="F330" i="28"/>
  <c r="E330" i="28"/>
  <c r="O329" i="28"/>
  <c r="L329" i="28"/>
  <c r="F329" i="28"/>
  <c r="O328" i="28"/>
  <c r="L328" i="28"/>
  <c r="F328" i="28"/>
  <c r="E328" i="28"/>
  <c r="O327" i="28"/>
  <c r="F327" i="28"/>
  <c r="E326" i="28"/>
  <c r="O325" i="28"/>
  <c r="L325" i="28"/>
  <c r="F325" i="28"/>
  <c r="O324" i="28"/>
  <c r="L324" i="28"/>
  <c r="F324" i="28"/>
  <c r="O323" i="28"/>
  <c r="L323" i="28"/>
  <c r="F323" i="28"/>
  <c r="O322" i="28"/>
  <c r="L322" i="28"/>
  <c r="F322" i="28"/>
  <c r="E322" i="28"/>
  <c r="O321" i="28"/>
  <c r="L321" i="28"/>
  <c r="F321" i="28"/>
  <c r="O320" i="28"/>
  <c r="L320" i="28"/>
  <c r="F320" i="28"/>
  <c r="O319" i="28"/>
  <c r="L319" i="28"/>
  <c r="F319" i="28"/>
  <c r="O318" i="28"/>
  <c r="L318" i="28"/>
  <c r="F318" i="28"/>
  <c r="O317" i="28"/>
  <c r="L317" i="28"/>
  <c r="F317" i="28"/>
  <c r="K316" i="28"/>
  <c r="J316" i="28"/>
  <c r="I316" i="28"/>
  <c r="F316" i="28"/>
  <c r="X315" i="28"/>
  <c r="M315" i="28"/>
  <c r="K315" i="28"/>
  <c r="J315" i="28"/>
  <c r="I315" i="28"/>
  <c r="F315" i="28"/>
  <c r="P315" i="28" s="1"/>
  <c r="O314" i="28"/>
  <c r="F314" i="28"/>
  <c r="O312" i="28"/>
  <c r="L312" i="28"/>
  <c r="F312" i="28"/>
  <c r="O311" i="28"/>
  <c r="L311" i="28"/>
  <c r="F311" i="28"/>
  <c r="F334" i="28" s="1"/>
  <c r="N308" i="28"/>
  <c r="M308" i="28"/>
  <c r="J308" i="28"/>
  <c r="I308" i="28"/>
  <c r="H308" i="28"/>
  <c r="G308" i="28"/>
  <c r="D308" i="28"/>
  <c r="C308" i="28"/>
  <c r="P308" i="28" s="1"/>
  <c r="O306" i="28"/>
  <c r="L306" i="28"/>
  <c r="F306" i="28"/>
  <c r="E306" i="28"/>
  <c r="O305" i="28"/>
  <c r="L305" i="28"/>
  <c r="F305" i="28"/>
  <c r="O304" i="28"/>
  <c r="L304" i="28"/>
  <c r="F304" i="28"/>
  <c r="E303" i="28"/>
  <c r="E308" i="28" s="1"/>
  <c r="O302" i="28"/>
  <c r="L302" i="28"/>
  <c r="F302" i="28"/>
  <c r="O301" i="28"/>
  <c r="L301" i="28"/>
  <c r="F301" i="28"/>
  <c r="K300" i="28"/>
  <c r="O300" i="28" s="1"/>
  <c r="F300" i="28"/>
  <c r="K299" i="28"/>
  <c r="F299" i="28"/>
  <c r="O298" i="28"/>
  <c r="L298" i="28"/>
  <c r="F298" i="28"/>
  <c r="O297" i="28"/>
  <c r="L297" i="28"/>
  <c r="F297" i="28"/>
  <c r="O296" i="28"/>
  <c r="L296" i="28"/>
  <c r="F296" i="28"/>
  <c r="O295" i="28"/>
  <c r="L295" i="28"/>
  <c r="F295" i="28"/>
  <c r="O294" i="28"/>
  <c r="L294" i="28"/>
  <c r="F294" i="28"/>
  <c r="X293" i="28"/>
  <c r="M293" i="28"/>
  <c r="L293" i="28"/>
  <c r="Y293" i="28" s="1"/>
  <c r="F293" i="28"/>
  <c r="P293" i="28" s="1"/>
  <c r="O292" i="28"/>
  <c r="L292" i="28"/>
  <c r="F292" i="28"/>
  <c r="F308" i="28" s="1"/>
  <c r="O290" i="28"/>
  <c r="L290" i="28"/>
  <c r="F290" i="28"/>
  <c r="O287" i="28"/>
  <c r="N287" i="28"/>
  <c r="H287" i="28"/>
  <c r="G287" i="28"/>
  <c r="D287" i="28"/>
  <c r="C287" i="28"/>
  <c r="X285" i="28"/>
  <c r="M285" i="28"/>
  <c r="J285" i="28"/>
  <c r="L285" i="28" s="1"/>
  <c r="Y285" i="28" s="1"/>
  <c r="F285" i="28"/>
  <c r="P285" i="28" s="1"/>
  <c r="X284" i="28"/>
  <c r="P284" i="28"/>
  <c r="M284" i="28"/>
  <c r="J284" i="28"/>
  <c r="L284" i="28" s="1"/>
  <c r="Y284" i="28" s="1"/>
  <c r="X283" i="28"/>
  <c r="M283" i="28"/>
  <c r="J283" i="28"/>
  <c r="L283" i="28" s="1"/>
  <c r="Y283" i="28" s="1"/>
  <c r="F283" i="28"/>
  <c r="E283" i="28"/>
  <c r="P283" i="28" s="1"/>
  <c r="X282" i="28"/>
  <c r="P282" i="28"/>
  <c r="M282" i="28"/>
  <c r="J282" i="28"/>
  <c r="L282" i="28" s="1"/>
  <c r="Y282" i="28" s="1"/>
  <c r="X281" i="28"/>
  <c r="P281" i="28"/>
  <c r="M281" i="28"/>
  <c r="J281" i="28"/>
  <c r="L281" i="28" s="1"/>
  <c r="Y281" i="28" s="1"/>
  <c r="F281" i="28"/>
  <c r="Y280" i="28"/>
  <c r="X280" i="28"/>
  <c r="M280" i="28"/>
  <c r="E280" i="28"/>
  <c r="E287" i="28" s="1"/>
  <c r="X279" i="28"/>
  <c r="P279" i="28"/>
  <c r="M279" i="28"/>
  <c r="J279" i="28"/>
  <c r="L279" i="28" s="1"/>
  <c r="Y279" i="28" s="1"/>
  <c r="X278" i="28"/>
  <c r="M278" i="28"/>
  <c r="J278" i="28"/>
  <c r="L278" i="28" s="1"/>
  <c r="Y278" i="28" s="1"/>
  <c r="F278" i="28"/>
  <c r="P278" i="28" s="1"/>
  <c r="X277" i="28"/>
  <c r="P277" i="28"/>
  <c r="M277" i="28"/>
  <c r="J277" i="28"/>
  <c r="L277" i="28" s="1"/>
  <c r="Y277" i="28" s="1"/>
  <c r="F277" i="28"/>
  <c r="X276" i="28"/>
  <c r="M276" i="28"/>
  <c r="J276" i="28"/>
  <c r="L276" i="28" s="1"/>
  <c r="Y276" i="28" s="1"/>
  <c r="F276" i="28"/>
  <c r="P276" i="28" s="1"/>
  <c r="X275" i="28"/>
  <c r="P275" i="28"/>
  <c r="M275" i="28"/>
  <c r="J275" i="28"/>
  <c r="L275" i="28" s="1"/>
  <c r="Y275" i="28" s="1"/>
  <c r="F275" i="28"/>
  <c r="X274" i="28"/>
  <c r="P274" i="28"/>
  <c r="M274" i="28"/>
  <c r="J274" i="28"/>
  <c r="L274" i="28" s="1"/>
  <c r="Y274" i="28" s="1"/>
  <c r="F274" i="28"/>
  <c r="X273" i="28"/>
  <c r="M273" i="28"/>
  <c r="J273" i="28"/>
  <c r="L273" i="28" s="1"/>
  <c r="Y273" i="28" s="1"/>
  <c r="F273" i="28"/>
  <c r="P273" i="28" s="1"/>
  <c r="X272" i="28"/>
  <c r="P272" i="28"/>
  <c r="M272" i="28"/>
  <c r="J272" i="28"/>
  <c r="L272" i="28" s="1"/>
  <c r="Y272" i="28" s="1"/>
  <c r="F272" i="28"/>
  <c r="X271" i="28"/>
  <c r="M271" i="28"/>
  <c r="J271" i="28"/>
  <c r="L271" i="28" s="1"/>
  <c r="Y271" i="28" s="1"/>
  <c r="F271" i="28"/>
  <c r="P271" i="28" s="1"/>
  <c r="X270" i="28"/>
  <c r="M270" i="28"/>
  <c r="M287" i="28" s="1"/>
  <c r="J270" i="28"/>
  <c r="I270" i="28"/>
  <c r="F270" i="28"/>
  <c r="P270" i="28" s="1"/>
  <c r="X269" i="28"/>
  <c r="M269" i="28"/>
  <c r="J269" i="28"/>
  <c r="I269" i="28"/>
  <c r="F269" i="28"/>
  <c r="P269" i="28" s="1"/>
  <c r="P268" i="28"/>
  <c r="X267" i="28"/>
  <c r="M267" i="28"/>
  <c r="K267" i="28"/>
  <c r="K287" i="28" s="1"/>
  <c r="J267" i="28"/>
  <c r="I267" i="28"/>
  <c r="F267" i="28"/>
  <c r="P267" i="28" s="1"/>
  <c r="O264" i="28"/>
  <c r="N264" i="28"/>
  <c r="H264" i="28"/>
  <c r="G264" i="28"/>
  <c r="E264" i="28"/>
  <c r="D264" i="28"/>
  <c r="C264" i="28"/>
  <c r="X262" i="28"/>
  <c r="M262" i="28"/>
  <c r="L262" i="28"/>
  <c r="Y262" i="28" s="1"/>
  <c r="F262" i="28"/>
  <c r="P262" i="28" s="1"/>
  <c r="Y261" i="28"/>
  <c r="X261" i="28"/>
  <c r="M261" i="28"/>
  <c r="L261" i="28"/>
  <c r="F261" i="28"/>
  <c r="P261" i="28" s="1"/>
  <c r="X260" i="28"/>
  <c r="M260" i="28"/>
  <c r="L260" i="28"/>
  <c r="Y260" i="28" s="1"/>
  <c r="F260" i="28"/>
  <c r="P260" i="28" s="1"/>
  <c r="Y259" i="28"/>
  <c r="X259" i="28"/>
  <c r="M259" i="28"/>
  <c r="L259" i="28"/>
  <c r="F259" i="28"/>
  <c r="P259" i="28" s="1"/>
  <c r="X258" i="28"/>
  <c r="M258" i="28"/>
  <c r="L258" i="28"/>
  <c r="Y258" i="28" s="1"/>
  <c r="F258" i="28"/>
  <c r="P258" i="28" s="1"/>
  <c r="Y257" i="28"/>
  <c r="X257" i="28"/>
  <c r="M257" i="28"/>
  <c r="L257" i="28"/>
  <c r="F257" i="28"/>
  <c r="P257" i="28" s="1"/>
  <c r="X256" i="28"/>
  <c r="M256" i="28"/>
  <c r="L256" i="28"/>
  <c r="Y256" i="28" s="1"/>
  <c r="F256" i="28"/>
  <c r="P256" i="28" s="1"/>
  <c r="Y255" i="28"/>
  <c r="X255" i="28"/>
  <c r="M255" i="28"/>
  <c r="L255" i="28"/>
  <c r="F255" i="28"/>
  <c r="P255" i="28" s="1"/>
  <c r="X254" i="28"/>
  <c r="P254" i="28"/>
  <c r="M254" i="28"/>
  <c r="L254" i="28"/>
  <c r="Y254" i="28" s="1"/>
  <c r="X253" i="28"/>
  <c r="P253" i="28"/>
  <c r="M253" i="28"/>
  <c r="K253" i="28"/>
  <c r="K264" i="28" s="1"/>
  <c r="J253" i="28"/>
  <c r="J264" i="28" s="1"/>
  <c r="I253" i="28"/>
  <c r="I264" i="28" s="1"/>
  <c r="F253" i="28"/>
  <c r="X252" i="28"/>
  <c r="M252" i="28"/>
  <c r="L252" i="28"/>
  <c r="Y252" i="28" s="1"/>
  <c r="F252" i="28"/>
  <c r="P252" i="28" s="1"/>
  <c r="P251" i="28"/>
  <c r="Y250" i="28"/>
  <c r="X250" i="28"/>
  <c r="P250" i="28"/>
  <c r="M250" i="28"/>
  <c r="L250" i="28"/>
  <c r="F250" i="28"/>
  <c r="X249" i="28"/>
  <c r="M249" i="28"/>
  <c r="M264" i="28" s="1"/>
  <c r="L249" i="28"/>
  <c r="Y249" i="28" s="1"/>
  <c r="F249" i="28"/>
  <c r="P249" i="28" s="1"/>
  <c r="Y248" i="28"/>
  <c r="X248" i="28"/>
  <c r="P248" i="28"/>
  <c r="M248" i="28"/>
  <c r="L248" i="28"/>
  <c r="F248" i="28"/>
  <c r="N245" i="28"/>
  <c r="H245" i="28"/>
  <c r="G245" i="28"/>
  <c r="D245" i="28"/>
  <c r="C245" i="28"/>
  <c r="X243" i="28"/>
  <c r="P243" i="28"/>
  <c r="M243" i="28"/>
  <c r="K243" i="28"/>
  <c r="J243" i="28"/>
  <c r="I243" i="28"/>
  <c r="F243" i="28"/>
  <c r="E243" i="28"/>
  <c r="Y242" i="28"/>
  <c r="X242" i="28"/>
  <c r="M242" i="28"/>
  <c r="F242" i="28"/>
  <c r="E242" i="28"/>
  <c r="E245" i="28" s="1"/>
  <c r="Y241" i="28"/>
  <c r="X241" i="28"/>
  <c r="P241" i="28"/>
  <c r="O241" i="28"/>
  <c r="L241" i="28"/>
  <c r="F241" i="28"/>
  <c r="X240" i="28"/>
  <c r="O240" i="28"/>
  <c r="L240" i="28"/>
  <c r="Y240" i="28" s="1"/>
  <c r="F240" i="28"/>
  <c r="P240" i="28" s="1"/>
  <c r="Y239" i="28"/>
  <c r="X239" i="28"/>
  <c r="P239" i="28"/>
  <c r="O239" i="28"/>
  <c r="L239" i="28"/>
  <c r="F239" i="28"/>
  <c r="X238" i="28"/>
  <c r="O238" i="28"/>
  <c r="L238" i="28"/>
  <c r="Y238" i="28" s="1"/>
  <c r="F238" i="28"/>
  <c r="P238" i="28" s="1"/>
  <c r="Y237" i="28"/>
  <c r="X237" i="28"/>
  <c r="P237" i="28"/>
  <c r="O237" i="28"/>
  <c r="L237" i="28"/>
  <c r="F237" i="28"/>
  <c r="X236" i="28"/>
  <c r="O236" i="28"/>
  <c r="L236" i="28"/>
  <c r="Y236" i="28" s="1"/>
  <c r="F236" i="28"/>
  <c r="P236" i="28" s="1"/>
  <c r="Y235" i="28"/>
  <c r="X235" i="28"/>
  <c r="P235" i="28"/>
  <c r="O235" i="28"/>
  <c r="L235" i="28"/>
  <c r="F235" i="28"/>
  <c r="X234" i="28"/>
  <c r="O234" i="28"/>
  <c r="L234" i="28"/>
  <c r="Y234" i="28" s="1"/>
  <c r="F234" i="28"/>
  <c r="P234" i="28" s="1"/>
  <c r="Y233" i="28"/>
  <c r="X233" i="28"/>
  <c r="P233" i="28"/>
  <c r="O233" i="28"/>
  <c r="L233" i="28"/>
  <c r="F233" i="28"/>
  <c r="X232" i="28"/>
  <c r="M232" i="28"/>
  <c r="M245" i="28" s="1"/>
  <c r="K232" i="28"/>
  <c r="J232" i="28"/>
  <c r="I232" i="28"/>
  <c r="F232" i="28"/>
  <c r="P232" i="28" s="1"/>
  <c r="O231" i="28"/>
  <c r="L231" i="28"/>
  <c r="F231" i="28"/>
  <c r="O229" i="28"/>
  <c r="L229" i="28"/>
  <c r="F229" i="28"/>
  <c r="O228" i="28"/>
  <c r="O245" i="28" s="1"/>
  <c r="L228" i="28"/>
  <c r="F228" i="28"/>
  <c r="N225" i="28"/>
  <c r="H225" i="28"/>
  <c r="G225" i="28"/>
  <c r="E225" i="28"/>
  <c r="X223" i="28"/>
  <c r="K223" i="28"/>
  <c r="L223" i="28" s="1"/>
  <c r="Y223" i="28" s="1"/>
  <c r="F223" i="28"/>
  <c r="E223" i="28"/>
  <c r="X222" i="28"/>
  <c r="L222" i="28"/>
  <c r="Y222" i="28" s="1"/>
  <c r="F222" i="28"/>
  <c r="X221" i="28"/>
  <c r="L221" i="28"/>
  <c r="Y221" i="28" s="1"/>
  <c r="F221" i="28"/>
  <c r="Y220" i="28"/>
  <c r="X220" i="28"/>
  <c r="E220" i="28"/>
  <c r="X219" i="28"/>
  <c r="P219" i="28"/>
  <c r="M219" i="28"/>
  <c r="K219" i="28"/>
  <c r="J219" i="28"/>
  <c r="I219" i="28"/>
  <c r="F219" i="28"/>
  <c r="X218" i="28"/>
  <c r="M218" i="28"/>
  <c r="K218" i="28"/>
  <c r="J218" i="28"/>
  <c r="I218" i="28"/>
  <c r="F218" i="28"/>
  <c r="P218" i="28" s="1"/>
  <c r="C218" i="28"/>
  <c r="Y217" i="28"/>
  <c r="X217" i="28"/>
  <c r="M217" i="28"/>
  <c r="L217" i="28"/>
  <c r="F217" i="28"/>
  <c r="C217" i="28"/>
  <c r="P217" i="28" s="1"/>
  <c r="Y216" i="28"/>
  <c r="X216" i="28"/>
  <c r="M216" i="28"/>
  <c r="L216" i="28"/>
  <c r="F216" i="28"/>
  <c r="P216" i="28" s="1"/>
  <c r="C216" i="28"/>
  <c r="X215" i="28"/>
  <c r="M215" i="28"/>
  <c r="L215" i="28"/>
  <c r="Y215" i="28" s="1"/>
  <c r="F215" i="28"/>
  <c r="D215" i="28"/>
  <c r="D225" i="28" s="1"/>
  <c r="C215" i="28"/>
  <c r="P215" i="28" s="1"/>
  <c r="Y214" i="28"/>
  <c r="X214" i="28"/>
  <c r="P214" i="28"/>
  <c r="M214" i="28"/>
  <c r="L214" i="28"/>
  <c r="F214" i="28"/>
  <c r="X213" i="28"/>
  <c r="M213" i="28"/>
  <c r="L213" i="28"/>
  <c r="Y213" i="28" s="1"/>
  <c r="F213" i="28"/>
  <c r="P213" i="28" s="1"/>
  <c r="Y212" i="28"/>
  <c r="X212" i="28"/>
  <c r="P212" i="28"/>
  <c r="M212" i="28"/>
  <c r="L212" i="28"/>
  <c r="F212" i="28"/>
  <c r="X211" i="28"/>
  <c r="M211" i="28"/>
  <c r="K211" i="28"/>
  <c r="J211" i="28"/>
  <c r="I211" i="28"/>
  <c r="F211" i="28"/>
  <c r="P211" i="28" s="1"/>
  <c r="X210" i="28"/>
  <c r="M210" i="28"/>
  <c r="M225" i="28" s="1"/>
  <c r="K210" i="28"/>
  <c r="J210" i="28"/>
  <c r="I210" i="28"/>
  <c r="F210" i="28"/>
  <c r="C210" i="28"/>
  <c r="P210" i="28" s="1"/>
  <c r="X209" i="28"/>
  <c r="O209" i="28"/>
  <c r="L209" i="28"/>
  <c r="Y209" i="28" s="1"/>
  <c r="F209" i="28"/>
  <c r="O207" i="28"/>
  <c r="L207" i="28"/>
  <c r="F207" i="28"/>
  <c r="O206" i="28"/>
  <c r="O225" i="28" s="1"/>
  <c r="K206" i="28"/>
  <c r="J206" i="28"/>
  <c r="I206" i="28"/>
  <c r="F206" i="28"/>
  <c r="F225" i="28" s="1"/>
  <c r="O203" i="28"/>
  <c r="N203" i="28"/>
  <c r="H203" i="28"/>
  <c r="G203" i="28"/>
  <c r="E203" i="28"/>
  <c r="D203" i="28"/>
  <c r="X201" i="28"/>
  <c r="M201" i="28"/>
  <c r="K201" i="28"/>
  <c r="L201" i="28" s="1"/>
  <c r="Y201" i="28" s="1"/>
  <c r="F201" i="28"/>
  <c r="P201" i="28" s="1"/>
  <c r="Y200" i="28"/>
  <c r="X200" i="28"/>
  <c r="P200" i="28"/>
  <c r="M200" i="28"/>
  <c r="L200" i="28"/>
  <c r="F200" i="28"/>
  <c r="E200" i="28"/>
  <c r="Y199" i="28"/>
  <c r="X199" i="28"/>
  <c r="M199" i="28"/>
  <c r="E199" i="28"/>
  <c r="P199" i="28" s="1"/>
  <c r="X198" i="28"/>
  <c r="P198" i="28"/>
  <c r="M198" i="28"/>
  <c r="K198" i="28"/>
  <c r="J198" i="28"/>
  <c r="I198" i="28"/>
  <c r="F198" i="28"/>
  <c r="X197" i="28"/>
  <c r="P197" i="28"/>
  <c r="M197" i="28"/>
  <c r="K197" i="28"/>
  <c r="J197" i="28"/>
  <c r="I197" i="28"/>
  <c r="F197" i="28"/>
  <c r="C197" i="28"/>
  <c r="X196" i="28"/>
  <c r="P196" i="28"/>
  <c r="M196" i="28"/>
  <c r="L196" i="28"/>
  <c r="Y196" i="28" s="1"/>
  <c r="F196" i="28"/>
  <c r="C196" i="28"/>
  <c r="X195" i="28"/>
  <c r="M195" i="28"/>
  <c r="K195" i="28"/>
  <c r="J195" i="28"/>
  <c r="I195" i="28"/>
  <c r="F195" i="28"/>
  <c r="C195" i="28"/>
  <c r="P195" i="28" s="1"/>
  <c r="Y194" i="28"/>
  <c r="X194" i="28"/>
  <c r="P194" i="28"/>
  <c r="M194" i="28"/>
  <c r="L194" i="28"/>
  <c r="F194" i="28"/>
  <c r="C194" i="28"/>
  <c r="X193" i="28"/>
  <c r="P193" i="28"/>
  <c r="M193" i="28"/>
  <c r="L193" i="28"/>
  <c r="Y193" i="28" s="1"/>
  <c r="F193" i="28"/>
  <c r="C193" i="28"/>
  <c r="Y192" i="28"/>
  <c r="X192" i="28"/>
  <c r="P192" i="28"/>
  <c r="M192" i="28"/>
  <c r="L192" i="28"/>
  <c r="F192" i="28"/>
  <c r="X191" i="28"/>
  <c r="P191" i="28"/>
  <c r="M191" i="28"/>
  <c r="L191" i="28"/>
  <c r="Y191" i="28" s="1"/>
  <c r="F191" i="28"/>
  <c r="Y190" i="28"/>
  <c r="X190" i="28"/>
  <c r="P190" i="28"/>
  <c r="M190" i="28"/>
  <c r="L190" i="28"/>
  <c r="F190" i="28"/>
  <c r="X189" i="28"/>
  <c r="P189" i="28"/>
  <c r="M189" i="28"/>
  <c r="K189" i="28"/>
  <c r="J189" i="28"/>
  <c r="I189" i="28"/>
  <c r="F189" i="28"/>
  <c r="C189" i="28"/>
  <c r="X188" i="28"/>
  <c r="M188" i="28"/>
  <c r="L188" i="28"/>
  <c r="Y188" i="28" s="1"/>
  <c r="F188" i="28"/>
  <c r="C188" i="28"/>
  <c r="C203" i="28" s="1"/>
  <c r="Y187" i="28"/>
  <c r="X187" i="28"/>
  <c r="P187" i="28"/>
  <c r="X186" i="28"/>
  <c r="M186" i="28"/>
  <c r="L186" i="28"/>
  <c r="Y186" i="28" s="1"/>
  <c r="F186" i="28"/>
  <c r="P186" i="28" s="1"/>
  <c r="X185" i="28"/>
  <c r="P185" i="28"/>
  <c r="M185" i="28"/>
  <c r="M203" i="28" s="1"/>
  <c r="L185" i="28"/>
  <c r="Y185" i="28" s="1"/>
  <c r="F185" i="28"/>
  <c r="X184" i="28"/>
  <c r="M184" i="28"/>
  <c r="L184" i="28"/>
  <c r="Y184" i="28" s="1"/>
  <c r="F184" i="28"/>
  <c r="P184" i="28" s="1"/>
  <c r="N181" i="28"/>
  <c r="H181" i="28"/>
  <c r="G181" i="28"/>
  <c r="E181" i="28"/>
  <c r="D181" i="28"/>
  <c r="Y179" i="28"/>
  <c r="X179" i="28"/>
  <c r="P179" i="28"/>
  <c r="M179" i="28"/>
  <c r="E179" i="28"/>
  <c r="X178" i="28"/>
  <c r="M178" i="28"/>
  <c r="K178" i="28"/>
  <c r="J178" i="28"/>
  <c r="I178" i="28"/>
  <c r="F178" i="28"/>
  <c r="P178" i="28" s="1"/>
  <c r="Y177" i="28"/>
  <c r="X177" i="28"/>
  <c r="M177" i="28"/>
  <c r="L177" i="28"/>
  <c r="F177" i="28"/>
  <c r="C177" i="28"/>
  <c r="P177" i="28" s="1"/>
  <c r="Y176" i="28"/>
  <c r="X176" i="28"/>
  <c r="M176" i="28"/>
  <c r="L176" i="28"/>
  <c r="F176" i="28"/>
  <c r="P176" i="28" s="1"/>
  <c r="X175" i="28"/>
  <c r="M175" i="28"/>
  <c r="K175" i="28"/>
  <c r="J175" i="28"/>
  <c r="I175" i="28"/>
  <c r="F175" i="28"/>
  <c r="C175" i="28"/>
  <c r="P175" i="28" s="1"/>
  <c r="X174" i="28"/>
  <c r="M174" i="28"/>
  <c r="L174" i="28"/>
  <c r="Y174" i="28" s="1"/>
  <c r="F174" i="28"/>
  <c r="C174" i="28"/>
  <c r="P174" i="28" s="1"/>
  <c r="X173" i="28"/>
  <c r="P173" i="28"/>
  <c r="M173" i="28"/>
  <c r="K173" i="28"/>
  <c r="J173" i="28"/>
  <c r="I173" i="28"/>
  <c r="F173" i="28"/>
  <c r="C173" i="28"/>
  <c r="X172" i="28"/>
  <c r="O172" i="28"/>
  <c r="M172" i="28"/>
  <c r="L172" i="28"/>
  <c r="Y172" i="28" s="1"/>
  <c r="F172" i="28"/>
  <c r="P172" i="28" s="1"/>
  <c r="X171" i="28"/>
  <c r="O171" i="28"/>
  <c r="M171" i="28" s="1"/>
  <c r="L171" i="28"/>
  <c r="Y171" i="28" s="1"/>
  <c r="F171" i="28"/>
  <c r="P171" i="28" s="1"/>
  <c r="X170" i="28"/>
  <c r="P170" i="28"/>
  <c r="K170" i="28"/>
  <c r="J170" i="28"/>
  <c r="I170" i="28"/>
  <c r="F170" i="28"/>
  <c r="X169" i="28"/>
  <c r="M169" i="28"/>
  <c r="K169" i="28"/>
  <c r="J169" i="28"/>
  <c r="I169" i="28"/>
  <c r="F169" i="28"/>
  <c r="P169" i="28" s="1"/>
  <c r="C169" i="28"/>
  <c r="X168" i="28"/>
  <c r="M168" i="28"/>
  <c r="L168" i="28"/>
  <c r="Y168" i="28" s="1"/>
  <c r="F168" i="28"/>
  <c r="F181" i="28" s="1"/>
  <c r="C168" i="28"/>
  <c r="P168" i="28" s="1"/>
  <c r="Y167" i="28"/>
  <c r="X167" i="28"/>
  <c r="O166" i="28"/>
  <c r="L166" i="28"/>
  <c r="F166" i="28"/>
  <c r="N163" i="28"/>
  <c r="H163" i="28"/>
  <c r="G163" i="28"/>
  <c r="D163" i="28"/>
  <c r="P163" i="28" s="1"/>
  <c r="C163" i="28"/>
  <c r="X161" i="28"/>
  <c r="M161" i="28"/>
  <c r="K161" i="28"/>
  <c r="J161" i="28"/>
  <c r="I161" i="28"/>
  <c r="F161" i="28"/>
  <c r="P161" i="28" s="1"/>
  <c r="Y160" i="28"/>
  <c r="X160" i="28"/>
  <c r="P160" i="28"/>
  <c r="M160" i="28"/>
  <c r="E160" i="28"/>
  <c r="E163" i="28" s="1"/>
  <c r="X159" i="28"/>
  <c r="P159" i="28"/>
  <c r="M159" i="28"/>
  <c r="K159" i="28"/>
  <c r="J159" i="28"/>
  <c r="I159" i="28"/>
  <c r="F159" i="28"/>
  <c r="X158" i="28"/>
  <c r="M158" i="28"/>
  <c r="K158" i="28"/>
  <c r="J158" i="28"/>
  <c r="I158" i="28"/>
  <c r="F158" i="28"/>
  <c r="P158" i="28" s="1"/>
  <c r="Y157" i="28"/>
  <c r="X157" i="28"/>
  <c r="O157" i="28"/>
  <c r="M157" i="28" s="1"/>
  <c r="L157" i="28"/>
  <c r="F157" i="28"/>
  <c r="P157" i="28" s="1"/>
  <c r="X156" i="28"/>
  <c r="P156" i="28"/>
  <c r="M156" i="28"/>
  <c r="K156" i="28"/>
  <c r="J156" i="28"/>
  <c r="I156" i="28"/>
  <c r="F156" i="28"/>
  <c r="X155" i="28"/>
  <c r="O155" i="28"/>
  <c r="M155" i="28"/>
  <c r="L155" i="28"/>
  <c r="Y155" i="28" s="1"/>
  <c r="F155" i="28"/>
  <c r="P155" i="28" s="1"/>
  <c r="X154" i="28"/>
  <c r="M154" i="28"/>
  <c r="K154" i="28"/>
  <c r="J154" i="28"/>
  <c r="I154" i="28"/>
  <c r="F154" i="28"/>
  <c r="P154" i="28" s="1"/>
  <c r="Y153" i="28"/>
  <c r="X153" i="28"/>
  <c r="P153" i="28"/>
  <c r="O153" i="28"/>
  <c r="M153" i="28"/>
  <c r="L153" i="28"/>
  <c r="X152" i="28"/>
  <c r="O152" i="28"/>
  <c r="M152" i="28"/>
  <c r="L152" i="28"/>
  <c r="Y152" i="28" s="1"/>
  <c r="F152" i="28"/>
  <c r="P152" i="28" s="1"/>
  <c r="X151" i="28"/>
  <c r="P151" i="28"/>
  <c r="M151" i="28"/>
  <c r="K151" i="28"/>
  <c r="J151" i="28"/>
  <c r="I151" i="28"/>
  <c r="F151" i="28"/>
  <c r="X150" i="28"/>
  <c r="P150" i="28"/>
  <c r="M150" i="28"/>
  <c r="K150" i="28"/>
  <c r="J150" i="28"/>
  <c r="I150" i="28"/>
  <c r="F150" i="28"/>
  <c r="X149" i="28"/>
  <c r="O149" i="28"/>
  <c r="L149" i="28"/>
  <c r="Y149" i="28" s="1"/>
  <c r="F149" i="28"/>
  <c r="Y148" i="28"/>
  <c r="X148" i="28"/>
  <c r="O147" i="28"/>
  <c r="O163" i="28" s="1"/>
  <c r="L147" i="28"/>
  <c r="F147" i="28"/>
  <c r="F163" i="28" s="1"/>
  <c r="O146" i="28"/>
  <c r="L146" i="28"/>
  <c r="O143" i="28"/>
  <c r="N143" i="28"/>
  <c r="H143" i="28"/>
  <c r="G143" i="28"/>
  <c r="D143" i="28"/>
  <c r="P143" i="28" s="1"/>
  <c r="C143" i="28"/>
  <c r="X141" i="28"/>
  <c r="M141" i="28"/>
  <c r="L141" i="28"/>
  <c r="Y141" i="28" s="1"/>
  <c r="Y140" i="28"/>
  <c r="X140" i="28"/>
  <c r="P140" i="28"/>
  <c r="M140" i="28"/>
  <c r="L140" i="28"/>
  <c r="X139" i="28"/>
  <c r="P139" i="28"/>
  <c r="M139" i="28"/>
  <c r="L139" i="28"/>
  <c r="Y139" i="28" s="1"/>
  <c r="Y138" i="28"/>
  <c r="X138" i="28"/>
  <c r="P138" i="28"/>
  <c r="M138" i="28"/>
  <c r="L138" i="28"/>
  <c r="X137" i="28"/>
  <c r="P137" i="28"/>
  <c r="M137" i="28"/>
  <c r="K137" i="28"/>
  <c r="J137" i="28"/>
  <c r="Y136" i="28"/>
  <c r="X136" i="28"/>
  <c r="M136" i="28"/>
  <c r="L136" i="28"/>
  <c r="E136" i="28"/>
  <c r="E143" i="28" s="1"/>
  <c r="X135" i="28"/>
  <c r="M135" i="28"/>
  <c r="K135" i="28"/>
  <c r="J135" i="28"/>
  <c r="I135" i="28"/>
  <c r="F135" i="28"/>
  <c r="P135" i="28" s="1"/>
  <c r="X134" i="28"/>
  <c r="P134" i="28"/>
  <c r="M134" i="28"/>
  <c r="K134" i="28"/>
  <c r="J134" i="28"/>
  <c r="I134" i="28"/>
  <c r="L134" i="28" s="1"/>
  <c r="Y134" i="28" s="1"/>
  <c r="F134" i="28"/>
  <c r="X133" i="28"/>
  <c r="P133" i="28"/>
  <c r="M133" i="28"/>
  <c r="K133" i="28"/>
  <c r="J133" i="28"/>
  <c r="I133" i="28"/>
  <c r="F133" i="28"/>
  <c r="X132" i="28"/>
  <c r="M132" i="28"/>
  <c r="K132" i="28"/>
  <c r="J132" i="28"/>
  <c r="I132" i="28"/>
  <c r="F132" i="28"/>
  <c r="P132" i="28" s="1"/>
  <c r="X131" i="28"/>
  <c r="M131" i="28"/>
  <c r="K131" i="28"/>
  <c r="J131" i="28"/>
  <c r="I131" i="28"/>
  <c r="F131" i="28"/>
  <c r="P131" i="28" s="1"/>
  <c r="Y130" i="28"/>
  <c r="X130" i="28"/>
  <c r="P130" i="28"/>
  <c r="M130" i="28"/>
  <c r="L130" i="28"/>
  <c r="F130" i="28"/>
  <c r="X129" i="28"/>
  <c r="P129" i="28"/>
  <c r="M129" i="28"/>
  <c r="L129" i="28"/>
  <c r="Y129" i="28" s="1"/>
  <c r="X128" i="28"/>
  <c r="P128" i="28"/>
  <c r="M128" i="28"/>
  <c r="K128" i="28"/>
  <c r="J128" i="28"/>
  <c r="I128" i="28"/>
  <c r="F128" i="28"/>
  <c r="X127" i="28"/>
  <c r="P127" i="28"/>
  <c r="M127" i="28"/>
  <c r="M143" i="28" s="1"/>
  <c r="K127" i="28"/>
  <c r="J127" i="28"/>
  <c r="I127" i="28"/>
  <c r="X126" i="28"/>
  <c r="M126" i="28"/>
  <c r="K126" i="28"/>
  <c r="J126" i="28"/>
  <c r="I126" i="28"/>
  <c r="F126" i="28"/>
  <c r="P126" i="28" s="1"/>
  <c r="X125" i="28"/>
  <c r="M125" i="28"/>
  <c r="L125" i="28"/>
  <c r="Y125" i="28" s="1"/>
  <c r="F125" i="28"/>
  <c r="P125" i="28" s="1"/>
  <c r="Y124" i="28"/>
  <c r="X124" i="28"/>
  <c r="P124" i="28"/>
  <c r="X123" i="28"/>
  <c r="P123" i="28"/>
  <c r="M123" i="28"/>
  <c r="L123" i="28"/>
  <c r="Y123" i="28" s="1"/>
  <c r="F123" i="28"/>
  <c r="X122" i="28"/>
  <c r="M122" i="28"/>
  <c r="K122" i="28"/>
  <c r="J122" i="28"/>
  <c r="I122" i="28"/>
  <c r="F122" i="28"/>
  <c r="F143" i="28" s="1"/>
  <c r="O119" i="28"/>
  <c r="N119" i="28"/>
  <c r="H119" i="28"/>
  <c r="G119" i="28"/>
  <c r="D119" i="28"/>
  <c r="C119" i="28"/>
  <c r="X117" i="28"/>
  <c r="M117" i="28"/>
  <c r="K117" i="28"/>
  <c r="L117" i="28" s="1"/>
  <c r="Y117" i="28" s="1"/>
  <c r="F117" i="28"/>
  <c r="P117" i="28" s="1"/>
  <c r="X116" i="28"/>
  <c r="P116" i="28"/>
  <c r="M116" i="28"/>
  <c r="L116" i="28"/>
  <c r="Y116" i="28" s="1"/>
  <c r="F116" i="28"/>
  <c r="X115" i="28"/>
  <c r="M115" i="28"/>
  <c r="L115" i="28"/>
  <c r="Y115" i="28" s="1"/>
  <c r="E115" i="28"/>
  <c r="P115" i="28" s="1"/>
  <c r="X114" i="28"/>
  <c r="P114" i="28"/>
  <c r="M114" i="28"/>
  <c r="K114" i="28"/>
  <c r="J114" i="28"/>
  <c r="I114" i="28"/>
  <c r="F114" i="28"/>
  <c r="X113" i="28"/>
  <c r="P113" i="28"/>
  <c r="M113" i="28"/>
  <c r="K113" i="28"/>
  <c r="J113" i="28"/>
  <c r="I113" i="28"/>
  <c r="F113" i="28"/>
  <c r="C113" i="28"/>
  <c r="X112" i="28"/>
  <c r="M112" i="28"/>
  <c r="K112" i="28"/>
  <c r="J112" i="28"/>
  <c r="I112" i="28"/>
  <c r="F112" i="28"/>
  <c r="P112" i="28" s="1"/>
  <c r="X111" i="28"/>
  <c r="M111" i="28"/>
  <c r="K111" i="28"/>
  <c r="J111" i="28"/>
  <c r="I111" i="28"/>
  <c r="F111" i="28"/>
  <c r="P111" i="28" s="1"/>
  <c r="X110" i="28"/>
  <c r="P110" i="28"/>
  <c r="M110" i="28"/>
  <c r="K110" i="28"/>
  <c r="J110" i="28"/>
  <c r="I110" i="28"/>
  <c r="F110" i="28"/>
  <c r="X109" i="28"/>
  <c r="P109" i="28"/>
  <c r="M109" i="28"/>
  <c r="K109" i="28"/>
  <c r="J109" i="28"/>
  <c r="I109" i="28"/>
  <c r="F109" i="28"/>
  <c r="X108" i="28"/>
  <c r="M108" i="28"/>
  <c r="L108" i="28"/>
  <c r="Y108" i="28" s="1"/>
  <c r="F108" i="28"/>
  <c r="P108" i="28" s="1"/>
  <c r="X107" i="28"/>
  <c r="P107" i="28"/>
  <c r="M107" i="28"/>
  <c r="K107" i="28"/>
  <c r="J107" i="28"/>
  <c r="I107" i="28"/>
  <c r="F107" i="28"/>
  <c r="X106" i="28"/>
  <c r="P106" i="28"/>
  <c r="M106" i="28"/>
  <c r="K106" i="28"/>
  <c r="J106" i="28"/>
  <c r="I106" i="28"/>
  <c r="F106" i="28"/>
  <c r="X105" i="28"/>
  <c r="M105" i="28"/>
  <c r="K105" i="28"/>
  <c r="J105" i="28"/>
  <c r="I105" i="28"/>
  <c r="F105" i="28"/>
  <c r="P105" i="28" s="1"/>
  <c r="X104" i="28"/>
  <c r="M104" i="28"/>
  <c r="K104" i="28"/>
  <c r="J104" i="28"/>
  <c r="I104" i="28"/>
  <c r="F104" i="28"/>
  <c r="P104" i="28" s="1"/>
  <c r="Y103" i="28"/>
  <c r="X103" i="28"/>
  <c r="P103" i="28"/>
  <c r="Y102" i="28"/>
  <c r="X102" i="28"/>
  <c r="P102" i="28"/>
  <c r="M102" i="28"/>
  <c r="L102" i="28"/>
  <c r="F102" i="28"/>
  <c r="X101" i="28"/>
  <c r="P101" i="28"/>
  <c r="M101" i="28"/>
  <c r="K101" i="28"/>
  <c r="J101" i="28"/>
  <c r="I101" i="28"/>
  <c r="F101" i="28"/>
  <c r="X100" i="28"/>
  <c r="M100" i="28"/>
  <c r="K100" i="28"/>
  <c r="J100" i="28"/>
  <c r="I100" i="28"/>
  <c r="F100" i="28"/>
  <c r="P100" i="28" s="1"/>
  <c r="X99" i="28"/>
  <c r="M99" i="28"/>
  <c r="K99" i="28"/>
  <c r="J99" i="28"/>
  <c r="I99" i="28"/>
  <c r="F99" i="28"/>
  <c r="P99" i="28" s="1"/>
  <c r="X98" i="28"/>
  <c r="P98" i="28"/>
  <c r="M98" i="28"/>
  <c r="M119" i="28" s="1"/>
  <c r="K98" i="28"/>
  <c r="J98" i="28"/>
  <c r="I98" i="28"/>
  <c r="F98" i="28"/>
  <c r="O95" i="28"/>
  <c r="N95" i="28"/>
  <c r="J95" i="28"/>
  <c r="I95" i="28"/>
  <c r="H95" i="28"/>
  <c r="G95" i="28"/>
  <c r="E95" i="28"/>
  <c r="D95" i="28"/>
  <c r="C95" i="28"/>
  <c r="P95" i="28" s="1"/>
  <c r="X93" i="28"/>
  <c r="P93" i="28"/>
  <c r="M93" i="28"/>
  <c r="L93" i="28"/>
  <c r="Y93" i="28" s="1"/>
  <c r="X92" i="28"/>
  <c r="P92" i="28"/>
  <c r="M92" i="28"/>
  <c r="L92" i="28"/>
  <c r="Y92" i="28" s="1"/>
  <c r="X91" i="28"/>
  <c r="M91" i="28"/>
  <c r="K91" i="28"/>
  <c r="L91" i="28" s="1"/>
  <c r="Y91" i="28" s="1"/>
  <c r="F91" i="28"/>
  <c r="P91" i="28" s="1"/>
  <c r="X90" i="28"/>
  <c r="M90" i="28"/>
  <c r="K90" i="28"/>
  <c r="L90" i="28" s="1"/>
  <c r="Y90" i="28" s="1"/>
  <c r="F90" i="28"/>
  <c r="P90" i="28" s="1"/>
  <c r="X89" i="28"/>
  <c r="P89" i="28"/>
  <c r="M89" i="28"/>
  <c r="K89" i="28"/>
  <c r="L89" i="28" s="1"/>
  <c r="Y89" i="28" s="1"/>
  <c r="F89" i="28"/>
  <c r="X88" i="28"/>
  <c r="M88" i="28"/>
  <c r="K88" i="28"/>
  <c r="L88" i="28" s="1"/>
  <c r="Y88" i="28" s="1"/>
  <c r="F88" i="28"/>
  <c r="P88" i="28" s="1"/>
  <c r="Y87" i="28"/>
  <c r="X87" i="28"/>
  <c r="P87" i="28"/>
  <c r="M87" i="28"/>
  <c r="L87" i="28"/>
  <c r="X86" i="28"/>
  <c r="P86" i="28"/>
  <c r="M86" i="28"/>
  <c r="L86" i="28"/>
  <c r="Y86" i="28" s="1"/>
  <c r="X85" i="28"/>
  <c r="P85" i="28"/>
  <c r="M85" i="28"/>
  <c r="K85" i="28"/>
  <c r="L85" i="28" s="1"/>
  <c r="Y85" i="28" s="1"/>
  <c r="X84" i="28"/>
  <c r="M84" i="28"/>
  <c r="L84" i="28"/>
  <c r="Y84" i="28" s="1"/>
  <c r="F84" i="28"/>
  <c r="P84" i="28" s="1"/>
  <c r="X83" i="28"/>
  <c r="P83" i="28"/>
  <c r="M83" i="28"/>
  <c r="K83" i="28"/>
  <c r="L83" i="28" s="1"/>
  <c r="Y83" i="28" s="1"/>
  <c r="F83" i="28"/>
  <c r="Y82" i="28"/>
  <c r="X82" i="28"/>
  <c r="P82" i="28"/>
  <c r="M82" i="28"/>
  <c r="Y81" i="28"/>
  <c r="X81" i="28"/>
  <c r="M81" i="28"/>
  <c r="L81" i="28"/>
  <c r="F81" i="28"/>
  <c r="P81" i="28" s="1"/>
  <c r="X80" i="28"/>
  <c r="M80" i="28"/>
  <c r="L80" i="28"/>
  <c r="Y80" i="28" s="1"/>
  <c r="F80" i="28"/>
  <c r="P80" i="28" s="1"/>
  <c r="X79" i="28"/>
  <c r="P79" i="28"/>
  <c r="M79" i="28"/>
  <c r="M95" i="28" s="1"/>
  <c r="K79" i="28"/>
  <c r="F79" i="28"/>
  <c r="F95" i="28" s="1"/>
  <c r="O76" i="28"/>
  <c r="N76" i="28"/>
  <c r="I76" i="28"/>
  <c r="H76" i="28"/>
  <c r="G76" i="28"/>
  <c r="F76" i="28"/>
  <c r="E76" i="28"/>
  <c r="C76" i="28"/>
  <c r="X74" i="28"/>
  <c r="P74" i="28"/>
  <c r="M74" i="28"/>
  <c r="K74" i="28"/>
  <c r="J74" i="28"/>
  <c r="D74" i="28"/>
  <c r="X73" i="28"/>
  <c r="M73" i="28"/>
  <c r="K73" i="28"/>
  <c r="J73" i="28"/>
  <c r="F73" i="28"/>
  <c r="D73" i="28"/>
  <c r="D76" i="28" s="1"/>
  <c r="P76" i="28" s="1"/>
  <c r="X72" i="28"/>
  <c r="P72" i="28"/>
  <c r="M72" i="28"/>
  <c r="K72" i="28"/>
  <c r="J72" i="28"/>
  <c r="X71" i="28"/>
  <c r="P71" i="28"/>
  <c r="M71" i="28"/>
  <c r="K71" i="28"/>
  <c r="J71" i="28"/>
  <c r="X70" i="28"/>
  <c r="M70" i="28"/>
  <c r="M76" i="28" s="1"/>
  <c r="K70" i="28"/>
  <c r="J70" i="28"/>
  <c r="F70" i="28"/>
  <c r="P70" i="28" s="1"/>
  <c r="O67" i="28"/>
  <c r="N67" i="28"/>
  <c r="N336" i="28" s="1"/>
  <c r="N440" i="28" s="1"/>
  <c r="I67" i="28"/>
  <c r="H67" i="28"/>
  <c r="H336" i="28" s="1"/>
  <c r="G67" i="28"/>
  <c r="G336" i="28" s="1"/>
  <c r="E67" i="28"/>
  <c r="D67" i="28"/>
  <c r="D336" i="28" s="1"/>
  <c r="C67" i="28"/>
  <c r="X65" i="28"/>
  <c r="P65" i="28"/>
  <c r="M65" i="28"/>
  <c r="L65" i="28"/>
  <c r="Y65" i="28" s="1"/>
  <c r="K65" i="28"/>
  <c r="J65" i="28"/>
  <c r="X64" i="28"/>
  <c r="P64" i="28"/>
  <c r="M64" i="28"/>
  <c r="K64" i="28"/>
  <c r="J64" i="28"/>
  <c r="X63" i="28"/>
  <c r="P63" i="28"/>
  <c r="M63" i="28"/>
  <c r="L63" i="28"/>
  <c r="Y63" i="28" s="1"/>
  <c r="E63" i="28"/>
  <c r="X62" i="28"/>
  <c r="P62" i="28"/>
  <c r="M62" i="28"/>
  <c r="K62" i="28"/>
  <c r="J62" i="28"/>
  <c r="X61" i="28"/>
  <c r="M61" i="28"/>
  <c r="K61" i="28"/>
  <c r="J61" i="28"/>
  <c r="F61" i="28"/>
  <c r="P61" i="28" s="1"/>
  <c r="X60" i="28"/>
  <c r="P60" i="28"/>
  <c r="M60" i="28"/>
  <c r="K60" i="28"/>
  <c r="J60" i="28"/>
  <c r="F60" i="28"/>
  <c r="X59" i="28"/>
  <c r="P59" i="28"/>
  <c r="M59" i="28"/>
  <c r="K59" i="28"/>
  <c r="J59" i="28"/>
  <c r="F59" i="28"/>
  <c r="X58" i="28"/>
  <c r="P58" i="28"/>
  <c r="M58" i="28"/>
  <c r="K58" i="28"/>
  <c r="J58" i="28"/>
  <c r="X57" i="28"/>
  <c r="P57" i="28"/>
  <c r="M57" i="28"/>
  <c r="K57" i="28"/>
  <c r="J57" i="28"/>
  <c r="X56" i="28"/>
  <c r="P56" i="28"/>
  <c r="M56" i="28"/>
  <c r="K56" i="28"/>
  <c r="J56" i="28"/>
  <c r="L56" i="28" s="1"/>
  <c r="Y56" i="28" s="1"/>
  <c r="X55" i="28"/>
  <c r="M55" i="28"/>
  <c r="K55" i="28"/>
  <c r="J55" i="28"/>
  <c r="F55" i="28"/>
  <c r="P55" i="28" s="1"/>
  <c r="X54" i="28"/>
  <c r="P54" i="28"/>
  <c r="M54" i="28"/>
  <c r="K54" i="28"/>
  <c r="J54" i="28"/>
  <c r="X53" i="28"/>
  <c r="P53" i="28"/>
  <c r="M53" i="28"/>
  <c r="K53" i="28"/>
  <c r="J53" i="28"/>
  <c r="X52" i="28"/>
  <c r="P52" i="28"/>
  <c r="M52" i="28"/>
  <c r="K52" i="28"/>
  <c r="J52" i="28"/>
  <c r="P51" i="28"/>
  <c r="X50" i="28"/>
  <c r="M50" i="28"/>
  <c r="M67" i="28" s="1"/>
  <c r="K50" i="28"/>
  <c r="J50" i="28"/>
  <c r="F50" i="28"/>
  <c r="F67" i="28" s="1"/>
  <c r="O47" i="28"/>
  <c r="N47" i="28"/>
  <c r="I47" i="28"/>
  <c r="H47" i="28"/>
  <c r="G47" i="28"/>
  <c r="F47" i="28"/>
  <c r="D47" i="28"/>
  <c r="Y45" i="28"/>
  <c r="X45" i="28"/>
  <c r="P45" i="28"/>
  <c r="M45" i="28"/>
  <c r="L45" i="28"/>
  <c r="X44" i="28"/>
  <c r="P44" i="28"/>
  <c r="M44" i="28"/>
  <c r="L44" i="28"/>
  <c r="Y44" i="28" s="1"/>
  <c r="Y43" i="28"/>
  <c r="X43" i="28"/>
  <c r="P43" i="28"/>
  <c r="M43" i="28"/>
  <c r="L43" i="28"/>
  <c r="X42" i="28"/>
  <c r="M42" i="28"/>
  <c r="L42" i="28"/>
  <c r="Y42" i="28" s="1"/>
  <c r="E42" i="28"/>
  <c r="P42" i="28" s="1"/>
  <c r="X41" i="28"/>
  <c r="P41" i="28"/>
  <c r="M41" i="28"/>
  <c r="K41" i="28"/>
  <c r="J41" i="28"/>
  <c r="X40" i="28"/>
  <c r="P40" i="28"/>
  <c r="M40" i="28"/>
  <c r="K40" i="28"/>
  <c r="J40" i="28"/>
  <c r="X39" i="28"/>
  <c r="P39" i="28"/>
  <c r="M39" i="28"/>
  <c r="K39" i="28"/>
  <c r="J39" i="28"/>
  <c r="X38" i="28"/>
  <c r="P38" i="28"/>
  <c r="M38" i="28"/>
  <c r="K38" i="28"/>
  <c r="J38" i="28"/>
  <c r="F38" i="28"/>
  <c r="X37" i="28"/>
  <c r="P37" i="28"/>
  <c r="M37" i="28"/>
  <c r="K37" i="28"/>
  <c r="J37" i="28"/>
  <c r="L37" i="28" s="1"/>
  <c r="Y37" i="28" s="1"/>
  <c r="X36" i="28"/>
  <c r="P36" i="28"/>
  <c r="M36" i="28"/>
  <c r="K36" i="28"/>
  <c r="J36" i="28"/>
  <c r="X35" i="28"/>
  <c r="P35" i="28"/>
  <c r="M35" i="28"/>
  <c r="K35" i="28"/>
  <c r="J35" i="28"/>
  <c r="X34" i="28"/>
  <c r="P34" i="28"/>
  <c r="M34" i="28"/>
  <c r="K34" i="28"/>
  <c r="J34" i="28"/>
  <c r="X33" i="28"/>
  <c r="P33" i="28"/>
  <c r="M33" i="28"/>
  <c r="K33" i="28"/>
  <c r="J33" i="28"/>
  <c r="F33" i="28"/>
  <c r="X32" i="28"/>
  <c r="M32" i="28"/>
  <c r="K32" i="28"/>
  <c r="J32" i="28"/>
  <c r="C32" i="28"/>
  <c r="P32" i="28" s="1"/>
  <c r="X31" i="28"/>
  <c r="P31" i="28"/>
  <c r="M31" i="28"/>
  <c r="K31" i="28"/>
  <c r="J31" i="28"/>
  <c r="F31" i="28"/>
  <c r="C31" i="28"/>
  <c r="C47" i="28" s="1"/>
  <c r="P30" i="28"/>
  <c r="L30" i="28"/>
  <c r="X29" i="28"/>
  <c r="P29" i="28"/>
  <c r="M29" i="28"/>
  <c r="K29" i="28"/>
  <c r="J29" i="28"/>
  <c r="X28" i="28"/>
  <c r="P28" i="28"/>
  <c r="M28" i="28"/>
  <c r="M47" i="28" s="1"/>
  <c r="K28" i="28"/>
  <c r="J28" i="28"/>
  <c r="F28" i="28"/>
  <c r="O25" i="28"/>
  <c r="N25" i="28"/>
  <c r="K25" i="28"/>
  <c r="J25" i="28"/>
  <c r="I25" i="28"/>
  <c r="H25" i="28"/>
  <c r="G25" i="28"/>
  <c r="F25" i="28"/>
  <c r="E25" i="28"/>
  <c r="D25" i="28"/>
  <c r="C25" i="28"/>
  <c r="Z23" i="28"/>
  <c r="X23" i="28"/>
  <c r="M23" i="28"/>
  <c r="L23" i="28"/>
  <c r="Y23" i="28" s="1"/>
  <c r="C23" i="28"/>
  <c r="P23" i="28" s="1"/>
  <c r="Z22" i="28"/>
  <c r="Y22" i="28"/>
  <c r="X22" i="28"/>
  <c r="P22" i="28"/>
  <c r="M22" i="28"/>
  <c r="L22" i="28"/>
  <c r="Z21" i="28"/>
  <c r="X21" i="28"/>
  <c r="P21" i="28"/>
  <c r="M21" i="28"/>
  <c r="L21" i="28"/>
  <c r="Y21" i="28" s="1"/>
  <c r="Z20" i="28"/>
  <c r="Y20" i="28"/>
  <c r="X20" i="28"/>
  <c r="P20" i="28"/>
  <c r="M20" i="28"/>
  <c r="L20" i="28"/>
  <c r="Z19" i="28"/>
  <c r="X19" i="28"/>
  <c r="P19" i="28"/>
  <c r="M19" i="28"/>
  <c r="L19" i="28"/>
  <c r="Y19" i="28" s="1"/>
  <c r="Z18" i="28"/>
  <c r="Y18" i="28"/>
  <c r="X18" i="28"/>
  <c r="M18" i="28"/>
  <c r="L18" i="28"/>
  <c r="C18" i="28"/>
  <c r="P18" i="28" s="1"/>
  <c r="Z17" i="28"/>
  <c r="X17" i="28"/>
  <c r="P17" i="28"/>
  <c r="M17" i="28"/>
  <c r="L17" i="28"/>
  <c r="Y17" i="28" s="1"/>
  <c r="Z16" i="28"/>
  <c r="Y16" i="28"/>
  <c r="X16" i="28"/>
  <c r="P16" i="28"/>
  <c r="M16" i="28"/>
  <c r="L16" i="28"/>
  <c r="Z15" i="28"/>
  <c r="X15" i="28"/>
  <c r="P15" i="28"/>
  <c r="M15" i="28"/>
  <c r="L15" i="28"/>
  <c r="Y15" i="28" s="1"/>
  <c r="Z14" i="28"/>
  <c r="Y14" i="28"/>
  <c r="X14" i="28"/>
  <c r="P14" i="28"/>
  <c r="M14" i="28"/>
  <c r="L14" i="28"/>
  <c r="Z13" i="28"/>
  <c r="X13" i="28"/>
  <c r="P13" i="28"/>
  <c r="M13" i="28"/>
  <c r="L13" i="28"/>
  <c r="Y13" i="28" s="1"/>
  <c r="Z12" i="28"/>
  <c r="Y12" i="28"/>
  <c r="X12" i="28"/>
  <c r="P12" i="28"/>
  <c r="M12" i="28"/>
  <c r="L12" i="28"/>
  <c r="Z11" i="28"/>
  <c r="X11" i="28"/>
  <c r="P11" i="28"/>
  <c r="M11" i="28"/>
  <c r="L11" i="28"/>
  <c r="Y11" i="28" s="1"/>
  <c r="Z10" i="28"/>
  <c r="Y10" i="28"/>
  <c r="X10" i="28"/>
  <c r="P10" i="28"/>
  <c r="M10" i="28"/>
  <c r="L10" i="28"/>
  <c r="C10" i="28"/>
  <c r="Z9" i="28"/>
  <c r="X9" i="28"/>
  <c r="P9" i="28"/>
  <c r="M9" i="28"/>
  <c r="L9" i="28"/>
  <c r="Y9" i="28" s="1"/>
  <c r="C9" i="28"/>
  <c r="Z8" i="28"/>
  <c r="P8" i="28"/>
  <c r="Z7" i="28"/>
  <c r="X7" i="28"/>
  <c r="P7" i="28"/>
  <c r="M7" i="28"/>
  <c r="M25" i="28" s="1"/>
  <c r="L7" i="28"/>
  <c r="Y7" i="28" s="1"/>
  <c r="L112" i="28" l="1"/>
  <c r="Y112" i="28" s="1"/>
  <c r="L420" i="28"/>
  <c r="Y420" i="28" s="1"/>
  <c r="L393" i="28"/>
  <c r="Y393" i="28" s="1"/>
  <c r="L169" i="28"/>
  <c r="Y169" i="28" s="1"/>
  <c r="L58" i="28"/>
  <c r="Y58" i="28" s="1"/>
  <c r="L60" i="28"/>
  <c r="Y60" i="28" s="1"/>
  <c r="L399" i="28"/>
  <c r="L99" i="28"/>
  <c r="Y99" i="28" s="1"/>
  <c r="L111" i="28"/>
  <c r="Y111" i="28" s="1"/>
  <c r="L33" i="28"/>
  <c r="Y33" i="28" s="1"/>
  <c r="L40" i="28"/>
  <c r="Y40" i="28" s="1"/>
  <c r="L50" i="28"/>
  <c r="Y50" i="28" s="1"/>
  <c r="L72" i="28"/>
  <c r="Y72" i="28" s="1"/>
  <c r="L74" i="28"/>
  <c r="Y74" i="28" s="1"/>
  <c r="AG47" i="15"/>
  <c r="AG39" i="15"/>
  <c r="AG31" i="15"/>
  <c r="AG23" i="15"/>
  <c r="AG45" i="15"/>
  <c r="AG37" i="15"/>
  <c r="AG29" i="15"/>
  <c r="AG21" i="15"/>
  <c r="AG43" i="15"/>
  <c r="AG35" i="15"/>
  <c r="AG27" i="15"/>
  <c r="AG19" i="15"/>
  <c r="AH15" i="15"/>
  <c r="AH46" i="15"/>
  <c r="AH38" i="15"/>
  <c r="AH30" i="15"/>
  <c r="AH22" i="15"/>
  <c r="AH23" i="15"/>
  <c r="AG15" i="15"/>
  <c r="AH45" i="15"/>
  <c r="AH37" i="15"/>
  <c r="AH29" i="15"/>
  <c r="AH21" i="15"/>
  <c r="AZ40" i="15"/>
  <c r="AH40" i="15"/>
  <c r="AH39" i="15"/>
  <c r="AH44" i="15"/>
  <c r="AH36" i="15"/>
  <c r="AH28" i="15"/>
  <c r="AH20" i="15"/>
  <c r="AH24" i="15"/>
  <c r="AH31" i="15"/>
  <c r="AH43" i="15"/>
  <c r="AH35" i="15"/>
  <c r="AH27" i="15"/>
  <c r="AH19" i="15"/>
  <c r="AH32" i="15"/>
  <c r="AH47" i="15"/>
  <c r="AH14" i="15"/>
  <c r="AH42" i="15"/>
  <c r="AH34" i="15"/>
  <c r="AH26" i="15"/>
  <c r="AH18" i="15"/>
  <c r="AH16" i="15"/>
  <c r="AH49" i="15"/>
  <c r="AH41" i="15"/>
  <c r="AH33" i="15"/>
  <c r="AH25" i="15"/>
  <c r="AH17" i="15"/>
  <c r="L426" i="28"/>
  <c r="L360" i="28"/>
  <c r="Y360" i="28" s="1"/>
  <c r="L392" i="28"/>
  <c r="Y392" i="28" s="1"/>
  <c r="L151" i="28"/>
  <c r="Y151" i="28" s="1"/>
  <c r="L159" i="28"/>
  <c r="Y159" i="28" s="1"/>
  <c r="L35" i="28"/>
  <c r="Y35" i="28" s="1"/>
  <c r="L114" i="28"/>
  <c r="Y114" i="28" s="1"/>
  <c r="L352" i="28"/>
  <c r="Y352" i="28" s="1"/>
  <c r="L53" i="28"/>
  <c r="Y53" i="28" s="1"/>
  <c r="L122" i="28"/>
  <c r="L402" i="28"/>
  <c r="Y402" i="28" s="1"/>
  <c r="L107" i="28"/>
  <c r="Y107" i="28" s="1"/>
  <c r="L391" i="28"/>
  <c r="Y391" i="28" s="1"/>
  <c r="L113" i="28"/>
  <c r="Y113" i="28" s="1"/>
  <c r="L36" i="28"/>
  <c r="Y36" i="28" s="1"/>
  <c r="L270" i="28"/>
  <c r="L31" i="28"/>
  <c r="Y31" i="28" s="1"/>
  <c r="L38" i="28"/>
  <c r="Y38" i="28" s="1"/>
  <c r="AZ41" i="15"/>
  <c r="AZ29" i="15"/>
  <c r="BD41" i="15"/>
  <c r="BD17" i="15"/>
  <c r="BH41" i="15"/>
  <c r="BH17" i="15"/>
  <c r="BL34" i="15"/>
  <c r="BL28" i="15"/>
  <c r="BL22" i="15"/>
  <c r="BD26" i="15"/>
  <c r="BD20" i="15"/>
  <c r="AM42" i="15"/>
  <c r="AM36" i="15"/>
  <c r="BH49" i="15"/>
  <c r="BD42" i="15"/>
  <c r="AZ17" i="15"/>
  <c r="BD36" i="15"/>
  <c r="BD30" i="15"/>
  <c r="BD24" i="15"/>
  <c r="BD18" i="15"/>
  <c r="BH30" i="15"/>
  <c r="BL48" i="15"/>
  <c r="BL42" i="15"/>
  <c r="AM40" i="15"/>
  <c r="AQ16" i="15"/>
  <c r="AZ45" i="15"/>
  <c r="AZ21" i="15"/>
  <c r="AZ18" i="15"/>
  <c r="BH25" i="15"/>
  <c r="BL49" i="15"/>
  <c r="BL25" i="15"/>
  <c r="BD29" i="15"/>
  <c r="AZ16" i="15"/>
  <c r="AZ34" i="15"/>
  <c r="BL41" i="15"/>
  <c r="BD22" i="15"/>
  <c r="BH46" i="15"/>
  <c r="BD21" i="15"/>
  <c r="AQ32" i="15"/>
  <c r="AQ20" i="15"/>
  <c r="AZ20" i="15"/>
  <c r="BD44" i="15"/>
  <c r="BH14" i="15"/>
  <c r="BH21" i="15"/>
  <c r="BL45" i="15"/>
  <c r="AZ49" i="15"/>
  <c r="AZ25" i="15"/>
  <c r="BL14" i="15"/>
  <c r="BL44" i="15"/>
  <c r="BL38" i="15"/>
  <c r="BL32" i="15"/>
  <c r="BL26" i="15"/>
  <c r="BL20" i="15"/>
  <c r="L269" i="28"/>
  <c r="Y269" i="28" s="1"/>
  <c r="L267" i="28"/>
  <c r="Y267" i="28" s="1"/>
  <c r="L32" i="28"/>
  <c r="Y32" i="28" s="1"/>
  <c r="L39" i="28"/>
  <c r="Y39" i="28" s="1"/>
  <c r="AM19" i="15"/>
  <c r="AM29" i="15"/>
  <c r="AM34" i="15"/>
  <c r="AM33" i="15"/>
  <c r="AM43" i="15"/>
  <c r="AM48" i="15"/>
  <c r="AM45" i="15"/>
  <c r="AM14" i="15"/>
  <c r="AM27" i="15"/>
  <c r="AM49" i="15"/>
  <c r="AM37" i="15"/>
  <c r="AM31" i="15"/>
  <c r="AM24" i="15"/>
  <c r="AM17" i="15"/>
  <c r="AM41" i="15"/>
  <c r="AM23" i="15"/>
  <c r="AM28" i="15"/>
  <c r="AM39" i="15"/>
  <c r="AM44" i="15"/>
  <c r="AM21" i="15"/>
  <c r="AM32" i="15"/>
  <c r="BL36" i="15"/>
  <c r="BL30" i="15"/>
  <c r="BL24" i="15"/>
  <c r="BL18" i="15"/>
  <c r="BL17" i="15"/>
  <c r="BL46" i="15"/>
  <c r="BH45" i="15"/>
  <c r="BH33" i="15"/>
  <c r="BH40" i="15"/>
  <c r="BH26" i="15"/>
  <c r="BH24" i="15"/>
  <c r="BD48" i="15"/>
  <c r="BD34" i="15"/>
  <c r="BD33" i="15"/>
  <c r="AZ48" i="15"/>
  <c r="AZ36" i="15"/>
  <c r="AZ24" i="15"/>
  <c r="AZ15" i="15"/>
  <c r="AZ32" i="15"/>
  <c r="AQ30" i="15"/>
  <c r="AQ18" i="15"/>
  <c r="AQ17" i="15"/>
  <c r="AQ46" i="15"/>
  <c r="AQ34" i="15"/>
  <c r="AQ28" i="15"/>
  <c r="AQ41" i="15"/>
  <c r="AQ23" i="15"/>
  <c r="AQ27" i="15"/>
  <c r="AQ44" i="15"/>
  <c r="J181" i="28"/>
  <c r="L161" i="28"/>
  <c r="Y161" i="28" s="1"/>
  <c r="L430" i="28"/>
  <c r="Y430" i="28" s="1"/>
  <c r="K67" i="28"/>
  <c r="L70" i="28"/>
  <c r="Y70" i="28" s="1"/>
  <c r="O170" i="28"/>
  <c r="L195" i="28"/>
  <c r="Y195" i="28" s="1"/>
  <c r="J368" i="28"/>
  <c r="L365" i="28"/>
  <c r="Y365" i="28" s="1"/>
  <c r="L198" i="28"/>
  <c r="Y198" i="28" s="1"/>
  <c r="L197" i="28"/>
  <c r="Y197" i="28" s="1"/>
  <c r="I423" i="28"/>
  <c r="L127" i="28"/>
  <c r="Y127" i="28" s="1"/>
  <c r="L105" i="28"/>
  <c r="Y105" i="28" s="1"/>
  <c r="I181" i="28"/>
  <c r="L64" i="28"/>
  <c r="Y64" i="28" s="1"/>
  <c r="J334" i="28"/>
  <c r="K377" i="28"/>
  <c r="L106" i="28"/>
  <c r="Y106" i="28" s="1"/>
  <c r="K415" i="28"/>
  <c r="K423" i="28"/>
  <c r="L132" i="28"/>
  <c r="Y132" i="28" s="1"/>
  <c r="L353" i="28"/>
  <c r="Y353" i="28" s="1"/>
  <c r="AM16" i="15"/>
  <c r="AZ19" i="15"/>
  <c r="BD25" i="15"/>
  <c r="BH29" i="15"/>
  <c r="AQ45" i="15"/>
  <c r="AQ33" i="15"/>
  <c r="AZ44" i="15"/>
  <c r="AZ39" i="15"/>
  <c r="AZ28" i="15"/>
  <c r="AZ23" i="15"/>
  <c r="BD19" i="15"/>
  <c r="BL16" i="15"/>
  <c r="AZ33" i="15"/>
  <c r="BL21" i="15"/>
  <c r="AM30" i="15"/>
  <c r="AM25" i="15"/>
  <c r="AQ15" i="15"/>
  <c r="AZ43" i="15"/>
  <c r="AZ38" i="15"/>
  <c r="BD38" i="15"/>
  <c r="BD28" i="15"/>
  <c r="AZ42" i="15"/>
  <c r="AZ37" i="15"/>
  <c r="BD37" i="15"/>
  <c r="AQ48" i="15"/>
  <c r="AQ36" i="15"/>
  <c r="AZ47" i="15"/>
  <c r="BD32" i="15"/>
  <c r="BH42" i="15"/>
  <c r="BH15" i="15"/>
  <c r="BL40" i="15"/>
  <c r="AQ24" i="15"/>
  <c r="BH31" i="15"/>
  <c r="AM47" i="15"/>
  <c r="BH47" i="15"/>
  <c r="BD16" i="15"/>
  <c r="K308" i="28"/>
  <c r="L34" i="28"/>
  <c r="Y34" i="28" s="1"/>
  <c r="L41" i="28"/>
  <c r="Y41" i="28" s="1"/>
  <c r="K349" i="28"/>
  <c r="L300" i="28"/>
  <c r="J47" i="28"/>
  <c r="K47" i="28"/>
  <c r="J287" i="28"/>
  <c r="L29" i="28"/>
  <c r="Y29" i="28" s="1"/>
  <c r="AQ22" i="15"/>
  <c r="BH18" i="15"/>
  <c r="AQ26" i="15"/>
  <c r="AZ26" i="15"/>
  <c r="BL23" i="15"/>
  <c r="AM15" i="15"/>
  <c r="AZ46" i="15"/>
  <c r="BH23" i="15"/>
  <c r="AQ21" i="15"/>
  <c r="BH38" i="15"/>
  <c r="BL33" i="15"/>
  <c r="BL47" i="15"/>
  <c r="AM46" i="15"/>
  <c r="AQ39" i="15"/>
  <c r="BD45" i="15"/>
  <c r="BD15" i="15"/>
  <c r="BH35" i="15"/>
  <c r="BH19" i="15"/>
  <c r="BL35" i="15"/>
  <c r="BL39" i="15"/>
  <c r="BL15" i="15"/>
  <c r="AM18" i="15"/>
  <c r="AZ31" i="15"/>
  <c r="BD35" i="15"/>
  <c r="AM22" i="15"/>
  <c r="BH27" i="15"/>
  <c r="AM26" i="15"/>
  <c r="AQ42" i="15"/>
  <c r="AQ25" i="15"/>
  <c r="AZ35" i="15"/>
  <c r="AZ30" i="15"/>
  <c r="BD43" i="15"/>
  <c r="BH48" i="15"/>
  <c r="BH32" i="15"/>
  <c r="BH16" i="15"/>
  <c r="BL37" i="15"/>
  <c r="BD23" i="15"/>
  <c r="BH34" i="15"/>
  <c r="AZ22" i="15"/>
  <c r="BH39" i="15"/>
  <c r="BD31" i="15"/>
  <c r="BL19" i="15"/>
  <c r="AQ49" i="15"/>
  <c r="BD39" i="15"/>
  <c r="AQ47" i="15"/>
  <c r="AQ35" i="15"/>
  <c r="AQ19" i="15"/>
  <c r="BD47" i="15"/>
  <c r="BL27" i="15"/>
  <c r="AQ38" i="15"/>
  <c r="BH44" i="15"/>
  <c r="AQ37" i="15"/>
  <c r="AZ27" i="15"/>
  <c r="BD27" i="15"/>
  <c r="BL29" i="15"/>
  <c r="BH28" i="15"/>
  <c r="BL43" i="15"/>
  <c r="BH22" i="15"/>
  <c r="BH43" i="15"/>
  <c r="AM38" i="15"/>
  <c r="AM20" i="15"/>
  <c r="AQ40" i="15"/>
  <c r="AQ29" i="15"/>
  <c r="BH36" i="15"/>
  <c r="BH20" i="15"/>
  <c r="BL31" i="15"/>
  <c r="AQ14" i="15"/>
  <c r="L52" i="28"/>
  <c r="Y52" i="28" s="1"/>
  <c r="L59" i="28"/>
  <c r="Y59" i="28" s="1"/>
  <c r="I225" i="28"/>
  <c r="L218" i="28"/>
  <c r="Y218" i="28" s="1"/>
  <c r="K355" i="28"/>
  <c r="J395" i="28"/>
  <c r="K163" i="28"/>
  <c r="L54" i="28"/>
  <c r="Y54" i="28" s="1"/>
  <c r="L57" i="28"/>
  <c r="Y57" i="28" s="1"/>
  <c r="L61" i="28"/>
  <c r="Y61" i="28" s="1"/>
  <c r="K95" i="28"/>
  <c r="L173" i="28"/>
  <c r="Y173" i="28" s="1"/>
  <c r="L175" i="28"/>
  <c r="Y175" i="28" s="1"/>
  <c r="K203" i="28"/>
  <c r="J225" i="28"/>
  <c r="L210" i="28"/>
  <c r="Y210" i="28" s="1"/>
  <c r="L359" i="28"/>
  <c r="L362" i="28" s="1"/>
  <c r="K395" i="28"/>
  <c r="L390" i="28"/>
  <c r="Y390" i="28" s="1"/>
  <c r="L109" i="28"/>
  <c r="Y109" i="28" s="1"/>
  <c r="L131" i="28"/>
  <c r="Y131" i="28" s="1"/>
  <c r="L133" i="28"/>
  <c r="Y133" i="28" s="1"/>
  <c r="K225" i="28"/>
  <c r="I334" i="28"/>
  <c r="K362" i="28"/>
  <c r="L421" i="28"/>
  <c r="Y421" i="28" s="1"/>
  <c r="L428" i="28"/>
  <c r="Y428" i="28" s="1"/>
  <c r="L101" i="28"/>
  <c r="Y101" i="28" s="1"/>
  <c r="K181" i="28"/>
  <c r="J433" i="28"/>
  <c r="L55" i="28"/>
  <c r="Y55" i="28" s="1"/>
  <c r="J143" i="28"/>
  <c r="L137" i="28"/>
  <c r="Y137" i="28" s="1"/>
  <c r="L243" i="28"/>
  <c r="Y243" i="28" s="1"/>
  <c r="K334" i="28"/>
  <c r="J404" i="28"/>
  <c r="M437" i="28"/>
  <c r="K143" i="28"/>
  <c r="I245" i="28"/>
  <c r="K368" i="28"/>
  <c r="L62" i="28"/>
  <c r="Y62" i="28" s="1"/>
  <c r="J76" i="28"/>
  <c r="L73" i="28"/>
  <c r="Y73" i="28" s="1"/>
  <c r="L104" i="28"/>
  <c r="Y104" i="28" s="1"/>
  <c r="L135" i="28"/>
  <c r="Y135" i="28" s="1"/>
  <c r="L219" i="28"/>
  <c r="Y219" i="28" s="1"/>
  <c r="J245" i="28"/>
  <c r="J362" i="28"/>
  <c r="L387" i="28"/>
  <c r="Y387" i="28" s="1"/>
  <c r="K404" i="28"/>
  <c r="J67" i="28"/>
  <c r="K76" i="28"/>
  <c r="L98" i="28"/>
  <c r="Y98" i="28" s="1"/>
  <c r="L178" i="28"/>
  <c r="Y178" i="28" s="1"/>
  <c r="F245" i="28"/>
  <c r="P245" i="28" s="1"/>
  <c r="L232" i="28"/>
  <c r="Y232" i="28" s="1"/>
  <c r="J119" i="28"/>
  <c r="L100" i="28"/>
  <c r="Y100" i="28" s="1"/>
  <c r="L110" i="28"/>
  <c r="Y110" i="28" s="1"/>
  <c r="L156" i="28"/>
  <c r="Y156" i="28" s="1"/>
  <c r="I163" i="28"/>
  <c r="L400" i="28"/>
  <c r="Y400" i="28" s="1"/>
  <c r="L418" i="28"/>
  <c r="Y418" i="28" s="1"/>
  <c r="K119" i="28"/>
  <c r="L126" i="28"/>
  <c r="Y126" i="28" s="1"/>
  <c r="L128" i="28"/>
  <c r="Y128" i="28" s="1"/>
  <c r="J163" i="28"/>
  <c r="L154" i="28"/>
  <c r="Y154" i="28" s="1"/>
  <c r="L158" i="28"/>
  <c r="Y158" i="28" s="1"/>
  <c r="J203" i="28"/>
  <c r="L211" i="28"/>
  <c r="Y211" i="28" s="1"/>
  <c r="O316" i="28"/>
  <c r="O334" i="28" s="1"/>
  <c r="J423" i="28"/>
  <c r="P334" i="28"/>
  <c r="M163" i="28"/>
  <c r="Y386" i="28"/>
  <c r="O181" i="28"/>
  <c r="M170" i="28"/>
  <c r="M181" i="28" s="1"/>
  <c r="F435" i="28"/>
  <c r="P433" i="28"/>
  <c r="P362" i="28"/>
  <c r="P415" i="28"/>
  <c r="Y359" i="28"/>
  <c r="P383" i="28"/>
  <c r="P404" i="28"/>
  <c r="Y122" i="28"/>
  <c r="M435" i="28"/>
  <c r="P287" i="28"/>
  <c r="E336" i="28"/>
  <c r="E440" i="28" s="1"/>
  <c r="Y426" i="28"/>
  <c r="P395" i="28"/>
  <c r="C447" i="28"/>
  <c r="C443" i="28" s="1"/>
  <c r="H440" i="28"/>
  <c r="C611" i="28"/>
  <c r="L287" i="28"/>
  <c r="Y270" i="28"/>
  <c r="P423" i="28"/>
  <c r="O433" i="28"/>
  <c r="O435" i="28" s="1"/>
  <c r="L79" i="28"/>
  <c r="L170" i="28"/>
  <c r="Y170" i="28" s="1"/>
  <c r="F203" i="28"/>
  <c r="P203" i="28" s="1"/>
  <c r="C225" i="28"/>
  <c r="P225" i="28" s="1"/>
  <c r="L342" i="28"/>
  <c r="J355" i="28"/>
  <c r="L371" i="28"/>
  <c r="I404" i="28"/>
  <c r="L408" i="28"/>
  <c r="L415" i="28" s="1"/>
  <c r="F287" i="28"/>
  <c r="E119" i="28"/>
  <c r="P119" i="28" s="1"/>
  <c r="I143" i="28"/>
  <c r="L150" i="28"/>
  <c r="Y150" i="28" s="1"/>
  <c r="L189" i="28"/>
  <c r="Y189" i="28" s="1"/>
  <c r="L253" i="28"/>
  <c r="Y253" i="28" s="1"/>
  <c r="L316" i="28"/>
  <c r="E47" i="28"/>
  <c r="F119" i="28"/>
  <c r="P136" i="28"/>
  <c r="C181" i="28"/>
  <c r="P181" i="28" s="1"/>
  <c r="K245" i="28"/>
  <c r="F264" i="28"/>
  <c r="P264" i="28" s="1"/>
  <c r="I287" i="28"/>
  <c r="I395" i="28"/>
  <c r="G437" i="28"/>
  <c r="L28" i="28"/>
  <c r="L71" i="28"/>
  <c r="I203" i="28"/>
  <c r="L206" i="28"/>
  <c r="L299" i="28"/>
  <c r="I433" i="28"/>
  <c r="P67" i="28"/>
  <c r="O299" i="28"/>
  <c r="O308" i="28" s="1"/>
  <c r="L315" i="28"/>
  <c r="Y315" i="28" s="1"/>
  <c r="L366" i="28"/>
  <c r="Y366" i="28" s="1"/>
  <c r="L429" i="28"/>
  <c r="Y429" i="28" s="1"/>
  <c r="I119" i="28"/>
  <c r="P188" i="28"/>
  <c r="P242" i="28"/>
  <c r="L381" i="28"/>
  <c r="Y381" i="28" s="1"/>
  <c r="P393" i="28"/>
  <c r="K433" i="28"/>
  <c r="P50" i="28"/>
  <c r="L345" i="28"/>
  <c r="P352" i="28"/>
  <c r="C377" i="28"/>
  <c r="P401" i="28"/>
  <c r="P122" i="28"/>
  <c r="P280" i="28"/>
  <c r="L25" i="28"/>
  <c r="P73" i="28"/>
  <c r="L355" i="28" l="1"/>
  <c r="L308" i="28"/>
  <c r="L423" i="28"/>
  <c r="K435" i="28"/>
  <c r="L404" i="28"/>
  <c r="AE38" i="15"/>
  <c r="AI43" i="15"/>
  <c r="AI46" i="15"/>
  <c r="AI24" i="15"/>
  <c r="AE26" i="15"/>
  <c r="AE40" i="15"/>
  <c r="AE45" i="15"/>
  <c r="AE20" i="15"/>
  <c r="AE24" i="15"/>
  <c r="AE48" i="15"/>
  <c r="AE29" i="15"/>
  <c r="AI38" i="15"/>
  <c r="AI15" i="15"/>
  <c r="AI35" i="15"/>
  <c r="AI22" i="15"/>
  <c r="AI33" i="15"/>
  <c r="AI34" i="15"/>
  <c r="AI45" i="15"/>
  <c r="AI27" i="15"/>
  <c r="AI31" i="15"/>
  <c r="AI29" i="15"/>
  <c r="AI21" i="15"/>
  <c r="AI48" i="15"/>
  <c r="AI18" i="15"/>
  <c r="AI23" i="15"/>
  <c r="AI41" i="15"/>
  <c r="AI49" i="15"/>
  <c r="AI37" i="15"/>
  <c r="AI20" i="15"/>
  <c r="AI30" i="15"/>
  <c r="AI36" i="15"/>
  <c r="AI28" i="15"/>
  <c r="AI42" i="15"/>
  <c r="AI40" i="15"/>
  <c r="AI25" i="15"/>
  <c r="AI26" i="15"/>
  <c r="AI16" i="15"/>
  <c r="AI44" i="15"/>
  <c r="K336" i="28"/>
  <c r="K440" i="28" s="1"/>
  <c r="M336" i="28"/>
  <c r="M440" i="28" s="1"/>
  <c r="L163" i="28"/>
  <c r="I336" i="28"/>
  <c r="I435" i="28"/>
  <c r="AI47" i="15"/>
  <c r="AI19" i="15"/>
  <c r="AI17" i="15"/>
  <c r="AI32" i="15"/>
  <c r="AI39" i="15"/>
  <c r="O336" i="28"/>
  <c r="O440" i="28" s="1"/>
  <c r="J336" i="28"/>
  <c r="AI14" i="15"/>
  <c r="L225" i="28"/>
  <c r="L245" i="28"/>
  <c r="L119" i="28"/>
  <c r="L383" i="28"/>
  <c r="L67" i="28"/>
  <c r="L433" i="28"/>
  <c r="L143" i="28"/>
  <c r="J435" i="28"/>
  <c r="L395" i="28"/>
  <c r="Y71" i="28"/>
  <c r="L76" i="28"/>
  <c r="L437" i="28"/>
  <c r="D437" i="28"/>
  <c r="D440" i="28" s="1"/>
  <c r="Y79" i="28"/>
  <c r="L95" i="28"/>
  <c r="P377" i="28"/>
  <c r="C435" i="28"/>
  <c r="P435" i="28" s="1"/>
  <c r="F336" i="28"/>
  <c r="F440" i="28" s="1"/>
  <c r="C448" i="28"/>
  <c r="C444" i="28" s="1"/>
  <c r="C442" i="28" s="1"/>
  <c r="G440" i="28"/>
  <c r="C336" i="28"/>
  <c r="L181" i="28"/>
  <c r="Y345" i="28"/>
  <c r="L349" i="28"/>
  <c r="L203" i="28"/>
  <c r="L264" i="28"/>
  <c r="Y371" i="28"/>
  <c r="L377" i="28"/>
  <c r="L334" i="28"/>
  <c r="L368" i="28"/>
  <c r="L47" i="28"/>
  <c r="Y28" i="28"/>
  <c r="J440" i="28" l="1"/>
  <c r="I440" i="28"/>
  <c r="P441" i="28" s="1"/>
  <c r="AE23" i="15"/>
  <c r="AE27" i="15"/>
  <c r="AE41" i="15"/>
  <c r="AE43" i="15"/>
  <c r="AE36" i="15"/>
  <c r="AE47" i="15"/>
  <c r="AE39" i="15"/>
  <c r="AE34" i="15"/>
  <c r="AE25" i="15"/>
  <c r="AE32" i="15"/>
  <c r="AE46" i="15"/>
  <c r="AE22" i="15"/>
  <c r="AE33" i="15"/>
  <c r="AE31" i="15"/>
  <c r="AE30" i="15"/>
  <c r="AE37" i="15"/>
  <c r="AE19" i="15"/>
  <c r="AE28" i="15"/>
  <c r="AE17" i="15"/>
  <c r="AE21" i="15"/>
  <c r="AE16" i="15"/>
  <c r="AE44" i="15"/>
  <c r="AE49" i="15"/>
  <c r="AE35" i="15"/>
  <c r="AE14" i="15"/>
  <c r="AE15" i="15"/>
  <c r="AE18" i="15"/>
  <c r="AE42" i="15"/>
  <c r="L435" i="28"/>
  <c r="L336" i="28"/>
  <c r="L440" i="28" s="1"/>
  <c r="C601" i="28" s="1"/>
  <c r="C604" i="28" s="1"/>
  <c r="C440" i="28"/>
  <c r="P440" i="28" s="1"/>
  <c r="P336" i="28"/>
  <c r="AS11" i="15" l="1"/>
  <c r="AC8" i="15"/>
  <c r="AQ12" i="15"/>
  <c r="AT10" i="15"/>
  <c r="BC13" i="15"/>
  <c r="BB13" i="15"/>
  <c r="AD8" i="15" l="1"/>
  <c r="H9" i="25" l="1"/>
  <c r="M9" i="25"/>
  <c r="H433" i="25" l="1"/>
  <c r="H423" i="25"/>
  <c r="H415" i="25"/>
  <c r="H404" i="25"/>
  <c r="H395" i="25"/>
  <c r="H383" i="25"/>
  <c r="H377" i="25"/>
  <c r="I377" i="25"/>
  <c r="H368" i="25"/>
  <c r="H362" i="25"/>
  <c r="H355" i="25"/>
  <c r="H349" i="25"/>
  <c r="H342" i="25"/>
  <c r="I342" i="25"/>
  <c r="H334" i="25"/>
  <c r="H308" i="25"/>
  <c r="H287" i="25"/>
  <c r="H264" i="25"/>
  <c r="H245" i="25"/>
  <c r="H225" i="25"/>
  <c r="H203" i="25"/>
  <c r="H181" i="25"/>
  <c r="H163" i="25"/>
  <c r="H143" i="25"/>
  <c r="H119" i="25"/>
  <c r="H95" i="25"/>
  <c r="H76" i="25"/>
  <c r="H67" i="25"/>
  <c r="H47" i="25"/>
  <c r="H25" i="25"/>
  <c r="G308" i="25"/>
  <c r="H670" i="25"/>
  <c r="H668" i="25"/>
  <c r="H666" i="25"/>
  <c r="H664" i="25"/>
  <c r="H662" i="25"/>
  <c r="H660" i="25"/>
  <c r="H658" i="25"/>
  <c r="H656" i="25"/>
  <c r="H654" i="25"/>
  <c r="H652" i="25"/>
  <c r="H650" i="25"/>
  <c r="H648" i="25"/>
  <c r="H646" i="25"/>
  <c r="H644" i="25"/>
  <c r="H642" i="25"/>
  <c r="H640" i="25"/>
  <c r="H638" i="25"/>
  <c r="H636" i="25"/>
  <c r="H634" i="25"/>
  <c r="H632" i="25"/>
  <c r="H630" i="25"/>
  <c r="H628" i="25"/>
  <c r="H626" i="25"/>
  <c r="H624" i="25"/>
  <c r="H622" i="25"/>
  <c r="H620" i="25"/>
  <c r="H618" i="25"/>
  <c r="H616" i="25"/>
  <c r="H614" i="25"/>
  <c r="H612" i="25"/>
  <c r="C609" i="25"/>
  <c r="C608" i="25"/>
  <c r="C610" i="25" s="1"/>
  <c r="C611" i="25" s="1"/>
  <c r="C603" i="25"/>
  <c r="H598" i="25"/>
  <c r="H596" i="25"/>
  <c r="H594" i="25"/>
  <c r="H592" i="25"/>
  <c r="H590" i="25"/>
  <c r="H588" i="25"/>
  <c r="H586" i="25"/>
  <c r="H584" i="25"/>
  <c r="H582" i="25"/>
  <c r="H580" i="25"/>
  <c r="H578" i="25"/>
  <c r="H576" i="25"/>
  <c r="H574" i="25"/>
  <c r="H572" i="25"/>
  <c r="H570" i="25"/>
  <c r="H568" i="25"/>
  <c r="H566" i="25"/>
  <c r="H564" i="25"/>
  <c r="H562" i="25"/>
  <c r="H560" i="25"/>
  <c r="H558" i="25"/>
  <c r="H556" i="25"/>
  <c r="H554" i="25"/>
  <c r="H552" i="25"/>
  <c r="H550" i="25"/>
  <c r="H548" i="25"/>
  <c r="H546" i="25"/>
  <c r="H544" i="25"/>
  <c r="H542" i="25"/>
  <c r="H540" i="25"/>
  <c r="H538" i="25"/>
  <c r="H536" i="25"/>
  <c r="H534" i="25"/>
  <c r="H532" i="25"/>
  <c r="H530" i="25"/>
  <c r="H528" i="25"/>
  <c r="H526" i="25"/>
  <c r="H524" i="25"/>
  <c r="H522" i="25"/>
  <c r="H520" i="25"/>
  <c r="H518" i="25"/>
  <c r="H516" i="25"/>
  <c r="H514" i="25"/>
  <c r="H512" i="25"/>
  <c r="H510" i="25"/>
  <c r="H508" i="25"/>
  <c r="H506" i="25"/>
  <c r="H504" i="25"/>
  <c r="H502" i="25"/>
  <c r="H500" i="25"/>
  <c r="H498" i="25"/>
  <c r="C497" i="25"/>
  <c r="H496" i="25"/>
  <c r="H494" i="25"/>
  <c r="H492" i="25"/>
  <c r="H490" i="25"/>
  <c r="H488" i="25"/>
  <c r="H486" i="25"/>
  <c r="H484" i="25"/>
  <c r="H482" i="25"/>
  <c r="H480" i="25"/>
  <c r="H478" i="25"/>
  <c r="H476" i="25"/>
  <c r="H474" i="25"/>
  <c r="H472" i="25"/>
  <c r="H470" i="25"/>
  <c r="H468" i="25"/>
  <c r="H466" i="25"/>
  <c r="H464" i="25"/>
  <c r="H462" i="25"/>
  <c r="H460" i="25"/>
  <c r="H458" i="25"/>
  <c r="H456" i="25"/>
  <c r="H454" i="25"/>
  <c r="H452" i="25"/>
  <c r="H450" i="25"/>
  <c r="H448" i="25"/>
  <c r="J446" i="25"/>
  <c r="H446" i="25"/>
  <c r="J444" i="25"/>
  <c r="H444" i="25"/>
  <c r="J442" i="25"/>
  <c r="H442" i="25"/>
  <c r="C441" i="25"/>
  <c r="J437" i="25"/>
  <c r="M437" i="25" s="1"/>
  <c r="N433" i="25"/>
  <c r="E433" i="25"/>
  <c r="D433" i="25"/>
  <c r="C433" i="25"/>
  <c r="L431" i="25"/>
  <c r="F431" i="25"/>
  <c r="M430" i="25"/>
  <c r="K430" i="25"/>
  <c r="J430" i="25"/>
  <c r="I430" i="25"/>
  <c r="F430" i="25"/>
  <c r="M429" i="25"/>
  <c r="K429" i="25"/>
  <c r="O431" i="25" s="1"/>
  <c r="J429" i="25"/>
  <c r="I429" i="25"/>
  <c r="F429" i="25"/>
  <c r="K428" i="25"/>
  <c r="J428" i="25"/>
  <c r="I428" i="25"/>
  <c r="M428" i="25"/>
  <c r="F428" i="25"/>
  <c r="O427" i="25"/>
  <c r="L427" i="25"/>
  <c r="F427" i="25"/>
  <c r="O426" i="25"/>
  <c r="K426" i="25"/>
  <c r="J426" i="25"/>
  <c r="I426" i="25"/>
  <c r="G426" i="25"/>
  <c r="O423" i="25"/>
  <c r="N423" i="25"/>
  <c r="E423" i="25"/>
  <c r="D423" i="25"/>
  <c r="C423" i="25"/>
  <c r="M421" i="25"/>
  <c r="K421" i="25"/>
  <c r="J421" i="25"/>
  <c r="I421" i="25"/>
  <c r="F421" i="25"/>
  <c r="M420" i="25"/>
  <c r="K420" i="25"/>
  <c r="J420" i="25"/>
  <c r="I420" i="25"/>
  <c r="F420" i="25"/>
  <c r="M419" i="25"/>
  <c r="L419" i="25"/>
  <c r="F419" i="25"/>
  <c r="M418" i="25"/>
  <c r="K418" i="25"/>
  <c r="J418" i="25"/>
  <c r="I418" i="25"/>
  <c r="G423" i="25"/>
  <c r="F418" i="25"/>
  <c r="N415" i="25"/>
  <c r="J415" i="25"/>
  <c r="I415" i="25"/>
  <c r="E415" i="25"/>
  <c r="D415" i="25"/>
  <c r="C415" i="25"/>
  <c r="K413" i="25"/>
  <c r="G413" i="25"/>
  <c r="F413" i="25"/>
  <c r="K412" i="25"/>
  <c r="F412" i="25"/>
  <c r="M411" i="25"/>
  <c r="L411" i="25"/>
  <c r="F411" i="25"/>
  <c r="M410" i="25"/>
  <c r="L410" i="25"/>
  <c r="F410" i="25"/>
  <c r="O409" i="25"/>
  <c r="O415" i="25" s="1"/>
  <c r="K409" i="25"/>
  <c r="G409" i="25"/>
  <c r="F409" i="25"/>
  <c r="O408" i="25"/>
  <c r="K408" i="25"/>
  <c r="G408" i="25"/>
  <c r="F408" i="25"/>
  <c r="L407" i="25"/>
  <c r="F407" i="25"/>
  <c r="N404" i="25"/>
  <c r="E404" i="25"/>
  <c r="D404" i="25"/>
  <c r="C404" i="25"/>
  <c r="K402" i="25"/>
  <c r="J402" i="25"/>
  <c r="I402" i="25"/>
  <c r="F402" i="25"/>
  <c r="M401" i="25"/>
  <c r="L401" i="25"/>
  <c r="F401" i="25"/>
  <c r="M400" i="25"/>
  <c r="K400" i="25"/>
  <c r="J400" i="25"/>
  <c r="I400" i="25"/>
  <c r="F400" i="25"/>
  <c r="O399" i="25"/>
  <c r="O404" i="25" s="1"/>
  <c r="K399" i="25"/>
  <c r="J399" i="25"/>
  <c r="I399" i="25"/>
  <c r="G399" i="25"/>
  <c r="G404" i="25" s="1"/>
  <c r="F399" i="25"/>
  <c r="L398" i="25"/>
  <c r="F398" i="25"/>
  <c r="O395" i="25"/>
  <c r="N395" i="25"/>
  <c r="E395" i="25"/>
  <c r="D395" i="25"/>
  <c r="C395" i="25"/>
  <c r="M393" i="25"/>
  <c r="K393" i="25"/>
  <c r="J393" i="25"/>
  <c r="I393" i="25"/>
  <c r="F393" i="25"/>
  <c r="M392" i="25"/>
  <c r="K392" i="25"/>
  <c r="J392" i="25"/>
  <c r="I392" i="25"/>
  <c r="F392" i="25"/>
  <c r="M391" i="25"/>
  <c r="K391" i="25"/>
  <c r="J391" i="25"/>
  <c r="I391" i="25"/>
  <c r="F391" i="25"/>
  <c r="K390" i="25"/>
  <c r="J390" i="25"/>
  <c r="I390" i="25"/>
  <c r="F390" i="25"/>
  <c r="M389" i="25"/>
  <c r="L389" i="25"/>
  <c r="F389" i="25"/>
  <c r="M388" i="25"/>
  <c r="K388" i="25"/>
  <c r="J388" i="25"/>
  <c r="I388" i="25"/>
  <c r="K387" i="25"/>
  <c r="J387" i="25"/>
  <c r="I387" i="25"/>
  <c r="M387" i="25"/>
  <c r="F387" i="25"/>
  <c r="K386" i="25"/>
  <c r="J386" i="25"/>
  <c r="I386" i="25"/>
  <c r="M386" i="25"/>
  <c r="F386" i="25"/>
  <c r="O383" i="25"/>
  <c r="N383" i="25"/>
  <c r="J383" i="25"/>
  <c r="I383" i="25"/>
  <c r="E383" i="25"/>
  <c r="C383" i="25"/>
  <c r="K381" i="25"/>
  <c r="K383" i="25" s="1"/>
  <c r="M381" i="25"/>
  <c r="F381" i="25"/>
  <c r="D381" i="25"/>
  <c r="M380" i="25"/>
  <c r="F380" i="25"/>
  <c r="O377" i="25"/>
  <c r="N377" i="25"/>
  <c r="J377" i="25"/>
  <c r="E377" i="25"/>
  <c r="D377" i="25"/>
  <c r="M375" i="25"/>
  <c r="M374" i="25"/>
  <c r="F374" i="25"/>
  <c r="M373" i="25"/>
  <c r="L373" i="25"/>
  <c r="F373" i="25"/>
  <c r="K372" i="25"/>
  <c r="F372" i="25"/>
  <c r="C372" i="25"/>
  <c r="C377" i="25" s="1"/>
  <c r="K371" i="25"/>
  <c r="M371" i="25"/>
  <c r="O368" i="25"/>
  <c r="N368" i="25"/>
  <c r="I368" i="25"/>
  <c r="F368" i="25"/>
  <c r="E368" i="25"/>
  <c r="D368" i="25"/>
  <c r="C368" i="25"/>
  <c r="K366" i="25"/>
  <c r="J366" i="25"/>
  <c r="M366" i="25"/>
  <c r="M365" i="25"/>
  <c r="K365" i="25"/>
  <c r="J365" i="25"/>
  <c r="O362" i="25"/>
  <c r="N362" i="25"/>
  <c r="I362" i="25"/>
  <c r="E362" i="25"/>
  <c r="D362" i="25"/>
  <c r="C362" i="25"/>
  <c r="K360" i="25"/>
  <c r="J360" i="25"/>
  <c r="M360" i="25"/>
  <c r="F360" i="25"/>
  <c r="F362" i="25" s="1"/>
  <c r="M359" i="25"/>
  <c r="K359" i="25"/>
  <c r="J359" i="25"/>
  <c r="M358" i="25"/>
  <c r="O355" i="25"/>
  <c r="N355" i="25"/>
  <c r="I355" i="25"/>
  <c r="G355" i="25"/>
  <c r="E355" i="25"/>
  <c r="D355" i="25"/>
  <c r="C355" i="25"/>
  <c r="K353" i="25"/>
  <c r="J353" i="25"/>
  <c r="J355" i="25" s="1"/>
  <c r="M353" i="25"/>
  <c r="F353" i="25"/>
  <c r="K352" i="25"/>
  <c r="J352" i="25"/>
  <c r="M352" i="25"/>
  <c r="F352" i="25"/>
  <c r="O349" i="25"/>
  <c r="N349" i="25"/>
  <c r="J349" i="25"/>
  <c r="I349" i="25"/>
  <c r="G349" i="25"/>
  <c r="F349" i="25"/>
  <c r="E349" i="25"/>
  <c r="D349" i="25"/>
  <c r="C349" i="25"/>
  <c r="K347" i="25"/>
  <c r="L347" i="25" s="1"/>
  <c r="K346" i="25"/>
  <c r="K345" i="25"/>
  <c r="L345" i="25" s="1"/>
  <c r="O342" i="25"/>
  <c r="N342" i="25"/>
  <c r="K342" i="25"/>
  <c r="J342" i="25"/>
  <c r="F342" i="25"/>
  <c r="E342" i="25"/>
  <c r="D342" i="25"/>
  <c r="C342" i="25"/>
  <c r="M340" i="25"/>
  <c r="L340" i="25"/>
  <c r="N334" i="25"/>
  <c r="D334" i="25"/>
  <c r="C334" i="25"/>
  <c r="O332" i="25"/>
  <c r="L332" i="25"/>
  <c r="O331" i="25"/>
  <c r="L331" i="25"/>
  <c r="O330" i="25"/>
  <c r="L330" i="25"/>
  <c r="F330" i="25"/>
  <c r="E330" i="25"/>
  <c r="O329" i="25"/>
  <c r="L329" i="25"/>
  <c r="F329" i="25"/>
  <c r="O328" i="25"/>
  <c r="L328" i="25"/>
  <c r="F328" i="25"/>
  <c r="E328" i="25"/>
  <c r="O327" i="25"/>
  <c r="F327" i="25"/>
  <c r="G326" i="25"/>
  <c r="E326" i="25"/>
  <c r="O325" i="25"/>
  <c r="L325" i="25"/>
  <c r="F325" i="25"/>
  <c r="O324" i="25"/>
  <c r="L324" i="25"/>
  <c r="F324" i="25"/>
  <c r="O323" i="25"/>
  <c r="L323" i="25"/>
  <c r="F323" i="25"/>
  <c r="O322" i="25"/>
  <c r="L322" i="25"/>
  <c r="F322" i="25"/>
  <c r="E322" i="25"/>
  <c r="O321" i="25"/>
  <c r="L321" i="25"/>
  <c r="F321" i="25"/>
  <c r="O320" i="25"/>
  <c r="L320" i="25"/>
  <c r="F320" i="25"/>
  <c r="O319" i="25"/>
  <c r="L319" i="25"/>
  <c r="F319" i="25"/>
  <c r="O318" i="25"/>
  <c r="L318" i="25"/>
  <c r="F318" i="25"/>
  <c r="O317" i="25"/>
  <c r="L317" i="25"/>
  <c r="F317" i="25"/>
  <c r="K316" i="25"/>
  <c r="J316" i="25"/>
  <c r="I316" i="25"/>
  <c r="G316" i="25"/>
  <c r="L316" i="25" s="1"/>
  <c r="F316" i="25"/>
  <c r="M315" i="25"/>
  <c r="M334" i="25" s="1"/>
  <c r="F315" i="25"/>
  <c r="O314" i="25"/>
  <c r="F314" i="25"/>
  <c r="O312" i="25"/>
  <c r="L312" i="25"/>
  <c r="F312" i="25"/>
  <c r="O311" i="25"/>
  <c r="L311" i="25"/>
  <c r="F311" i="25"/>
  <c r="N308" i="25"/>
  <c r="J308" i="25"/>
  <c r="I308" i="25"/>
  <c r="D308" i="25"/>
  <c r="C308" i="25"/>
  <c r="O306" i="25"/>
  <c r="L306" i="25"/>
  <c r="F306" i="25"/>
  <c r="E306" i="25"/>
  <c r="O305" i="25"/>
  <c r="L305" i="25"/>
  <c r="F305" i="25"/>
  <c r="O304" i="25"/>
  <c r="L304" i="25"/>
  <c r="F304" i="25"/>
  <c r="E303" i="25"/>
  <c r="E308" i="25" s="1"/>
  <c r="O302" i="25"/>
  <c r="L302" i="25"/>
  <c r="F302" i="25"/>
  <c r="O301" i="25"/>
  <c r="L301" i="25"/>
  <c r="F301" i="25"/>
  <c r="K300" i="25"/>
  <c r="L300" i="25" s="1"/>
  <c r="F300" i="25"/>
  <c r="K299" i="25"/>
  <c r="F299" i="25"/>
  <c r="O298" i="25"/>
  <c r="L298" i="25"/>
  <c r="F298" i="25"/>
  <c r="O297" i="25"/>
  <c r="L297" i="25"/>
  <c r="F297" i="25"/>
  <c r="O296" i="25"/>
  <c r="L296" i="25"/>
  <c r="F296" i="25"/>
  <c r="O295" i="25"/>
  <c r="L295" i="25"/>
  <c r="F295" i="25"/>
  <c r="O294" i="25"/>
  <c r="L294" i="25"/>
  <c r="F294" i="25"/>
  <c r="F293" i="25"/>
  <c r="O292" i="25"/>
  <c r="L292" i="25"/>
  <c r="F292" i="25"/>
  <c r="O290" i="25"/>
  <c r="L290" i="25"/>
  <c r="F290" i="25"/>
  <c r="O287" i="25"/>
  <c r="N287" i="25"/>
  <c r="D287" i="25"/>
  <c r="C287" i="25"/>
  <c r="M285" i="25"/>
  <c r="J285" i="25"/>
  <c r="L285" i="25" s="1"/>
  <c r="F285" i="25"/>
  <c r="M284" i="25"/>
  <c r="J284" i="25"/>
  <c r="L284" i="25" s="1"/>
  <c r="M283" i="25"/>
  <c r="J283" i="25"/>
  <c r="L283" i="25" s="1"/>
  <c r="F283" i="25"/>
  <c r="E283" i="25"/>
  <c r="M282" i="25"/>
  <c r="J282" i="25"/>
  <c r="L282" i="25" s="1"/>
  <c r="M281" i="25"/>
  <c r="J281" i="25"/>
  <c r="L281" i="25" s="1"/>
  <c r="F281" i="25"/>
  <c r="M280" i="25"/>
  <c r="E280" i="25"/>
  <c r="M279" i="25"/>
  <c r="J279" i="25"/>
  <c r="L279" i="25" s="1"/>
  <c r="M278" i="25"/>
  <c r="J278" i="25"/>
  <c r="L278" i="25" s="1"/>
  <c r="F278" i="25"/>
  <c r="M277" i="25"/>
  <c r="J277" i="25"/>
  <c r="L277" i="25" s="1"/>
  <c r="F277" i="25"/>
  <c r="M276" i="25"/>
  <c r="J276" i="25"/>
  <c r="L276" i="25" s="1"/>
  <c r="F276" i="25"/>
  <c r="M275" i="25"/>
  <c r="J275" i="25"/>
  <c r="L275" i="25" s="1"/>
  <c r="F275" i="25"/>
  <c r="M274" i="25"/>
  <c r="J274" i="25"/>
  <c r="L274" i="25" s="1"/>
  <c r="F274" i="25"/>
  <c r="M273" i="25"/>
  <c r="J273" i="25"/>
  <c r="L273" i="25" s="1"/>
  <c r="F273" i="25"/>
  <c r="M272" i="25"/>
  <c r="J272" i="25"/>
  <c r="L272" i="25" s="1"/>
  <c r="F272" i="25"/>
  <c r="M271" i="25"/>
  <c r="J271" i="25"/>
  <c r="L271" i="25" s="1"/>
  <c r="F271" i="25"/>
  <c r="M270" i="25"/>
  <c r="J270" i="25"/>
  <c r="I270" i="25"/>
  <c r="F270" i="25"/>
  <c r="M269" i="25"/>
  <c r="J269" i="25"/>
  <c r="I269" i="25"/>
  <c r="F269" i="25"/>
  <c r="M267" i="25"/>
  <c r="K267" i="25"/>
  <c r="K287" i="25" s="1"/>
  <c r="J267" i="25"/>
  <c r="I267" i="25"/>
  <c r="G287" i="25"/>
  <c r="F267" i="25"/>
  <c r="O264" i="25"/>
  <c r="N264" i="25"/>
  <c r="G264" i="25"/>
  <c r="E264" i="25"/>
  <c r="D264" i="25"/>
  <c r="C264" i="25"/>
  <c r="M262" i="25"/>
  <c r="L262" i="25"/>
  <c r="F262" i="25"/>
  <c r="M261" i="25"/>
  <c r="L261" i="25"/>
  <c r="F261" i="25"/>
  <c r="M260" i="25"/>
  <c r="L260" i="25"/>
  <c r="F260" i="25"/>
  <c r="M259" i="25"/>
  <c r="L259" i="25"/>
  <c r="F259" i="25"/>
  <c r="M258" i="25"/>
  <c r="L258" i="25"/>
  <c r="F258" i="25"/>
  <c r="M257" i="25"/>
  <c r="L257" i="25"/>
  <c r="F257" i="25"/>
  <c r="M256" i="25"/>
  <c r="L256" i="25"/>
  <c r="F256" i="25"/>
  <c r="M255" i="25"/>
  <c r="L255" i="25"/>
  <c r="F255" i="25"/>
  <c r="M254" i="25"/>
  <c r="L254" i="25"/>
  <c r="M253" i="25"/>
  <c r="F253" i="25"/>
  <c r="M252" i="25"/>
  <c r="L252" i="25"/>
  <c r="F252" i="25"/>
  <c r="M250" i="25"/>
  <c r="L250" i="25"/>
  <c r="F250" i="25"/>
  <c r="M249" i="25"/>
  <c r="L249" i="25"/>
  <c r="F249" i="25"/>
  <c r="M248" i="25"/>
  <c r="L248" i="25"/>
  <c r="F248" i="25"/>
  <c r="N245" i="25"/>
  <c r="D245" i="25"/>
  <c r="C245" i="25"/>
  <c r="K243" i="25"/>
  <c r="J243" i="25"/>
  <c r="I243" i="25"/>
  <c r="M243" i="25"/>
  <c r="F243" i="25"/>
  <c r="E243" i="25"/>
  <c r="M242" i="25"/>
  <c r="F242" i="25"/>
  <c r="E242" i="25"/>
  <c r="O241" i="25"/>
  <c r="L241" i="25"/>
  <c r="F241" i="25"/>
  <c r="O240" i="25"/>
  <c r="L240" i="25"/>
  <c r="F240" i="25"/>
  <c r="O239" i="25"/>
  <c r="L239" i="25"/>
  <c r="F239" i="25"/>
  <c r="O238" i="25"/>
  <c r="L238" i="25"/>
  <c r="F238" i="25"/>
  <c r="O237" i="25"/>
  <c r="L237" i="25"/>
  <c r="F237" i="25"/>
  <c r="O236" i="25"/>
  <c r="L236" i="25"/>
  <c r="F236" i="25"/>
  <c r="O235" i="25"/>
  <c r="L235" i="25"/>
  <c r="F235" i="25"/>
  <c r="O234" i="25"/>
  <c r="L234" i="25"/>
  <c r="F234" i="25"/>
  <c r="O233" i="25"/>
  <c r="L233" i="25"/>
  <c r="F233" i="25"/>
  <c r="F232" i="25"/>
  <c r="O231" i="25"/>
  <c r="L231" i="25"/>
  <c r="F231" i="25"/>
  <c r="O229" i="25"/>
  <c r="L229" i="25"/>
  <c r="F229" i="25"/>
  <c r="O228" i="25"/>
  <c r="L228" i="25"/>
  <c r="F228" i="25"/>
  <c r="N225" i="25"/>
  <c r="K223" i="25"/>
  <c r="L223" i="25" s="1"/>
  <c r="F223" i="25"/>
  <c r="E223" i="25"/>
  <c r="L222" i="25"/>
  <c r="F222" i="25"/>
  <c r="L221" i="25"/>
  <c r="F221" i="25"/>
  <c r="E220" i="25"/>
  <c r="E225" i="25" s="1"/>
  <c r="M219" i="25"/>
  <c r="K219" i="25"/>
  <c r="J219" i="25"/>
  <c r="I219" i="25"/>
  <c r="F219" i="25"/>
  <c r="M218" i="25"/>
  <c r="K218" i="25"/>
  <c r="J218" i="25"/>
  <c r="I218" i="25"/>
  <c r="F218" i="25"/>
  <c r="C218" i="25"/>
  <c r="M217" i="25"/>
  <c r="L217" i="25"/>
  <c r="F217" i="25"/>
  <c r="C217" i="25"/>
  <c r="M216" i="25"/>
  <c r="L216" i="25"/>
  <c r="F216" i="25"/>
  <c r="C216" i="25"/>
  <c r="M215" i="25"/>
  <c r="L215" i="25"/>
  <c r="F215" i="25"/>
  <c r="D215" i="25"/>
  <c r="D225" i="25" s="1"/>
  <c r="C215" i="25"/>
  <c r="M214" i="25"/>
  <c r="L214" i="25"/>
  <c r="F214" i="25"/>
  <c r="M213" i="25"/>
  <c r="L213" i="25"/>
  <c r="F213" i="25"/>
  <c r="M212" i="25"/>
  <c r="L212" i="25"/>
  <c r="F212" i="25"/>
  <c r="K211" i="25"/>
  <c r="J211" i="25"/>
  <c r="I211" i="25"/>
  <c r="M211" i="25"/>
  <c r="F211" i="25"/>
  <c r="M210" i="25"/>
  <c r="F210" i="25"/>
  <c r="C210" i="25"/>
  <c r="O209" i="25"/>
  <c r="L209" i="25"/>
  <c r="F209" i="25"/>
  <c r="O207" i="25"/>
  <c r="L207" i="25"/>
  <c r="F207" i="25"/>
  <c r="O206" i="25"/>
  <c r="K206" i="25"/>
  <c r="J206" i="25"/>
  <c r="I206" i="25"/>
  <c r="G206" i="25"/>
  <c r="G225" i="25" s="1"/>
  <c r="F206" i="25"/>
  <c r="O203" i="25"/>
  <c r="N203" i="25"/>
  <c r="D203" i="25"/>
  <c r="K201" i="25"/>
  <c r="L201" i="25" s="1"/>
  <c r="M201" i="25"/>
  <c r="F201" i="25"/>
  <c r="M200" i="25"/>
  <c r="L200" i="25"/>
  <c r="F200" i="25"/>
  <c r="E200" i="25"/>
  <c r="M199" i="25"/>
  <c r="E199" i="25"/>
  <c r="E203" i="25" s="1"/>
  <c r="M198" i="25"/>
  <c r="K198" i="25"/>
  <c r="J198" i="25"/>
  <c r="I198" i="25"/>
  <c r="F198" i="25"/>
  <c r="K197" i="25"/>
  <c r="J197" i="25"/>
  <c r="I197" i="25"/>
  <c r="M197" i="25"/>
  <c r="F197" i="25"/>
  <c r="C197" i="25"/>
  <c r="M196" i="25"/>
  <c r="L196" i="25"/>
  <c r="F196" i="25"/>
  <c r="C196" i="25"/>
  <c r="M195" i="25"/>
  <c r="K195" i="25"/>
  <c r="J195" i="25"/>
  <c r="I195" i="25"/>
  <c r="F195" i="25"/>
  <c r="C195" i="25"/>
  <c r="M194" i="25"/>
  <c r="L194" i="25"/>
  <c r="F194" i="25"/>
  <c r="C194" i="25"/>
  <c r="M193" i="25"/>
  <c r="L193" i="25"/>
  <c r="F193" i="25"/>
  <c r="C193" i="25"/>
  <c r="M192" i="25"/>
  <c r="L192" i="25"/>
  <c r="F192" i="25"/>
  <c r="M191" i="25"/>
  <c r="L191" i="25"/>
  <c r="F191" i="25"/>
  <c r="M190" i="25"/>
  <c r="L190" i="25"/>
  <c r="F190" i="25"/>
  <c r="F189" i="25"/>
  <c r="C189" i="25"/>
  <c r="M188" i="25"/>
  <c r="L188" i="25"/>
  <c r="F188" i="25"/>
  <c r="C188" i="25"/>
  <c r="M186" i="25"/>
  <c r="L186" i="25"/>
  <c r="F186" i="25"/>
  <c r="M185" i="25"/>
  <c r="L185" i="25"/>
  <c r="F185" i="25"/>
  <c r="M184" i="25"/>
  <c r="L184" i="25"/>
  <c r="F184" i="25"/>
  <c r="N181" i="25"/>
  <c r="G181" i="25"/>
  <c r="D181" i="25"/>
  <c r="M179" i="25"/>
  <c r="E179" i="25"/>
  <c r="E181" i="25" s="1"/>
  <c r="M178" i="25"/>
  <c r="K178" i="25"/>
  <c r="J178" i="25"/>
  <c r="I178" i="25"/>
  <c r="F178" i="25"/>
  <c r="M177" i="25"/>
  <c r="F177" i="25"/>
  <c r="C177" i="25"/>
  <c r="M176" i="25"/>
  <c r="L176" i="25"/>
  <c r="F176" i="25"/>
  <c r="M175" i="25"/>
  <c r="K175" i="25"/>
  <c r="J175" i="25"/>
  <c r="I175" i="25"/>
  <c r="F175" i="25"/>
  <c r="C175" i="25"/>
  <c r="M174" i="25"/>
  <c r="L174" i="25"/>
  <c r="F174" i="25"/>
  <c r="C174" i="25"/>
  <c r="K173" i="25"/>
  <c r="J173" i="25"/>
  <c r="I173" i="25"/>
  <c r="M173" i="25"/>
  <c r="F173" i="25"/>
  <c r="C173" i="25"/>
  <c r="O172" i="25"/>
  <c r="M172" i="25" s="1"/>
  <c r="L172" i="25"/>
  <c r="F172" i="25"/>
  <c r="O171" i="25"/>
  <c r="M171" i="25" s="1"/>
  <c r="L171" i="25"/>
  <c r="F171" i="25"/>
  <c r="K170" i="25"/>
  <c r="J170" i="25"/>
  <c r="I170" i="25"/>
  <c r="F170" i="25"/>
  <c r="M169" i="25"/>
  <c r="F169" i="25"/>
  <c r="C169" i="25"/>
  <c r="M168" i="25"/>
  <c r="L168" i="25"/>
  <c r="F168" i="25"/>
  <c r="C168" i="25"/>
  <c r="O166" i="25"/>
  <c r="L166" i="25"/>
  <c r="F166" i="25"/>
  <c r="N163" i="25"/>
  <c r="E163" i="25"/>
  <c r="D163" i="25"/>
  <c r="C163" i="25"/>
  <c r="K161" i="25"/>
  <c r="J161" i="25"/>
  <c r="I161" i="25"/>
  <c r="M161" i="25"/>
  <c r="F161" i="25"/>
  <c r="M160" i="25"/>
  <c r="E160" i="25"/>
  <c r="K159" i="25"/>
  <c r="J159" i="25"/>
  <c r="I159" i="25"/>
  <c r="M159" i="25"/>
  <c r="F159" i="25"/>
  <c r="M158" i="25"/>
  <c r="K158" i="25"/>
  <c r="J158" i="25"/>
  <c r="I158" i="25"/>
  <c r="F158" i="25"/>
  <c r="O157" i="25"/>
  <c r="M157" i="25" s="1"/>
  <c r="L157" i="25"/>
  <c r="F157" i="25"/>
  <c r="K156" i="25"/>
  <c r="J156" i="25"/>
  <c r="I156" i="25"/>
  <c r="M156" i="25"/>
  <c r="F156" i="25"/>
  <c r="O155" i="25"/>
  <c r="L155" i="25"/>
  <c r="F155" i="25"/>
  <c r="K154" i="25"/>
  <c r="J154" i="25"/>
  <c r="I154" i="25"/>
  <c r="M154" i="25"/>
  <c r="F154" i="25"/>
  <c r="O153" i="25"/>
  <c r="M153" i="25" s="1"/>
  <c r="L153" i="25"/>
  <c r="O152" i="25"/>
  <c r="M152" i="25" s="1"/>
  <c r="L152" i="25"/>
  <c r="F152" i="25"/>
  <c r="M151" i="25"/>
  <c r="K151" i="25"/>
  <c r="J151" i="25"/>
  <c r="I151" i="25"/>
  <c r="F151" i="25"/>
  <c r="F150" i="25"/>
  <c r="O149" i="25"/>
  <c r="L149" i="25"/>
  <c r="F149" i="25"/>
  <c r="O147" i="25"/>
  <c r="L147" i="25"/>
  <c r="F147" i="25"/>
  <c r="O146" i="25"/>
  <c r="L146" i="25"/>
  <c r="O143" i="25"/>
  <c r="N143" i="25"/>
  <c r="D143" i="25"/>
  <c r="C143" i="25"/>
  <c r="M141" i="25"/>
  <c r="L141" i="25"/>
  <c r="M140" i="25"/>
  <c r="M139" i="25"/>
  <c r="L139" i="25"/>
  <c r="M138" i="25"/>
  <c r="K137" i="25"/>
  <c r="J137" i="25"/>
  <c r="M137" i="25"/>
  <c r="M136" i="25"/>
  <c r="L136" i="25"/>
  <c r="E136" i="25"/>
  <c r="K135" i="25"/>
  <c r="J135" i="25"/>
  <c r="I135" i="25"/>
  <c r="M135" i="25"/>
  <c r="F135" i="25"/>
  <c r="M134" i="25"/>
  <c r="K134" i="25"/>
  <c r="J134" i="25"/>
  <c r="I134" i="25"/>
  <c r="F134" i="25"/>
  <c r="M133" i="25"/>
  <c r="K133" i="25"/>
  <c r="J133" i="25"/>
  <c r="I133" i="25"/>
  <c r="F133" i="25"/>
  <c r="K132" i="25"/>
  <c r="J132" i="25"/>
  <c r="I132" i="25"/>
  <c r="M132" i="25"/>
  <c r="F132" i="25"/>
  <c r="K131" i="25"/>
  <c r="J131" i="25"/>
  <c r="I131" i="25"/>
  <c r="M131" i="25"/>
  <c r="F131" i="25"/>
  <c r="M130" i="25"/>
  <c r="L130" i="25"/>
  <c r="F130" i="25"/>
  <c r="M129" i="25"/>
  <c r="L129" i="25"/>
  <c r="K128" i="25"/>
  <c r="J128" i="25"/>
  <c r="I128" i="25"/>
  <c r="M128" i="25"/>
  <c r="F128" i="25"/>
  <c r="K127" i="25"/>
  <c r="J127" i="25"/>
  <c r="I127" i="25"/>
  <c r="M127" i="25"/>
  <c r="M126" i="25"/>
  <c r="F126" i="25"/>
  <c r="M125" i="25"/>
  <c r="L125" i="25"/>
  <c r="F125" i="25"/>
  <c r="M123" i="25"/>
  <c r="L123" i="25"/>
  <c r="F123" i="25"/>
  <c r="K122" i="25"/>
  <c r="J122" i="25"/>
  <c r="I122" i="25"/>
  <c r="M122" i="25"/>
  <c r="F122" i="25"/>
  <c r="O119" i="25"/>
  <c r="N119" i="25"/>
  <c r="D119" i="25"/>
  <c r="K117" i="25"/>
  <c r="M117" i="25"/>
  <c r="F117" i="25"/>
  <c r="M116" i="25"/>
  <c r="L116" i="25"/>
  <c r="F116" i="25"/>
  <c r="M115" i="25"/>
  <c r="L115" i="25"/>
  <c r="E115" i="25"/>
  <c r="K114" i="25"/>
  <c r="J114" i="25"/>
  <c r="I114" i="25"/>
  <c r="M114" i="25"/>
  <c r="F114" i="25"/>
  <c r="M113" i="25"/>
  <c r="K113" i="25"/>
  <c r="J113" i="25"/>
  <c r="I113" i="25"/>
  <c r="L113" i="25" s="1"/>
  <c r="F113" i="25"/>
  <c r="C113" i="25"/>
  <c r="C119" i="25" s="1"/>
  <c r="M112" i="25"/>
  <c r="K112" i="25"/>
  <c r="J112" i="25"/>
  <c r="I112" i="25"/>
  <c r="F112" i="25"/>
  <c r="K111" i="25"/>
  <c r="J111" i="25"/>
  <c r="I111" i="25"/>
  <c r="M111" i="25"/>
  <c r="F111" i="25"/>
  <c r="K110" i="25"/>
  <c r="J110" i="25"/>
  <c r="I110" i="25"/>
  <c r="M110" i="25"/>
  <c r="F110" i="25"/>
  <c r="M109" i="25"/>
  <c r="K109" i="25"/>
  <c r="J109" i="25"/>
  <c r="I109" i="25"/>
  <c r="F109" i="25"/>
  <c r="M108" i="25"/>
  <c r="L108" i="25"/>
  <c r="F108" i="25"/>
  <c r="K107" i="25"/>
  <c r="J107" i="25"/>
  <c r="I107" i="25"/>
  <c r="M107" i="25"/>
  <c r="F107" i="25"/>
  <c r="M106" i="25"/>
  <c r="K106" i="25"/>
  <c r="J106" i="25"/>
  <c r="I106" i="25"/>
  <c r="F106" i="25"/>
  <c r="F105" i="25"/>
  <c r="K104" i="25"/>
  <c r="J104" i="25"/>
  <c r="I104" i="25"/>
  <c r="M104" i="25"/>
  <c r="F104" i="25"/>
  <c r="M102" i="25"/>
  <c r="L102" i="25"/>
  <c r="F102" i="25"/>
  <c r="K101" i="25"/>
  <c r="J101" i="25"/>
  <c r="I101" i="25"/>
  <c r="M101" i="25"/>
  <c r="F101" i="25"/>
  <c r="K100" i="25"/>
  <c r="J100" i="25"/>
  <c r="I100" i="25"/>
  <c r="M100" i="25"/>
  <c r="F100" i="25"/>
  <c r="M99" i="25"/>
  <c r="K99" i="25"/>
  <c r="J99" i="25"/>
  <c r="I99" i="25"/>
  <c r="F99" i="25"/>
  <c r="M98" i="25"/>
  <c r="K98" i="25"/>
  <c r="J98" i="25"/>
  <c r="I98" i="25"/>
  <c r="F98" i="25"/>
  <c r="O95" i="25"/>
  <c r="N95" i="25"/>
  <c r="J95" i="25"/>
  <c r="E95" i="25"/>
  <c r="D95" i="25"/>
  <c r="C95" i="25"/>
  <c r="M93" i="25"/>
  <c r="L93" i="25"/>
  <c r="M92" i="25"/>
  <c r="L92" i="25"/>
  <c r="M91" i="25"/>
  <c r="K91" i="25"/>
  <c r="L91" i="25" s="1"/>
  <c r="F91" i="25"/>
  <c r="M90" i="25"/>
  <c r="K90" i="25"/>
  <c r="L90" i="25" s="1"/>
  <c r="F90" i="25"/>
  <c r="M89" i="25"/>
  <c r="K89" i="25"/>
  <c r="L89" i="25" s="1"/>
  <c r="F89" i="25"/>
  <c r="K88" i="25"/>
  <c r="L88" i="25" s="1"/>
  <c r="M88" i="25"/>
  <c r="F88" i="25"/>
  <c r="M87" i="25"/>
  <c r="M86" i="25"/>
  <c r="M85" i="25"/>
  <c r="K85" i="25"/>
  <c r="L85" i="25" s="1"/>
  <c r="M84" i="25"/>
  <c r="L84" i="25"/>
  <c r="F84" i="25"/>
  <c r="M83" i="25"/>
  <c r="K83" i="25"/>
  <c r="L83" i="25" s="1"/>
  <c r="F83" i="25"/>
  <c r="M82" i="25"/>
  <c r="M81" i="25"/>
  <c r="F81" i="25"/>
  <c r="M80" i="25"/>
  <c r="L80" i="25"/>
  <c r="F80" i="25"/>
  <c r="K79" i="25"/>
  <c r="F79" i="25"/>
  <c r="O76" i="25"/>
  <c r="N76" i="25"/>
  <c r="I76" i="25"/>
  <c r="E76" i="25"/>
  <c r="C76" i="25"/>
  <c r="M74" i="25"/>
  <c r="K74" i="25"/>
  <c r="J74" i="25"/>
  <c r="D74" i="25"/>
  <c r="D76" i="25" s="1"/>
  <c r="M73" i="25"/>
  <c r="F73" i="25"/>
  <c r="K72" i="25"/>
  <c r="J72" i="25"/>
  <c r="M72" i="25"/>
  <c r="M71" i="25"/>
  <c r="K71" i="25"/>
  <c r="J71" i="25"/>
  <c r="K70" i="25"/>
  <c r="J70" i="25"/>
  <c r="M70" i="25"/>
  <c r="G76" i="25"/>
  <c r="F70" i="25"/>
  <c r="O67" i="25"/>
  <c r="N67" i="25"/>
  <c r="I67" i="25"/>
  <c r="D67" i="25"/>
  <c r="C67" i="25"/>
  <c r="L65" i="25"/>
  <c r="K65" i="25"/>
  <c r="J65" i="25"/>
  <c r="M65" i="25"/>
  <c r="K64" i="25"/>
  <c r="J64" i="25"/>
  <c r="M64" i="25"/>
  <c r="M63" i="25"/>
  <c r="L63" i="25"/>
  <c r="E63" i="25"/>
  <c r="K62" i="25"/>
  <c r="J62" i="25"/>
  <c r="M62" i="25"/>
  <c r="M61" i="25"/>
  <c r="K61" i="25"/>
  <c r="J61" i="25"/>
  <c r="F61" i="25"/>
  <c r="K60" i="25"/>
  <c r="J60" i="25"/>
  <c r="M60" i="25"/>
  <c r="F60" i="25"/>
  <c r="K59" i="25"/>
  <c r="J59" i="25"/>
  <c r="M59" i="25"/>
  <c r="L59" i="25"/>
  <c r="F59" i="25"/>
  <c r="M58" i="25"/>
  <c r="K58" i="25"/>
  <c r="J58" i="25"/>
  <c r="K57" i="25"/>
  <c r="J57" i="25"/>
  <c r="M57" i="25"/>
  <c r="M56" i="25"/>
  <c r="K56" i="25"/>
  <c r="J56" i="25"/>
  <c r="K55" i="25"/>
  <c r="J55" i="25"/>
  <c r="M55" i="25"/>
  <c r="F55" i="25"/>
  <c r="K54" i="25"/>
  <c r="J54" i="25"/>
  <c r="M54" i="25"/>
  <c r="M53" i="25"/>
  <c r="K52" i="25"/>
  <c r="J52" i="25"/>
  <c r="M52" i="25"/>
  <c r="M50" i="25"/>
  <c r="K50" i="25"/>
  <c r="J50" i="25"/>
  <c r="L50" i="25" s="1"/>
  <c r="F50" i="25"/>
  <c r="N47" i="25"/>
  <c r="I47" i="25"/>
  <c r="D47" i="25"/>
  <c r="M45" i="25"/>
  <c r="G45" i="25"/>
  <c r="L45" i="25" s="1"/>
  <c r="M44" i="25"/>
  <c r="M43" i="25"/>
  <c r="L43" i="25"/>
  <c r="M42" i="25"/>
  <c r="E42" i="25"/>
  <c r="E47" i="25" s="1"/>
  <c r="M41" i="25"/>
  <c r="K41" i="25"/>
  <c r="J41" i="25"/>
  <c r="K40" i="25"/>
  <c r="J40" i="25"/>
  <c r="M40" i="25"/>
  <c r="M39" i="25"/>
  <c r="K39" i="25"/>
  <c r="J39" i="25"/>
  <c r="K38" i="25"/>
  <c r="J38" i="25"/>
  <c r="M38" i="25"/>
  <c r="F38" i="25"/>
  <c r="K37" i="25"/>
  <c r="J37" i="25"/>
  <c r="M37" i="25"/>
  <c r="M36" i="25"/>
  <c r="K36" i="25"/>
  <c r="J36" i="25"/>
  <c r="K35" i="25"/>
  <c r="J35" i="25"/>
  <c r="M35" i="25"/>
  <c r="M34" i="25"/>
  <c r="K34" i="25"/>
  <c r="J34" i="25"/>
  <c r="K33" i="25"/>
  <c r="J33" i="25"/>
  <c r="M33" i="25"/>
  <c r="F33" i="25"/>
  <c r="K32" i="25"/>
  <c r="J32" i="25"/>
  <c r="M32" i="25"/>
  <c r="C32" i="25"/>
  <c r="C47" i="25" s="1"/>
  <c r="M31" i="25"/>
  <c r="K31" i="25"/>
  <c r="J31" i="25"/>
  <c r="F31" i="25"/>
  <c r="C31" i="25"/>
  <c r="O47" i="25"/>
  <c r="L30" i="25"/>
  <c r="M29" i="25"/>
  <c r="K29" i="25"/>
  <c r="J29" i="25"/>
  <c r="K28" i="25"/>
  <c r="J28" i="25"/>
  <c r="F28" i="25"/>
  <c r="O25" i="25"/>
  <c r="N25" i="25"/>
  <c r="K25" i="25"/>
  <c r="J25" i="25"/>
  <c r="I25" i="25"/>
  <c r="I95" i="25" s="1"/>
  <c r="F25" i="25"/>
  <c r="E25" i="25"/>
  <c r="D25" i="25"/>
  <c r="M23" i="25"/>
  <c r="L23" i="25"/>
  <c r="C23" i="25"/>
  <c r="M22" i="25"/>
  <c r="L22" i="25"/>
  <c r="M21" i="25"/>
  <c r="M20" i="25"/>
  <c r="L20" i="25"/>
  <c r="M19" i="25"/>
  <c r="L19" i="25"/>
  <c r="L18" i="25"/>
  <c r="M18" i="25"/>
  <c r="C18" i="25"/>
  <c r="M17" i="25"/>
  <c r="L17" i="25"/>
  <c r="M16" i="25"/>
  <c r="M15" i="25"/>
  <c r="L15" i="25"/>
  <c r="M14" i="25"/>
  <c r="M13" i="25"/>
  <c r="L13" i="25"/>
  <c r="M12" i="25"/>
  <c r="L12" i="25"/>
  <c r="M11" i="25"/>
  <c r="M10" i="25"/>
  <c r="L10" i="25"/>
  <c r="C10" i="25"/>
  <c r="L9" i="25"/>
  <c r="C9" i="25"/>
  <c r="M7" i="25"/>
  <c r="L7" i="25"/>
  <c r="AO13" i="15"/>
  <c r="AP13" i="15"/>
  <c r="AP71" i="15" s="1"/>
  <c r="O170" i="25" l="1"/>
  <c r="O316" i="25"/>
  <c r="L360" i="25"/>
  <c r="L392" i="25"/>
  <c r="L109" i="25"/>
  <c r="L137" i="25"/>
  <c r="L74" i="25"/>
  <c r="L110" i="25"/>
  <c r="L122" i="25"/>
  <c r="L127" i="25"/>
  <c r="L159" i="25"/>
  <c r="L173" i="25"/>
  <c r="L56" i="25"/>
  <c r="L131" i="25"/>
  <c r="L195" i="25"/>
  <c r="L114" i="25"/>
  <c r="L198" i="25"/>
  <c r="L64" i="25"/>
  <c r="L365" i="25"/>
  <c r="AQ13" i="15"/>
  <c r="L41" i="25"/>
  <c r="L32" i="25"/>
  <c r="L269" i="25"/>
  <c r="L156" i="25"/>
  <c r="L393" i="25"/>
  <c r="L106" i="25"/>
  <c r="L134" i="25"/>
  <c r="L352" i="25"/>
  <c r="K395" i="25"/>
  <c r="L421" i="25"/>
  <c r="L58" i="25"/>
  <c r="L100" i="25"/>
  <c r="L243" i="25"/>
  <c r="G334" i="25"/>
  <c r="L34" i="25"/>
  <c r="L31" i="25"/>
  <c r="L39" i="25"/>
  <c r="L37" i="25"/>
  <c r="L151" i="25"/>
  <c r="C181" i="25"/>
  <c r="C225" i="25"/>
  <c r="F377" i="25"/>
  <c r="L388" i="25"/>
  <c r="L391" i="25"/>
  <c r="H435" i="25"/>
  <c r="L158" i="25"/>
  <c r="F308" i="25"/>
  <c r="E334" i="25"/>
  <c r="K355" i="25"/>
  <c r="F383" i="25"/>
  <c r="L135" i="25"/>
  <c r="L161" i="25"/>
  <c r="E245" i="25"/>
  <c r="M383" i="25"/>
  <c r="L418" i="25"/>
  <c r="J433" i="25"/>
  <c r="L429" i="25"/>
  <c r="L55" i="25"/>
  <c r="L71" i="25"/>
  <c r="I395" i="25"/>
  <c r="J423" i="25"/>
  <c r="L409" i="25"/>
  <c r="L413" i="25"/>
  <c r="L29" i="25"/>
  <c r="L52" i="25"/>
  <c r="L104" i="25"/>
  <c r="N435" i="25"/>
  <c r="F433" i="25"/>
  <c r="L36" i="25"/>
  <c r="L219" i="25"/>
  <c r="H336" i="25"/>
  <c r="L107" i="25"/>
  <c r="L430" i="25"/>
  <c r="L57" i="25"/>
  <c r="L60" i="25"/>
  <c r="L99" i="25"/>
  <c r="L211" i="25"/>
  <c r="L420" i="25"/>
  <c r="K95" i="25"/>
  <c r="L98" i="25"/>
  <c r="L112" i="25"/>
  <c r="L175" i="25"/>
  <c r="C203" i="25"/>
  <c r="E435" i="25"/>
  <c r="K377" i="25"/>
  <c r="F264" i="25"/>
  <c r="F355" i="25"/>
  <c r="F404" i="25"/>
  <c r="M423" i="25"/>
  <c r="L400" i="25"/>
  <c r="K415" i="25"/>
  <c r="L170" i="25"/>
  <c r="L178" i="25"/>
  <c r="F334" i="25"/>
  <c r="F415" i="25"/>
  <c r="K308" i="25"/>
  <c r="K368" i="25"/>
  <c r="F395" i="25"/>
  <c r="J47" i="25"/>
  <c r="M76" i="25"/>
  <c r="L353" i="25"/>
  <c r="L386" i="25"/>
  <c r="I404" i="25"/>
  <c r="F225" i="25"/>
  <c r="K349" i="25"/>
  <c r="J404" i="25"/>
  <c r="F423" i="25"/>
  <c r="D336" i="25"/>
  <c r="F287" i="25"/>
  <c r="K404" i="25"/>
  <c r="G415" i="25"/>
  <c r="L61" i="25"/>
  <c r="L267" i="25"/>
  <c r="C435" i="25"/>
  <c r="J368" i="25"/>
  <c r="D383" i="25"/>
  <c r="D435" i="25" s="1"/>
  <c r="K423" i="25"/>
  <c r="M433" i="25"/>
  <c r="M25" i="25"/>
  <c r="O163" i="25"/>
  <c r="O225" i="25"/>
  <c r="M287" i="25"/>
  <c r="O433" i="25"/>
  <c r="O435" i="25" s="1"/>
  <c r="M105" i="25"/>
  <c r="F119" i="25"/>
  <c r="M225" i="25"/>
  <c r="L218" i="25"/>
  <c r="M264" i="25"/>
  <c r="G377" i="25"/>
  <c r="L374" i="25"/>
  <c r="K433" i="25"/>
  <c r="M28" i="25"/>
  <c r="M47" i="25" s="1"/>
  <c r="L35" i="25"/>
  <c r="M79" i="25"/>
  <c r="M95" i="25" s="1"/>
  <c r="L138" i="25"/>
  <c r="L79" i="25"/>
  <c r="L101" i="25"/>
  <c r="G119" i="25"/>
  <c r="E119" i="25"/>
  <c r="M143" i="25"/>
  <c r="G143" i="25"/>
  <c r="F163" i="25"/>
  <c r="L387" i="25"/>
  <c r="M402" i="25"/>
  <c r="M404" i="25" s="1"/>
  <c r="L402" i="25"/>
  <c r="L399" i="25"/>
  <c r="L206" i="25"/>
  <c r="L38" i="25"/>
  <c r="L11" i="25"/>
  <c r="L16" i="25"/>
  <c r="F47" i="25"/>
  <c r="E67" i="25"/>
  <c r="L86" i="25"/>
  <c r="E143" i="25"/>
  <c r="M155" i="25"/>
  <c r="O181" i="25"/>
  <c r="G47" i="25"/>
  <c r="L28" i="25"/>
  <c r="F76" i="25"/>
  <c r="L128" i="25"/>
  <c r="L140" i="25"/>
  <c r="F181" i="25"/>
  <c r="L197" i="25"/>
  <c r="M346" i="25"/>
  <c r="L346" i="25"/>
  <c r="L349" i="25" s="1"/>
  <c r="J395" i="25"/>
  <c r="M372" i="25"/>
  <c r="M377" i="25" s="1"/>
  <c r="C449" i="25"/>
  <c r="C445" i="25" s="1"/>
  <c r="L372" i="25"/>
  <c r="G203" i="25"/>
  <c r="M293" i="25"/>
  <c r="M308" i="25" s="1"/>
  <c r="L293" i="25"/>
  <c r="M362" i="25"/>
  <c r="L381" i="25"/>
  <c r="G383" i="25"/>
  <c r="K47" i="25"/>
  <c r="M119" i="25"/>
  <c r="L111" i="25"/>
  <c r="L133" i="25"/>
  <c r="L154" i="25"/>
  <c r="G163" i="25"/>
  <c r="F67" i="25"/>
  <c r="M390" i="25"/>
  <c r="M395" i="25" s="1"/>
  <c r="L390" i="25"/>
  <c r="L33" i="25"/>
  <c r="L40" i="25"/>
  <c r="N336" i="25"/>
  <c r="F95" i="25"/>
  <c r="L81" i="25"/>
  <c r="L177" i="25"/>
  <c r="O334" i="25"/>
  <c r="M368" i="25"/>
  <c r="I423" i="25"/>
  <c r="L428" i="25"/>
  <c r="G433" i="25"/>
  <c r="G437" i="25"/>
  <c r="G67" i="25"/>
  <c r="O245" i="25"/>
  <c r="J287" i="25"/>
  <c r="L270" i="25"/>
  <c r="L287" i="25" s="1"/>
  <c r="L426" i="25"/>
  <c r="L117" i="25"/>
  <c r="M150" i="25"/>
  <c r="M67" i="25"/>
  <c r="I433" i="25"/>
  <c r="C25" i="25"/>
  <c r="C336" i="25" s="1"/>
  <c r="M355" i="25"/>
  <c r="F143" i="25"/>
  <c r="L132" i="25"/>
  <c r="F245" i="25"/>
  <c r="L359" i="25"/>
  <c r="M412" i="25"/>
  <c r="M415" i="25" s="1"/>
  <c r="L412" i="25"/>
  <c r="L54" i="25"/>
  <c r="L62" i="25"/>
  <c r="L72" i="25"/>
  <c r="L87" i="25"/>
  <c r="M232" i="25"/>
  <c r="M245" i="25" s="1"/>
  <c r="E287" i="25"/>
  <c r="O300" i="25"/>
  <c r="M345" i="25"/>
  <c r="M347" i="25"/>
  <c r="M170" i="25"/>
  <c r="M181" i="25" s="1"/>
  <c r="L408" i="25"/>
  <c r="G25" i="25"/>
  <c r="M189" i="25"/>
  <c r="M203" i="25" s="1"/>
  <c r="I287" i="25"/>
  <c r="G368" i="25"/>
  <c r="L299" i="25"/>
  <c r="L339" i="25"/>
  <c r="L342" i="25" s="1"/>
  <c r="G342" i="25"/>
  <c r="F203" i="25"/>
  <c r="O299" i="25"/>
  <c r="M339" i="25"/>
  <c r="M342" i="25" s="1"/>
  <c r="G395" i="25"/>
  <c r="L14" i="25"/>
  <c r="L21" i="25"/>
  <c r="L44" i="25"/>
  <c r="G245" i="25"/>
  <c r="G362" i="25"/>
  <c r="G95" i="25"/>
  <c r="L366" i="25"/>
  <c r="L368" i="25" s="1"/>
  <c r="L371" i="25"/>
  <c r="L42" i="25"/>
  <c r="L70" i="25"/>
  <c r="L375" i="25"/>
  <c r="L380" i="25"/>
  <c r="L404" i="25" l="1"/>
  <c r="L423" i="25"/>
  <c r="L355" i="25"/>
  <c r="F435" i="25"/>
  <c r="N440" i="25"/>
  <c r="I435" i="25"/>
  <c r="L383" i="25"/>
  <c r="L415" i="25"/>
  <c r="O308" i="25"/>
  <c r="O336" i="25" s="1"/>
  <c r="O440" i="25" s="1"/>
  <c r="O443" i="25" s="1"/>
  <c r="M163" i="25"/>
  <c r="M336" i="25" s="1"/>
  <c r="L308" i="25"/>
  <c r="L395" i="25"/>
  <c r="G435" i="25"/>
  <c r="L25" i="25"/>
  <c r="C440" i="25"/>
  <c r="L47" i="25"/>
  <c r="L95" i="25"/>
  <c r="F336" i="25"/>
  <c r="F440" i="25" s="1"/>
  <c r="L433" i="25"/>
  <c r="E336" i="25"/>
  <c r="E440" i="25" s="1"/>
  <c r="G336" i="25"/>
  <c r="L437" i="25"/>
  <c r="D437" i="25"/>
  <c r="D440" i="25" s="1"/>
  <c r="M349" i="25"/>
  <c r="M435" i="25" s="1"/>
  <c r="L377" i="25"/>
  <c r="BF13" i="15"/>
  <c r="BG13" i="15"/>
  <c r="AX13" i="15"/>
  <c r="AY13" i="15"/>
  <c r="AL13" i="15"/>
  <c r="AL71" i="15" s="1"/>
  <c r="AK13" i="15"/>
  <c r="U11" i="15"/>
  <c r="Z14" i="15"/>
  <c r="Y15" i="15"/>
  <c r="Z15" i="15"/>
  <c r="Z16" i="15"/>
  <c r="Y17" i="15"/>
  <c r="Z17" i="15"/>
  <c r="Z18" i="15"/>
  <c r="Y19" i="15"/>
  <c r="Z19" i="15"/>
  <c r="Z20" i="15"/>
  <c r="Y21" i="15"/>
  <c r="Z21" i="15"/>
  <c r="Z22" i="15"/>
  <c r="Y23" i="15"/>
  <c r="Z23" i="15"/>
  <c r="Z24" i="15"/>
  <c r="Y25" i="15"/>
  <c r="Z25" i="15"/>
  <c r="Z26" i="15"/>
  <c r="Y27" i="15"/>
  <c r="Z27" i="15"/>
  <c r="Z28" i="15"/>
  <c r="Y29" i="15"/>
  <c r="Z29" i="15"/>
  <c r="Z30" i="15"/>
  <c r="Y31" i="15"/>
  <c r="Z31" i="15"/>
  <c r="Z32" i="15"/>
  <c r="Y33" i="15"/>
  <c r="Z33" i="15"/>
  <c r="Z34" i="15"/>
  <c r="Y35" i="15"/>
  <c r="Z35" i="15"/>
  <c r="Z36" i="15"/>
  <c r="Y37" i="15"/>
  <c r="Z37" i="15"/>
  <c r="Z38" i="15"/>
  <c r="Y39" i="15"/>
  <c r="Z39" i="15"/>
  <c r="Z40" i="15"/>
  <c r="Y41" i="15"/>
  <c r="Z41" i="15"/>
  <c r="Z42" i="15"/>
  <c r="Y43" i="15"/>
  <c r="Z43" i="15"/>
  <c r="Z44" i="15"/>
  <c r="Y45" i="15"/>
  <c r="Z45" i="15"/>
  <c r="Z46" i="15"/>
  <c r="Y47" i="15"/>
  <c r="Z47" i="15"/>
  <c r="Z48" i="15"/>
  <c r="Y49" i="15"/>
  <c r="Z49" i="15"/>
  <c r="Z50" i="15"/>
  <c r="Y51" i="15"/>
  <c r="Z51" i="15"/>
  <c r="Z52" i="15"/>
  <c r="Y53" i="15"/>
  <c r="Z53" i="15"/>
  <c r="Z54" i="15"/>
  <c r="Y55" i="15"/>
  <c r="Z55" i="15"/>
  <c r="Z56" i="15"/>
  <c r="Y57" i="15"/>
  <c r="Z57" i="15"/>
  <c r="Z58" i="15"/>
  <c r="Y59" i="15"/>
  <c r="Z59" i="15"/>
  <c r="Z60" i="15"/>
  <c r="Y61" i="15"/>
  <c r="Z61" i="15"/>
  <c r="Z62" i="15"/>
  <c r="Y63" i="15"/>
  <c r="Z63" i="15"/>
  <c r="Z64" i="15"/>
  <c r="Y65" i="15"/>
  <c r="Z65" i="15"/>
  <c r="Z66" i="15"/>
  <c r="Y67" i="15"/>
  <c r="Z67" i="15"/>
  <c r="Z68" i="15"/>
  <c r="Y69" i="15"/>
  <c r="Z69" i="15"/>
  <c r="V14" i="15"/>
  <c r="U15" i="15"/>
  <c r="V15" i="15"/>
  <c r="V16" i="15"/>
  <c r="U17" i="15"/>
  <c r="V17" i="15"/>
  <c r="V18" i="15"/>
  <c r="U19" i="15"/>
  <c r="V19" i="15"/>
  <c r="R19" i="15" s="1"/>
  <c r="V20" i="15"/>
  <c r="U21" i="15"/>
  <c r="V21" i="15"/>
  <c r="V22" i="15"/>
  <c r="U23" i="15"/>
  <c r="V23" i="15"/>
  <c r="V24" i="15"/>
  <c r="U25" i="15"/>
  <c r="V25" i="15"/>
  <c r="V26" i="15"/>
  <c r="U27" i="15"/>
  <c r="V27" i="15"/>
  <c r="V28" i="15"/>
  <c r="U29" i="15"/>
  <c r="V29" i="15"/>
  <c r="V30" i="15"/>
  <c r="U31" i="15"/>
  <c r="V31" i="15"/>
  <c r="V32" i="15"/>
  <c r="U33" i="15"/>
  <c r="V33" i="15"/>
  <c r="V34" i="15"/>
  <c r="U35" i="15"/>
  <c r="V35" i="15"/>
  <c r="V36" i="15"/>
  <c r="U37" i="15"/>
  <c r="V37" i="15"/>
  <c r="V38" i="15"/>
  <c r="U39" i="15"/>
  <c r="V39" i="15"/>
  <c r="V40" i="15"/>
  <c r="U41" i="15"/>
  <c r="V41" i="15"/>
  <c r="V42" i="15"/>
  <c r="U43" i="15"/>
  <c r="V43" i="15"/>
  <c r="V44" i="15"/>
  <c r="U45" i="15"/>
  <c r="V45" i="15"/>
  <c r="V46" i="15"/>
  <c r="U47" i="15"/>
  <c r="V47" i="15"/>
  <c r="V48" i="15"/>
  <c r="U49" i="15"/>
  <c r="V49" i="15"/>
  <c r="V50" i="15"/>
  <c r="U51" i="15"/>
  <c r="V51" i="15"/>
  <c r="V52" i="15"/>
  <c r="U53" i="15"/>
  <c r="V53" i="15"/>
  <c r="V54" i="15"/>
  <c r="U55" i="15"/>
  <c r="V55" i="15"/>
  <c r="V56" i="15"/>
  <c r="U57" i="15"/>
  <c r="V57" i="15"/>
  <c r="V58" i="15"/>
  <c r="U59" i="15"/>
  <c r="V59" i="15"/>
  <c r="V60" i="15"/>
  <c r="U61" i="15"/>
  <c r="V61" i="15"/>
  <c r="V62" i="15"/>
  <c r="U63" i="15"/>
  <c r="V63" i="15"/>
  <c r="V64" i="15"/>
  <c r="U65" i="15"/>
  <c r="Q65" i="15" s="1"/>
  <c r="V65" i="15"/>
  <c r="V66" i="15"/>
  <c r="U67" i="15"/>
  <c r="V67" i="15"/>
  <c r="V68" i="15"/>
  <c r="U69" i="15"/>
  <c r="Q69" i="15" s="1"/>
  <c r="V69" i="15"/>
  <c r="U13" i="15"/>
  <c r="Z13" i="15"/>
  <c r="Y13" i="15"/>
  <c r="O14" i="15"/>
  <c r="O16" i="15"/>
  <c r="O18" i="15"/>
  <c r="O20" i="15"/>
  <c r="O22" i="15"/>
  <c r="O24" i="15"/>
  <c r="O26" i="15"/>
  <c r="O28" i="15"/>
  <c r="R48" i="15" l="1"/>
  <c r="S48" i="15" s="1"/>
  <c r="R30" i="15"/>
  <c r="S30" i="15" s="1"/>
  <c r="AA26" i="15"/>
  <c r="W49" i="15"/>
  <c r="AA63" i="15"/>
  <c r="Q51" i="15"/>
  <c r="Q45" i="15"/>
  <c r="Q39" i="15"/>
  <c r="R68" i="15"/>
  <c r="S68" i="15" s="1"/>
  <c r="R62" i="15"/>
  <c r="S62" i="15" s="1"/>
  <c r="W37" i="15"/>
  <c r="W65" i="15"/>
  <c r="W59" i="15"/>
  <c r="W53" i="15"/>
  <c r="AA43" i="15"/>
  <c r="W31" i="15"/>
  <c r="Q13" i="15"/>
  <c r="W25" i="15"/>
  <c r="R63" i="15"/>
  <c r="R57" i="15"/>
  <c r="M440" i="25"/>
  <c r="G440" i="25"/>
  <c r="H440" i="25"/>
  <c r="AA51" i="15"/>
  <c r="AA39" i="15"/>
  <c r="W18" i="15"/>
  <c r="BD13" i="15"/>
  <c r="AA54" i="15"/>
  <c r="AA48" i="15"/>
  <c r="AA42" i="15"/>
  <c r="AA18" i="15"/>
  <c r="BL13" i="15"/>
  <c r="BT13" i="15"/>
  <c r="AA46" i="15"/>
  <c r="AA57" i="15"/>
  <c r="O19" i="15"/>
  <c r="W21" i="15"/>
  <c r="Q43" i="15"/>
  <c r="Q19" i="15"/>
  <c r="S19" i="15" s="1"/>
  <c r="R41" i="15"/>
  <c r="R35" i="15"/>
  <c r="R29" i="15"/>
  <c r="R17" i="15"/>
  <c r="AA61" i="15"/>
  <c r="AA65" i="15"/>
  <c r="W68" i="15"/>
  <c r="O15" i="15"/>
  <c r="AA40" i="15"/>
  <c r="AA22" i="15"/>
  <c r="BH13" i="15"/>
  <c r="W66" i="15"/>
  <c r="Q33" i="15"/>
  <c r="AA21" i="15"/>
  <c r="Q15" i="15"/>
  <c r="AA62" i="15"/>
  <c r="AA56" i="15"/>
  <c r="R67" i="15"/>
  <c r="R64" i="15"/>
  <c r="S64" i="15" s="1"/>
  <c r="R58" i="15"/>
  <c r="S58" i="15" s="1"/>
  <c r="R52" i="15"/>
  <c r="S52" i="15" s="1"/>
  <c r="Q17" i="15"/>
  <c r="R31" i="15"/>
  <c r="R46" i="15"/>
  <c r="S46" i="15" s="1"/>
  <c r="R40" i="15"/>
  <c r="S40" i="15" s="1"/>
  <c r="R34" i="15"/>
  <c r="S34" i="15" s="1"/>
  <c r="R66" i="15"/>
  <c r="S66" i="15" s="1"/>
  <c r="AA37" i="15"/>
  <c r="R18" i="15"/>
  <c r="S18" i="15" s="1"/>
  <c r="AZ13" i="15"/>
  <c r="Q63" i="15"/>
  <c r="R27" i="15"/>
  <c r="R21" i="15"/>
  <c r="R15" i="15"/>
  <c r="AA30" i="15"/>
  <c r="AA59" i="15"/>
  <c r="R55" i="15"/>
  <c r="R26" i="15"/>
  <c r="S26" i="15" s="1"/>
  <c r="AA41" i="15"/>
  <c r="R23" i="15"/>
  <c r="R32" i="15"/>
  <c r="S32" i="15" s="1"/>
  <c r="R14" i="15"/>
  <c r="S14" i="15" s="1"/>
  <c r="AA53" i="15"/>
  <c r="AA35" i="15"/>
  <c r="Q67" i="15"/>
  <c r="Q55" i="15"/>
  <c r="R49" i="15"/>
  <c r="W44" i="15"/>
  <c r="W38" i="15"/>
  <c r="AA58" i="15"/>
  <c r="AA29" i="15"/>
  <c r="AA23" i="15"/>
  <c r="Q27" i="15"/>
  <c r="R61" i="15"/>
  <c r="R44" i="15"/>
  <c r="S44" i="15" s="1"/>
  <c r="R20" i="15"/>
  <c r="S20" i="15" s="1"/>
  <c r="AA47" i="15"/>
  <c r="R60" i="15"/>
  <c r="S60" i="15" s="1"/>
  <c r="R54" i="15"/>
  <c r="S54" i="15" s="1"/>
  <c r="Q49" i="15"/>
  <c r="R43" i="15"/>
  <c r="R37" i="15"/>
  <c r="AA34" i="15"/>
  <c r="AA33" i="15"/>
  <c r="R65" i="15"/>
  <c r="S65" i="15" s="1"/>
  <c r="R59" i="15"/>
  <c r="R53" i="15"/>
  <c r="R42" i="15"/>
  <c r="S42" i="15" s="1"/>
  <c r="R36" i="15"/>
  <c r="S36" i="15" s="1"/>
  <c r="R24" i="15"/>
  <c r="S24" i="15" s="1"/>
  <c r="AA45" i="15"/>
  <c r="R33" i="15"/>
  <c r="Q41" i="15"/>
  <c r="Q35" i="15"/>
  <c r="W29" i="15"/>
  <c r="AA67" i="15"/>
  <c r="AA55" i="15"/>
  <c r="AA14" i="15"/>
  <c r="O13" i="15"/>
  <c r="Q57" i="15"/>
  <c r="W45" i="15"/>
  <c r="AA66" i="15"/>
  <c r="AA31" i="15"/>
  <c r="AA25" i="15"/>
  <c r="AA19" i="15"/>
  <c r="AA50" i="15"/>
  <c r="AA38" i="15"/>
  <c r="R50" i="15"/>
  <c r="S50" i="15" s="1"/>
  <c r="R45" i="15"/>
  <c r="R39" i="15"/>
  <c r="W33" i="15"/>
  <c r="W67" i="15"/>
  <c r="W51" i="15"/>
  <c r="W41" i="15"/>
  <c r="W62" i="15"/>
  <c r="R56" i="15"/>
  <c r="S56" i="15" s="1"/>
  <c r="R51" i="15"/>
  <c r="W46" i="15"/>
  <c r="W35" i="15"/>
  <c r="W20" i="15"/>
  <c r="W15" i="15"/>
  <c r="W19" i="15"/>
  <c r="AA15" i="15"/>
  <c r="AA13" i="15"/>
  <c r="Q61" i="15"/>
  <c r="W55" i="15"/>
  <c r="W14" i="15"/>
  <c r="R25" i="15"/>
  <c r="Q31" i="15"/>
  <c r="O23" i="15"/>
  <c r="O17" i="15"/>
  <c r="W34" i="15"/>
  <c r="R28" i="15"/>
  <c r="S28" i="15" s="1"/>
  <c r="AA69" i="15"/>
  <c r="Q53" i="15"/>
  <c r="Q25" i="15"/>
  <c r="O29" i="15"/>
  <c r="R13" i="15"/>
  <c r="Q23" i="15"/>
  <c r="AA49" i="15"/>
  <c r="Q21" i="15"/>
  <c r="W69" i="15"/>
  <c r="W43" i="15"/>
  <c r="R38" i="15"/>
  <c r="S38" i="15" s="1"/>
  <c r="W27" i="15"/>
  <c r="R22" i="15"/>
  <c r="S22" i="15" s="1"/>
  <c r="W17" i="15"/>
  <c r="R69" i="15"/>
  <c r="Q59" i="15"/>
  <c r="R47" i="15"/>
  <c r="AM13" i="15"/>
  <c r="W58" i="15"/>
  <c r="R16" i="15"/>
  <c r="S16" i="15" s="1"/>
  <c r="Q37" i="15"/>
  <c r="W63" i="15"/>
  <c r="W57" i="15"/>
  <c r="W47" i="15"/>
  <c r="W42" i="15"/>
  <c r="AA27" i="15"/>
  <c r="AA17" i="15"/>
  <c r="W56" i="15"/>
  <c r="Q47" i="15"/>
  <c r="S47" i="15" s="1"/>
  <c r="W60" i="15"/>
  <c r="AA20" i="15"/>
  <c r="O21" i="15"/>
  <c r="W32" i="15"/>
  <c r="AA60" i="15"/>
  <c r="AA68" i="15"/>
  <c r="W23" i="15"/>
  <c r="O27" i="15"/>
  <c r="W61" i="15"/>
  <c r="W52" i="15"/>
  <c r="W28" i="15"/>
  <c r="AA52" i="15"/>
  <c r="AA64" i="15"/>
  <c r="W36" i="15"/>
  <c r="O25" i="15"/>
  <c r="AA24" i="15"/>
  <c r="W64" i="15"/>
  <c r="W40" i="15"/>
  <c r="W16" i="15"/>
  <c r="AA28" i="15"/>
  <c r="W13" i="15"/>
  <c r="AA16" i="15"/>
  <c r="W26" i="15"/>
  <c r="W54" i="15"/>
  <c r="W39" i="15"/>
  <c r="W30" i="15"/>
  <c r="AA32" i="15"/>
  <c r="Q29" i="15"/>
  <c r="W50" i="15"/>
  <c r="AA36" i="15"/>
  <c r="W22" i="15"/>
  <c r="W48" i="15"/>
  <c r="W24" i="15"/>
  <c r="AA44" i="15"/>
  <c r="S51" i="15" l="1"/>
  <c r="S45" i="15"/>
  <c r="S57" i="15"/>
  <c r="S39" i="15"/>
  <c r="S63" i="15"/>
  <c r="S15" i="15"/>
  <c r="S27" i="15"/>
  <c r="S23" i="15"/>
  <c r="S59" i="15"/>
  <c r="S13" i="15"/>
  <c r="S41" i="15"/>
  <c r="S43" i="15"/>
  <c r="S53" i="15"/>
  <c r="AI13" i="15"/>
  <c r="S31" i="15"/>
  <c r="S29" i="15"/>
  <c r="S35" i="15"/>
  <c r="S49" i="15"/>
  <c r="S21" i="15"/>
  <c r="S17" i="15"/>
  <c r="S33" i="15"/>
  <c r="S67" i="15"/>
  <c r="S69" i="15"/>
  <c r="S55" i="15"/>
  <c r="S37" i="15"/>
  <c r="S25" i="15"/>
  <c r="S61" i="15"/>
  <c r="AE13" i="15" l="1"/>
  <c r="AU12" i="15" l="1"/>
  <c r="BL11" i="15" l="1"/>
  <c r="BH11" i="15"/>
  <c r="BD11" i="15"/>
  <c r="C592" i="21"/>
  <c r="C593" i="21" s="1"/>
  <c r="C591" i="21"/>
  <c r="H578" i="21"/>
  <c r="H576" i="21"/>
  <c r="H574" i="21"/>
  <c r="H572" i="21"/>
  <c r="H570" i="21"/>
  <c r="H568" i="21"/>
  <c r="H566" i="21"/>
  <c r="H564" i="21"/>
  <c r="H562" i="21"/>
  <c r="H560" i="21"/>
  <c r="H558" i="21"/>
  <c r="H556" i="21"/>
  <c r="C586" i="21" s="1"/>
  <c r="H554" i="21"/>
  <c r="H552" i="21"/>
  <c r="H550" i="21"/>
  <c r="H548" i="21"/>
  <c r="H546" i="21"/>
  <c r="H544" i="21"/>
  <c r="H542" i="21"/>
  <c r="H540" i="21"/>
  <c r="H538" i="21"/>
  <c r="H536" i="21"/>
  <c r="H534" i="21"/>
  <c r="H532" i="21"/>
  <c r="H530" i="21"/>
  <c r="H528" i="21"/>
  <c r="H526" i="21"/>
  <c r="H524" i="21"/>
  <c r="H522" i="21"/>
  <c r="H520" i="21"/>
  <c r="H518" i="21"/>
  <c r="H516" i="21"/>
  <c r="H514" i="21"/>
  <c r="H512" i="21"/>
  <c r="H510" i="21"/>
  <c r="H508" i="21"/>
  <c r="H506" i="21"/>
  <c r="H504" i="21"/>
  <c r="H502" i="21"/>
  <c r="H500" i="21"/>
  <c r="H498" i="21"/>
  <c r="H496" i="21"/>
  <c r="C495" i="21"/>
  <c r="H494" i="21"/>
  <c r="H492" i="21"/>
  <c r="H490" i="21"/>
  <c r="H488" i="21"/>
  <c r="H486" i="21"/>
  <c r="H484" i="21"/>
  <c r="H482" i="21"/>
  <c r="H480" i="21"/>
  <c r="H478" i="21"/>
  <c r="H476" i="21"/>
  <c r="H474" i="21"/>
  <c r="H472" i="21"/>
  <c r="H470" i="21"/>
  <c r="H468" i="21"/>
  <c r="H466" i="21"/>
  <c r="H464" i="21"/>
  <c r="H462" i="21"/>
  <c r="H460" i="21"/>
  <c r="H458" i="21"/>
  <c r="H456" i="21"/>
  <c r="H454" i="21"/>
  <c r="H452" i="21"/>
  <c r="H450" i="21"/>
  <c r="H448" i="21"/>
  <c r="H446" i="21"/>
  <c r="H444" i="21"/>
  <c r="J442" i="21"/>
  <c r="H442" i="21"/>
  <c r="J440" i="21"/>
  <c r="H440" i="21"/>
  <c r="C439" i="21"/>
  <c r="AD435" i="21"/>
  <c r="J435" i="21"/>
  <c r="H435" i="21"/>
  <c r="C433" i="21"/>
  <c r="AC431" i="21"/>
  <c r="AB431" i="21"/>
  <c r="AA431" i="21"/>
  <c r="N431" i="21"/>
  <c r="E431" i="21"/>
  <c r="D431" i="21"/>
  <c r="C431" i="21"/>
  <c r="AD429" i="21"/>
  <c r="L429" i="21"/>
  <c r="F429" i="21"/>
  <c r="AD428" i="21"/>
  <c r="AD431" i="21" s="1"/>
  <c r="K428" i="21"/>
  <c r="J428" i="21"/>
  <c r="I428" i="21"/>
  <c r="H428" i="21"/>
  <c r="M428" i="21" s="1"/>
  <c r="G428" i="21"/>
  <c r="F428" i="21"/>
  <c r="AD427" i="21"/>
  <c r="K427" i="21"/>
  <c r="J427" i="21"/>
  <c r="I427" i="21"/>
  <c r="H427" i="21"/>
  <c r="G427" i="21"/>
  <c r="F427" i="21"/>
  <c r="AD426" i="21"/>
  <c r="K426" i="21"/>
  <c r="J426" i="21"/>
  <c r="I426" i="21"/>
  <c r="H426" i="21"/>
  <c r="G426" i="21"/>
  <c r="F426" i="21"/>
  <c r="F431" i="21" s="1"/>
  <c r="AD425" i="21"/>
  <c r="O425" i="21"/>
  <c r="L425" i="21"/>
  <c r="F425" i="21"/>
  <c r="AD424" i="21"/>
  <c r="O424" i="21"/>
  <c r="K424" i="21"/>
  <c r="J424" i="21"/>
  <c r="I424" i="21"/>
  <c r="H424" i="21"/>
  <c r="G424" i="21"/>
  <c r="AC421" i="21"/>
  <c r="AB421" i="21"/>
  <c r="AB433" i="21" s="1"/>
  <c r="AA421" i="21"/>
  <c r="O421" i="21"/>
  <c r="N421" i="21"/>
  <c r="E421" i="21"/>
  <c r="D421" i="21"/>
  <c r="C421" i="21"/>
  <c r="AD419" i="21"/>
  <c r="K419" i="21"/>
  <c r="J419" i="21"/>
  <c r="I419" i="21"/>
  <c r="H419" i="21"/>
  <c r="M419" i="21" s="1"/>
  <c r="G419" i="21"/>
  <c r="F419" i="21"/>
  <c r="AD418" i="21"/>
  <c r="K418" i="21"/>
  <c r="J418" i="21"/>
  <c r="I418" i="21"/>
  <c r="H418" i="21"/>
  <c r="M418" i="21" s="1"/>
  <c r="G418" i="21"/>
  <c r="F418" i="21"/>
  <c r="AD417" i="21"/>
  <c r="M417" i="21"/>
  <c r="L417" i="21"/>
  <c r="F417" i="21"/>
  <c r="AF417" i="21" s="1"/>
  <c r="AD416" i="21"/>
  <c r="AD421" i="21" s="1"/>
  <c r="AD433" i="21" s="1"/>
  <c r="K416" i="21"/>
  <c r="J416" i="21"/>
  <c r="I416" i="21"/>
  <c r="H416" i="21"/>
  <c r="M416" i="21" s="1"/>
  <c r="G416" i="21"/>
  <c r="AF416" i="21" s="1"/>
  <c r="F416" i="21"/>
  <c r="F421" i="21" s="1"/>
  <c r="AC413" i="21"/>
  <c r="AB413" i="21"/>
  <c r="AA413" i="21"/>
  <c r="AA433" i="21" s="1"/>
  <c r="N413" i="21"/>
  <c r="J413" i="21"/>
  <c r="I413" i="21"/>
  <c r="E413" i="21"/>
  <c r="D413" i="21"/>
  <c r="C413" i="21"/>
  <c r="AD411" i="21"/>
  <c r="K411" i="21"/>
  <c r="H411" i="21"/>
  <c r="G411" i="21"/>
  <c r="F411" i="21"/>
  <c r="AD410" i="21"/>
  <c r="AD413" i="21" s="1"/>
  <c r="K410" i="21"/>
  <c r="H410" i="21"/>
  <c r="M410" i="21" s="1"/>
  <c r="G410" i="21"/>
  <c r="F410" i="21"/>
  <c r="AD409" i="21"/>
  <c r="H409" i="21"/>
  <c r="M409" i="21" s="1"/>
  <c r="G409" i="21"/>
  <c r="F409" i="21"/>
  <c r="AD408" i="21"/>
  <c r="H408" i="21"/>
  <c r="M408" i="21" s="1"/>
  <c r="G408" i="21"/>
  <c r="F408" i="21"/>
  <c r="AD407" i="21"/>
  <c r="O407" i="21"/>
  <c r="K407" i="21"/>
  <c r="H407" i="21"/>
  <c r="G407" i="21"/>
  <c r="F407" i="21"/>
  <c r="AD406" i="21"/>
  <c r="O406" i="21"/>
  <c r="O413" i="21" s="1"/>
  <c r="K406" i="21"/>
  <c r="H406" i="21"/>
  <c r="G406" i="21"/>
  <c r="F406" i="21"/>
  <c r="AD405" i="21"/>
  <c r="L405" i="21"/>
  <c r="F405" i="21"/>
  <c r="F413" i="21" s="1"/>
  <c r="AD404" i="21"/>
  <c r="AC402" i="21"/>
  <c r="AB402" i="21"/>
  <c r="AA402" i="21"/>
  <c r="N402" i="21"/>
  <c r="F402" i="21"/>
  <c r="E402" i="21"/>
  <c r="D402" i="21"/>
  <c r="C402" i="21"/>
  <c r="AD400" i="21"/>
  <c r="K400" i="21"/>
  <c r="J400" i="21"/>
  <c r="I400" i="21"/>
  <c r="H400" i="21"/>
  <c r="M400" i="21" s="1"/>
  <c r="G400" i="21"/>
  <c r="F400" i="21"/>
  <c r="AF399" i="21"/>
  <c r="AD399" i="21"/>
  <c r="M399" i="21"/>
  <c r="L399" i="21"/>
  <c r="F399" i="21"/>
  <c r="AD398" i="21"/>
  <c r="K398" i="21"/>
  <c r="J398" i="21"/>
  <c r="I398" i="21"/>
  <c r="H398" i="21"/>
  <c r="M398" i="21" s="1"/>
  <c r="M402" i="21" s="1"/>
  <c r="G398" i="21"/>
  <c r="AF398" i="21" s="1"/>
  <c r="F398" i="21"/>
  <c r="AD397" i="21"/>
  <c r="O397" i="21"/>
  <c r="O402" i="21" s="1"/>
  <c r="K397" i="21"/>
  <c r="J397" i="21"/>
  <c r="I397" i="21"/>
  <c r="H397" i="21"/>
  <c r="G397" i="21"/>
  <c r="F397" i="21"/>
  <c r="AD396" i="21"/>
  <c r="L396" i="21"/>
  <c r="F396" i="21"/>
  <c r="AD395" i="21"/>
  <c r="AC393" i="21"/>
  <c r="AB393" i="21"/>
  <c r="AA393" i="21"/>
  <c r="O393" i="21"/>
  <c r="N393" i="21"/>
  <c r="E393" i="21"/>
  <c r="D393" i="21"/>
  <c r="C393" i="21"/>
  <c r="K391" i="21"/>
  <c r="J391" i="21"/>
  <c r="I391" i="21"/>
  <c r="H391" i="21"/>
  <c r="M391" i="21" s="1"/>
  <c r="G391" i="21"/>
  <c r="F391" i="21"/>
  <c r="K390" i="21"/>
  <c r="J390" i="21"/>
  <c r="I390" i="21"/>
  <c r="H390" i="21"/>
  <c r="M390" i="21" s="1"/>
  <c r="G390" i="21"/>
  <c r="F390" i="21"/>
  <c r="AD389" i="21"/>
  <c r="AD393" i="21" s="1"/>
  <c r="K389" i="21"/>
  <c r="J389" i="21"/>
  <c r="I389" i="21"/>
  <c r="H389" i="21"/>
  <c r="M389" i="21" s="1"/>
  <c r="G389" i="21"/>
  <c r="F389" i="21"/>
  <c r="AD388" i="21"/>
  <c r="K388" i="21"/>
  <c r="J388" i="21"/>
  <c r="I388" i="21"/>
  <c r="H388" i="21"/>
  <c r="M388" i="21" s="1"/>
  <c r="G388" i="21"/>
  <c r="F388" i="21"/>
  <c r="AF387" i="21"/>
  <c r="M387" i="21"/>
  <c r="L387" i="21"/>
  <c r="F387" i="21"/>
  <c r="AD386" i="21"/>
  <c r="K386" i="21"/>
  <c r="J386" i="21"/>
  <c r="I386" i="21"/>
  <c r="H386" i="21"/>
  <c r="M386" i="21" s="1"/>
  <c r="G386" i="21"/>
  <c r="AF386" i="21" s="1"/>
  <c r="AD385" i="21"/>
  <c r="K385" i="21"/>
  <c r="J385" i="21"/>
  <c r="I385" i="21"/>
  <c r="H385" i="21"/>
  <c r="M385" i="21" s="1"/>
  <c r="G385" i="21"/>
  <c r="F385" i="21"/>
  <c r="AD384" i="21"/>
  <c r="K384" i="21"/>
  <c r="J384" i="21"/>
  <c r="I384" i="21"/>
  <c r="H384" i="21"/>
  <c r="G384" i="21"/>
  <c r="F384" i="21"/>
  <c r="AD383" i="21"/>
  <c r="O381" i="21"/>
  <c r="N381" i="21"/>
  <c r="J381" i="21"/>
  <c r="I381" i="21"/>
  <c r="E381" i="21"/>
  <c r="D381" i="21"/>
  <c r="C381" i="21"/>
  <c r="K379" i="21"/>
  <c r="K381" i="21" s="1"/>
  <c r="H379" i="21"/>
  <c r="M379" i="21" s="1"/>
  <c r="G379" i="21"/>
  <c r="F379" i="21"/>
  <c r="F381" i="21" s="1"/>
  <c r="H378" i="21"/>
  <c r="M378" i="21" s="1"/>
  <c r="G378" i="21"/>
  <c r="F378" i="21"/>
  <c r="O375" i="21"/>
  <c r="N375" i="21"/>
  <c r="J375" i="21"/>
  <c r="I375" i="21"/>
  <c r="F375" i="21"/>
  <c r="E375" i="21"/>
  <c r="D375" i="21"/>
  <c r="C375" i="21"/>
  <c r="H373" i="21"/>
  <c r="M373" i="21" s="1"/>
  <c r="G373" i="21"/>
  <c r="H372" i="21"/>
  <c r="M372" i="21" s="1"/>
  <c r="G372" i="21"/>
  <c r="F372" i="21"/>
  <c r="H371" i="21"/>
  <c r="M371" i="21" s="1"/>
  <c r="G371" i="21"/>
  <c r="AF371" i="21" s="1"/>
  <c r="F371" i="21"/>
  <c r="K370" i="21"/>
  <c r="H370" i="21"/>
  <c r="M370" i="21" s="1"/>
  <c r="G370" i="21"/>
  <c r="F370" i="21"/>
  <c r="C370" i="21"/>
  <c r="K369" i="21"/>
  <c r="H369" i="21"/>
  <c r="M369" i="21" s="1"/>
  <c r="G369" i="21"/>
  <c r="O366" i="21"/>
  <c r="N366" i="21"/>
  <c r="I366" i="21"/>
  <c r="F366" i="21"/>
  <c r="E366" i="21"/>
  <c r="D366" i="21"/>
  <c r="C366" i="21"/>
  <c r="K364" i="21"/>
  <c r="J364" i="21"/>
  <c r="H364" i="21"/>
  <c r="M364" i="21" s="1"/>
  <c r="G364" i="21"/>
  <c r="K363" i="21"/>
  <c r="J363" i="21"/>
  <c r="H363" i="21"/>
  <c r="M363" i="21" s="1"/>
  <c r="G363" i="21"/>
  <c r="AF363" i="21" s="1"/>
  <c r="O360" i="21"/>
  <c r="N360" i="21"/>
  <c r="N433" i="21" s="1"/>
  <c r="I360" i="21"/>
  <c r="E360" i="21"/>
  <c r="D360" i="21"/>
  <c r="C360" i="21"/>
  <c r="K358" i="21"/>
  <c r="J358" i="21"/>
  <c r="H358" i="21"/>
  <c r="M358" i="21" s="1"/>
  <c r="G358" i="21"/>
  <c r="AF358" i="21" s="1"/>
  <c r="F358" i="21"/>
  <c r="F360" i="21" s="1"/>
  <c r="K357" i="21"/>
  <c r="J357" i="21"/>
  <c r="H357" i="21"/>
  <c r="M357" i="21" s="1"/>
  <c r="G357" i="21"/>
  <c r="AF357" i="21" s="1"/>
  <c r="K356" i="21"/>
  <c r="J356" i="21"/>
  <c r="H356" i="21"/>
  <c r="G356" i="21"/>
  <c r="O353" i="21"/>
  <c r="N353" i="21"/>
  <c r="I353" i="21"/>
  <c r="F353" i="21"/>
  <c r="E353" i="21"/>
  <c r="E433" i="21" s="1"/>
  <c r="D353" i="21"/>
  <c r="C353" i="21"/>
  <c r="K351" i="21"/>
  <c r="J351" i="21"/>
  <c r="H351" i="21"/>
  <c r="M351" i="21" s="1"/>
  <c r="G351" i="21"/>
  <c r="F351" i="21"/>
  <c r="K350" i="21"/>
  <c r="J350" i="21"/>
  <c r="H350" i="21"/>
  <c r="M350" i="21" s="1"/>
  <c r="G350" i="21"/>
  <c r="AF350" i="21" s="1"/>
  <c r="F350" i="21"/>
  <c r="P347" i="21"/>
  <c r="O347" i="21"/>
  <c r="N347" i="21"/>
  <c r="J347" i="21"/>
  <c r="I347" i="21"/>
  <c r="F347" i="21"/>
  <c r="E347" i="21"/>
  <c r="D347" i="21"/>
  <c r="C347" i="21"/>
  <c r="K345" i="21"/>
  <c r="H345" i="21"/>
  <c r="M345" i="21" s="1"/>
  <c r="G345" i="21"/>
  <c r="AF345" i="21" s="1"/>
  <c r="K344" i="21"/>
  <c r="H344" i="21"/>
  <c r="M344" i="21" s="1"/>
  <c r="G344" i="21"/>
  <c r="AF344" i="21" s="1"/>
  <c r="K343" i="21"/>
  <c r="H343" i="21"/>
  <c r="M343" i="21" s="1"/>
  <c r="G343" i="21"/>
  <c r="AF343" i="21" s="1"/>
  <c r="P340" i="21"/>
  <c r="O340" i="21"/>
  <c r="N340" i="21"/>
  <c r="K340" i="21"/>
  <c r="J340" i="21"/>
  <c r="I340" i="21"/>
  <c r="F340" i="21"/>
  <c r="E340" i="21"/>
  <c r="D340" i="21"/>
  <c r="C340" i="21"/>
  <c r="H338" i="21"/>
  <c r="M338" i="21" s="1"/>
  <c r="G338" i="21"/>
  <c r="AF338" i="21" s="1"/>
  <c r="H337" i="21"/>
  <c r="G337" i="21"/>
  <c r="AF337" i="21" s="1"/>
  <c r="AC332" i="21"/>
  <c r="AB332" i="21"/>
  <c r="AA332" i="21"/>
  <c r="N332" i="21"/>
  <c r="E332" i="21"/>
  <c r="D332" i="21"/>
  <c r="C332" i="21"/>
  <c r="O330" i="21"/>
  <c r="L330" i="21"/>
  <c r="O329" i="21"/>
  <c r="L329" i="21"/>
  <c r="AD328" i="21"/>
  <c r="O328" i="21"/>
  <c r="L328" i="21"/>
  <c r="F328" i="21"/>
  <c r="E328" i="21"/>
  <c r="AD327" i="21"/>
  <c r="O327" i="21"/>
  <c r="L327" i="21"/>
  <c r="F327" i="21"/>
  <c r="AD326" i="21"/>
  <c r="O326" i="21"/>
  <c r="L326" i="21"/>
  <c r="F326" i="21"/>
  <c r="E326" i="21"/>
  <c r="AD325" i="21"/>
  <c r="O325" i="21"/>
  <c r="F325" i="21"/>
  <c r="AD324" i="21"/>
  <c r="G324" i="21"/>
  <c r="E324" i="21"/>
  <c r="AD323" i="21"/>
  <c r="O323" i="21"/>
  <c r="L323" i="21"/>
  <c r="F323" i="21"/>
  <c r="AD322" i="21"/>
  <c r="O322" i="21"/>
  <c r="L322" i="21"/>
  <c r="F322" i="21"/>
  <c r="AD321" i="21"/>
  <c r="O321" i="21"/>
  <c r="L321" i="21"/>
  <c r="F321" i="21"/>
  <c r="AD320" i="21"/>
  <c r="O320" i="21"/>
  <c r="L320" i="21"/>
  <c r="F320" i="21"/>
  <c r="E320" i="21"/>
  <c r="AD319" i="21"/>
  <c r="O319" i="21"/>
  <c r="L319" i="21"/>
  <c r="F319" i="21"/>
  <c r="AD318" i="21"/>
  <c r="O318" i="21"/>
  <c r="L318" i="21"/>
  <c r="F318" i="21"/>
  <c r="AD317" i="21"/>
  <c r="O317" i="21"/>
  <c r="L317" i="21"/>
  <c r="F317" i="21"/>
  <c r="AD316" i="21"/>
  <c r="O316" i="21"/>
  <c r="L316" i="21"/>
  <c r="F316" i="21"/>
  <c r="AD315" i="21"/>
  <c r="O315" i="21"/>
  <c r="L315" i="21"/>
  <c r="F315" i="21"/>
  <c r="AD314" i="21"/>
  <c r="K314" i="21"/>
  <c r="J314" i="21"/>
  <c r="I314" i="21"/>
  <c r="H314" i="21"/>
  <c r="G314" i="21"/>
  <c r="F314" i="21"/>
  <c r="AD313" i="21"/>
  <c r="K313" i="21"/>
  <c r="J313" i="21"/>
  <c r="I313" i="21"/>
  <c r="H313" i="21"/>
  <c r="M313" i="21" s="1"/>
  <c r="M332" i="21" s="1"/>
  <c r="G313" i="21"/>
  <c r="AF313" i="21" s="1"/>
  <c r="F313" i="21"/>
  <c r="AD312" i="21"/>
  <c r="O312" i="21"/>
  <c r="F312" i="21"/>
  <c r="AD311" i="21"/>
  <c r="AD310" i="21"/>
  <c r="O310" i="21"/>
  <c r="L310" i="21"/>
  <c r="F310" i="21"/>
  <c r="AD309" i="21"/>
  <c r="O309" i="21"/>
  <c r="L309" i="21"/>
  <c r="F309" i="21"/>
  <c r="F332" i="21" s="1"/>
  <c r="AD308" i="21"/>
  <c r="AD306" i="21"/>
  <c r="AC306" i="21"/>
  <c r="AB306" i="21"/>
  <c r="N306" i="21"/>
  <c r="J306" i="21"/>
  <c r="I306" i="21"/>
  <c r="E306" i="21"/>
  <c r="D306" i="21"/>
  <c r="C306" i="21"/>
  <c r="AE304" i="21"/>
  <c r="O304" i="21"/>
  <c r="L304" i="21"/>
  <c r="F304" i="21"/>
  <c r="E304" i="21"/>
  <c r="AE303" i="21"/>
  <c r="O303" i="21"/>
  <c r="L303" i="21"/>
  <c r="F303" i="21"/>
  <c r="AE302" i="21"/>
  <c r="O302" i="21"/>
  <c r="L302" i="21"/>
  <c r="F302" i="21"/>
  <c r="AE301" i="21"/>
  <c r="E301" i="21"/>
  <c r="AE300" i="21"/>
  <c r="O300" i="21"/>
  <c r="L300" i="21"/>
  <c r="F300" i="21"/>
  <c r="AE299" i="21"/>
  <c r="O299" i="21"/>
  <c r="L299" i="21"/>
  <c r="F299" i="21"/>
  <c r="AE298" i="21"/>
  <c r="K298" i="21"/>
  <c r="L298" i="21" s="1"/>
  <c r="F298" i="21"/>
  <c r="AE297" i="21"/>
  <c r="K297" i="21"/>
  <c r="L297" i="21" s="1"/>
  <c r="F297" i="21"/>
  <c r="AE296" i="21"/>
  <c r="O296" i="21"/>
  <c r="L296" i="21"/>
  <c r="F296" i="21"/>
  <c r="AE295" i="21"/>
  <c r="O295" i="21"/>
  <c r="L295" i="21"/>
  <c r="F295" i="21"/>
  <c r="AE294" i="21"/>
  <c r="O294" i="21"/>
  <c r="L294" i="21"/>
  <c r="F294" i="21"/>
  <c r="AE293" i="21"/>
  <c r="O293" i="21"/>
  <c r="L293" i="21"/>
  <c r="F293" i="21"/>
  <c r="AE292" i="21"/>
  <c r="O292" i="21"/>
  <c r="L292" i="21"/>
  <c r="F292" i="21"/>
  <c r="AE291" i="21"/>
  <c r="AE306" i="21" s="1"/>
  <c r="H291" i="21"/>
  <c r="H306" i="21" s="1"/>
  <c r="G291" i="21"/>
  <c r="G306" i="21" s="1"/>
  <c r="F291" i="21"/>
  <c r="AE290" i="21"/>
  <c r="O290" i="21"/>
  <c r="L290" i="21"/>
  <c r="F290" i="21"/>
  <c r="AE289" i="21"/>
  <c r="AE288" i="21"/>
  <c r="O288" i="21"/>
  <c r="L288" i="21"/>
  <c r="F288" i="21"/>
  <c r="F306" i="21" s="1"/>
  <c r="AD285" i="21"/>
  <c r="AC285" i="21"/>
  <c r="AB285" i="21"/>
  <c r="O285" i="21"/>
  <c r="N285" i="21"/>
  <c r="D285" i="21"/>
  <c r="C285" i="21"/>
  <c r="AE283" i="21"/>
  <c r="M283" i="21"/>
  <c r="J283" i="21"/>
  <c r="L283" i="21" s="1"/>
  <c r="F283" i="21"/>
  <c r="AF283" i="21" s="1"/>
  <c r="AF282" i="21"/>
  <c r="AE282" i="21"/>
  <c r="M282" i="21"/>
  <c r="J282" i="21"/>
  <c r="L282" i="21" s="1"/>
  <c r="AE281" i="21"/>
  <c r="M281" i="21"/>
  <c r="J281" i="21"/>
  <c r="L281" i="21" s="1"/>
  <c r="F281" i="21"/>
  <c r="E281" i="21"/>
  <c r="AF280" i="21"/>
  <c r="AE280" i="21"/>
  <c r="M280" i="21"/>
  <c r="J280" i="21"/>
  <c r="L280" i="21" s="1"/>
  <c r="AE279" i="21"/>
  <c r="M279" i="21"/>
  <c r="J279" i="21"/>
  <c r="L279" i="21" s="1"/>
  <c r="F279" i="21"/>
  <c r="AF279" i="21" s="1"/>
  <c r="AF278" i="21"/>
  <c r="AE278" i="21"/>
  <c r="M278" i="21"/>
  <c r="E278" i="21"/>
  <c r="E285" i="21" s="1"/>
  <c r="AF277" i="21"/>
  <c r="AE277" i="21"/>
  <c r="M277" i="21"/>
  <c r="J277" i="21"/>
  <c r="L277" i="21" s="1"/>
  <c r="AE276" i="21"/>
  <c r="M276" i="21"/>
  <c r="J276" i="21"/>
  <c r="L276" i="21" s="1"/>
  <c r="F276" i="21"/>
  <c r="AF276" i="21" s="1"/>
  <c r="AF275" i="21"/>
  <c r="AE275" i="21"/>
  <c r="M275" i="21"/>
  <c r="J275" i="21"/>
  <c r="L275" i="21" s="1"/>
  <c r="F275" i="21"/>
  <c r="AE274" i="21"/>
  <c r="M274" i="21"/>
  <c r="J274" i="21"/>
  <c r="L274" i="21" s="1"/>
  <c r="F274" i="21"/>
  <c r="AF274" i="21" s="1"/>
  <c r="AF273" i="21"/>
  <c r="AE273" i="21"/>
  <c r="M273" i="21"/>
  <c r="J273" i="21"/>
  <c r="L273" i="21" s="1"/>
  <c r="F273" i="21"/>
  <c r="AE272" i="21"/>
  <c r="M272" i="21"/>
  <c r="J272" i="21"/>
  <c r="L272" i="21" s="1"/>
  <c r="F272" i="21"/>
  <c r="AF272" i="21" s="1"/>
  <c r="AF271" i="21"/>
  <c r="AE271" i="21"/>
  <c r="M271" i="21"/>
  <c r="J271" i="21"/>
  <c r="L271" i="21" s="1"/>
  <c r="F271" i="21"/>
  <c r="AE270" i="21"/>
  <c r="M270" i="21"/>
  <c r="J270" i="21"/>
  <c r="L270" i="21" s="1"/>
  <c r="F270" i="21"/>
  <c r="AF270" i="21" s="1"/>
  <c r="AF269" i="21"/>
  <c r="AE269" i="21"/>
  <c r="M269" i="21"/>
  <c r="J269" i="21"/>
  <c r="L269" i="21" s="1"/>
  <c r="F269" i="21"/>
  <c r="AE268" i="21"/>
  <c r="J268" i="21"/>
  <c r="I268" i="21"/>
  <c r="H268" i="21"/>
  <c r="M268" i="21" s="1"/>
  <c r="G268" i="21"/>
  <c r="F268" i="21"/>
  <c r="AE267" i="21"/>
  <c r="M267" i="21"/>
  <c r="J267" i="21"/>
  <c r="I267" i="21"/>
  <c r="F267" i="21"/>
  <c r="AF267" i="21" s="1"/>
  <c r="AF266" i="21"/>
  <c r="AE266" i="21"/>
  <c r="AE265" i="21"/>
  <c r="M265" i="21"/>
  <c r="K265" i="21"/>
  <c r="K285" i="21" s="1"/>
  <c r="J265" i="21"/>
  <c r="I265" i="21"/>
  <c r="G265" i="21"/>
  <c r="F265" i="21"/>
  <c r="AD262" i="21"/>
  <c r="AC262" i="21"/>
  <c r="AB262" i="21"/>
  <c r="AA262" i="21"/>
  <c r="O262" i="21"/>
  <c r="N262" i="21"/>
  <c r="E262" i="21"/>
  <c r="D262" i="21"/>
  <c r="C262" i="21"/>
  <c r="AF260" i="21"/>
  <c r="M260" i="21"/>
  <c r="L260" i="21"/>
  <c r="F260" i="21"/>
  <c r="AF259" i="21"/>
  <c r="AD259" i="21"/>
  <c r="M259" i="21"/>
  <c r="L259" i="21"/>
  <c r="F259" i="21"/>
  <c r="AF258" i="21"/>
  <c r="AD258" i="21"/>
  <c r="M258" i="21"/>
  <c r="L258" i="21"/>
  <c r="F258" i="21"/>
  <c r="AD257" i="21"/>
  <c r="M257" i="21"/>
  <c r="L257" i="21"/>
  <c r="F257" i="21"/>
  <c r="AF257" i="21" s="1"/>
  <c r="AF256" i="21"/>
  <c r="AD256" i="21"/>
  <c r="M256" i="21"/>
  <c r="L256" i="21"/>
  <c r="F256" i="21"/>
  <c r="AD255" i="21"/>
  <c r="M255" i="21"/>
  <c r="L255" i="21"/>
  <c r="F255" i="21"/>
  <c r="AF255" i="21" s="1"/>
  <c r="AF254" i="21"/>
  <c r="AD254" i="21"/>
  <c r="M254" i="21"/>
  <c r="L254" i="21"/>
  <c r="F254" i="21"/>
  <c r="AF253" i="21"/>
  <c r="AD253" i="21"/>
  <c r="M253" i="21"/>
  <c r="L253" i="21"/>
  <c r="F253" i="21"/>
  <c r="AF252" i="21"/>
  <c r="AD252" i="21"/>
  <c r="M252" i="21"/>
  <c r="L252" i="21"/>
  <c r="AD251" i="21"/>
  <c r="K251" i="21"/>
  <c r="J251" i="21"/>
  <c r="J262" i="21" s="1"/>
  <c r="I251" i="21"/>
  <c r="I262" i="21" s="1"/>
  <c r="H251" i="21"/>
  <c r="H262" i="21" s="1"/>
  <c r="G251" i="21"/>
  <c r="AF251" i="21" s="1"/>
  <c r="F251" i="21"/>
  <c r="AF250" i="21"/>
  <c r="AD250" i="21"/>
  <c r="M250" i="21"/>
  <c r="L250" i="21"/>
  <c r="F250" i="21"/>
  <c r="AF249" i="21"/>
  <c r="AD249" i="21"/>
  <c r="AD248" i="21"/>
  <c r="M248" i="21"/>
  <c r="L248" i="21"/>
  <c r="F248" i="21"/>
  <c r="AF248" i="21" s="1"/>
  <c r="AF247" i="21"/>
  <c r="M247" i="21"/>
  <c r="L247" i="21"/>
  <c r="F247" i="21"/>
  <c r="AF246" i="21"/>
  <c r="M246" i="21"/>
  <c r="L246" i="21"/>
  <c r="F246" i="21"/>
  <c r="AC243" i="21"/>
  <c r="AB243" i="21"/>
  <c r="AA243" i="21"/>
  <c r="N243" i="21"/>
  <c r="D243" i="21"/>
  <c r="C243" i="21"/>
  <c r="AD241" i="21"/>
  <c r="K241" i="21"/>
  <c r="J241" i="21"/>
  <c r="I241" i="21"/>
  <c r="H241" i="21"/>
  <c r="M241" i="21" s="1"/>
  <c r="G241" i="21"/>
  <c r="AF241" i="21" s="1"/>
  <c r="F241" i="21"/>
  <c r="E241" i="21"/>
  <c r="E243" i="21" s="1"/>
  <c r="M240" i="21"/>
  <c r="G240" i="21"/>
  <c r="F240" i="21"/>
  <c r="E240" i="21"/>
  <c r="AF239" i="21"/>
  <c r="AD239" i="21"/>
  <c r="O239" i="21"/>
  <c r="L239" i="21"/>
  <c r="F239" i="21"/>
  <c r="AF238" i="21"/>
  <c r="AD238" i="21"/>
  <c r="O238" i="21"/>
  <c r="L238" i="21"/>
  <c r="F238" i="21"/>
  <c r="AF237" i="21"/>
  <c r="AD237" i="21"/>
  <c r="O237" i="21"/>
  <c r="L237" i="21"/>
  <c r="F237" i="21"/>
  <c r="AD236" i="21"/>
  <c r="O236" i="21"/>
  <c r="L236" i="21"/>
  <c r="F236" i="21"/>
  <c r="AF236" i="21" s="1"/>
  <c r="AF235" i="21"/>
  <c r="AD235" i="21"/>
  <c r="O235" i="21"/>
  <c r="L235" i="21"/>
  <c r="F235" i="21"/>
  <c r="AD234" i="21"/>
  <c r="O234" i="21"/>
  <c r="L234" i="21"/>
  <c r="F234" i="21"/>
  <c r="AF234" i="21" s="1"/>
  <c r="AF233" i="21"/>
  <c r="AD233" i="21"/>
  <c r="O233" i="21"/>
  <c r="L233" i="21"/>
  <c r="F233" i="21"/>
  <c r="AF232" i="21"/>
  <c r="AD232" i="21"/>
  <c r="O232" i="21"/>
  <c r="L232" i="21"/>
  <c r="F232" i="21"/>
  <c r="AD231" i="21"/>
  <c r="O231" i="21"/>
  <c r="L231" i="21"/>
  <c r="F231" i="21"/>
  <c r="AF231" i="21" s="1"/>
  <c r="AD230" i="21"/>
  <c r="K230" i="21"/>
  <c r="J230" i="21"/>
  <c r="I230" i="21"/>
  <c r="H230" i="21"/>
  <c r="G230" i="21"/>
  <c r="F230" i="21"/>
  <c r="AD229" i="21"/>
  <c r="O229" i="21"/>
  <c r="O243" i="21" s="1"/>
  <c r="L229" i="21"/>
  <c r="F229" i="21"/>
  <c r="AD227" i="21"/>
  <c r="O227" i="21"/>
  <c r="L227" i="21"/>
  <c r="F227" i="21"/>
  <c r="AD226" i="21"/>
  <c r="O226" i="21"/>
  <c r="L226" i="21"/>
  <c r="F226" i="21"/>
  <c r="AC223" i="21"/>
  <c r="AB223" i="21"/>
  <c r="AA223" i="21"/>
  <c r="N223" i="21"/>
  <c r="O221" i="21"/>
  <c r="K221" i="21"/>
  <c r="H221" i="21"/>
  <c r="G221" i="21"/>
  <c r="F221" i="21"/>
  <c r="E221" i="21"/>
  <c r="AD220" i="21"/>
  <c r="O220" i="21"/>
  <c r="L220" i="21"/>
  <c r="F220" i="21"/>
  <c r="AD219" i="21"/>
  <c r="L219" i="21"/>
  <c r="F219" i="21"/>
  <c r="AD218" i="21"/>
  <c r="G218" i="21"/>
  <c r="E218" i="21"/>
  <c r="E223" i="21" s="1"/>
  <c r="AD217" i="21"/>
  <c r="AD223" i="21" s="1"/>
  <c r="K217" i="21"/>
  <c r="J217" i="21"/>
  <c r="I217" i="21"/>
  <c r="H217" i="21"/>
  <c r="M217" i="21" s="1"/>
  <c r="G217" i="21"/>
  <c r="AF217" i="21" s="1"/>
  <c r="F217" i="21"/>
  <c r="AD216" i="21"/>
  <c r="K216" i="21"/>
  <c r="J216" i="21"/>
  <c r="I216" i="21"/>
  <c r="H216" i="21"/>
  <c r="G216" i="21"/>
  <c r="AF216" i="21" s="1"/>
  <c r="F216" i="21"/>
  <c r="C216" i="21"/>
  <c r="AF215" i="21"/>
  <c r="AD215" i="21"/>
  <c r="O215" i="21"/>
  <c r="M215" i="21"/>
  <c r="L215" i="21"/>
  <c r="F215" i="21"/>
  <c r="C215" i="21"/>
  <c r="AD214" i="21"/>
  <c r="O214" i="21"/>
  <c r="M214" i="21" s="1"/>
  <c r="L214" i="21"/>
  <c r="F214" i="21"/>
  <c r="C214" i="21"/>
  <c r="AF214" i="21" s="1"/>
  <c r="AF213" i="21"/>
  <c r="AD213" i="21"/>
  <c r="O213" i="21"/>
  <c r="M213" i="21"/>
  <c r="L213" i="21"/>
  <c r="F213" i="21"/>
  <c r="D213" i="21"/>
  <c r="D223" i="21" s="1"/>
  <c r="C213" i="21"/>
  <c r="AD212" i="21"/>
  <c r="O212" i="21"/>
  <c r="M212" i="21" s="1"/>
  <c r="L212" i="21"/>
  <c r="F212" i="21"/>
  <c r="AF212" i="21" s="1"/>
  <c r="AD211" i="21"/>
  <c r="O211" i="21"/>
  <c r="M211" i="21"/>
  <c r="L211" i="21"/>
  <c r="F211" i="21"/>
  <c r="AF211" i="21" s="1"/>
  <c r="AD210" i="21"/>
  <c r="O210" i="21"/>
  <c r="M210" i="21" s="1"/>
  <c r="L210" i="21"/>
  <c r="F210" i="21"/>
  <c r="AF210" i="21" s="1"/>
  <c r="AD209" i="21"/>
  <c r="K209" i="21"/>
  <c r="J209" i="21"/>
  <c r="I209" i="21"/>
  <c r="H209" i="21"/>
  <c r="G209" i="21"/>
  <c r="F209" i="21"/>
  <c r="AD208" i="21"/>
  <c r="K208" i="21"/>
  <c r="J208" i="21"/>
  <c r="I208" i="21"/>
  <c r="H208" i="21"/>
  <c r="M208" i="21" s="1"/>
  <c r="G208" i="21"/>
  <c r="F208" i="21"/>
  <c r="C208" i="21"/>
  <c r="C223" i="21" s="1"/>
  <c r="AD207" i="21"/>
  <c r="O207" i="21"/>
  <c r="L207" i="21"/>
  <c r="F207" i="21"/>
  <c r="AD206" i="21"/>
  <c r="AD205" i="21"/>
  <c r="O205" i="21"/>
  <c r="L205" i="21"/>
  <c r="F205" i="21"/>
  <c r="AD204" i="21"/>
  <c r="O204" i="21"/>
  <c r="K204" i="21"/>
  <c r="J204" i="21"/>
  <c r="I204" i="21"/>
  <c r="H204" i="21"/>
  <c r="G204" i="21"/>
  <c r="F204" i="21"/>
  <c r="AC201" i="21"/>
  <c r="AB201" i="21"/>
  <c r="AA201" i="21"/>
  <c r="O201" i="21"/>
  <c r="N201" i="21"/>
  <c r="D201" i="21"/>
  <c r="C201" i="21"/>
  <c r="K199" i="21"/>
  <c r="H199" i="21"/>
  <c r="M199" i="21" s="1"/>
  <c r="G199" i="21"/>
  <c r="F199" i="21"/>
  <c r="AD198" i="21"/>
  <c r="M198" i="21"/>
  <c r="L198" i="21"/>
  <c r="F198" i="21"/>
  <c r="E198" i="21"/>
  <c r="AD197" i="21"/>
  <c r="M197" i="21"/>
  <c r="G197" i="21"/>
  <c r="AF197" i="21" s="1"/>
  <c r="E197" i="21"/>
  <c r="E201" i="21" s="1"/>
  <c r="AD196" i="21"/>
  <c r="K196" i="21"/>
  <c r="J196" i="21"/>
  <c r="I196" i="21"/>
  <c r="H196" i="21"/>
  <c r="G196" i="21"/>
  <c r="F196" i="21"/>
  <c r="AD195" i="21"/>
  <c r="K195" i="21"/>
  <c r="J195" i="21"/>
  <c r="I195" i="21"/>
  <c r="H195" i="21"/>
  <c r="M195" i="21" s="1"/>
  <c r="G195" i="21"/>
  <c r="F195" i="21"/>
  <c r="C195" i="21"/>
  <c r="AF194" i="21"/>
  <c r="AD194" i="21"/>
  <c r="M194" i="21"/>
  <c r="L194" i="21"/>
  <c r="F194" i="21"/>
  <c r="C194" i="21"/>
  <c r="AD193" i="21"/>
  <c r="K193" i="21"/>
  <c r="J193" i="21"/>
  <c r="I193" i="21"/>
  <c r="H193" i="21"/>
  <c r="M193" i="21" s="1"/>
  <c r="G193" i="21"/>
  <c r="AF193" i="21" s="1"/>
  <c r="F193" i="21"/>
  <c r="C193" i="21"/>
  <c r="AD192" i="21"/>
  <c r="M192" i="21"/>
  <c r="L192" i="21"/>
  <c r="F192" i="21"/>
  <c r="C192" i="21"/>
  <c r="AF192" i="21" s="1"/>
  <c r="AF191" i="21"/>
  <c r="AD191" i="21"/>
  <c r="M191" i="21"/>
  <c r="L191" i="21"/>
  <c r="F191" i="21"/>
  <c r="C191" i="21"/>
  <c r="AD190" i="21"/>
  <c r="M190" i="21"/>
  <c r="L190" i="21"/>
  <c r="F190" i="21"/>
  <c r="AF190" i="21" s="1"/>
  <c r="AF189" i="21"/>
  <c r="AD189" i="21"/>
  <c r="M189" i="21"/>
  <c r="L189" i="21"/>
  <c r="F189" i="21"/>
  <c r="AD188" i="21"/>
  <c r="M188" i="21"/>
  <c r="L188" i="21"/>
  <c r="F188" i="21"/>
  <c r="AF188" i="21" s="1"/>
  <c r="AD187" i="21"/>
  <c r="K187" i="21"/>
  <c r="J187" i="21"/>
  <c r="I187" i="21"/>
  <c r="H187" i="21"/>
  <c r="M187" i="21" s="1"/>
  <c r="G187" i="21"/>
  <c r="F187" i="21"/>
  <c r="C187" i="21"/>
  <c r="AF186" i="21"/>
  <c r="AD186" i="21"/>
  <c r="M186" i="21"/>
  <c r="L186" i="21"/>
  <c r="F186" i="21"/>
  <c r="C186" i="21"/>
  <c r="AF185" i="21"/>
  <c r="AD185" i="21"/>
  <c r="AD184" i="21"/>
  <c r="M184" i="21"/>
  <c r="L184" i="21"/>
  <c r="F184" i="21"/>
  <c r="AF184" i="21" s="1"/>
  <c r="AF183" i="21"/>
  <c r="AD183" i="21"/>
  <c r="M183" i="21"/>
  <c r="L183" i="21"/>
  <c r="F183" i="21"/>
  <c r="AF182" i="21"/>
  <c r="AD182" i="21"/>
  <c r="M182" i="21"/>
  <c r="L182" i="21"/>
  <c r="F182" i="21"/>
  <c r="AC179" i="21"/>
  <c r="AB179" i="21"/>
  <c r="AA179" i="21"/>
  <c r="N179" i="21"/>
  <c r="E179" i="21"/>
  <c r="D179" i="21"/>
  <c r="AD177" i="21"/>
  <c r="M177" i="21"/>
  <c r="G177" i="21"/>
  <c r="AF177" i="21" s="1"/>
  <c r="E177" i="21"/>
  <c r="AD176" i="21"/>
  <c r="K176" i="21"/>
  <c r="J176" i="21"/>
  <c r="I176" i="21"/>
  <c r="H176" i="21"/>
  <c r="M176" i="21" s="1"/>
  <c r="G176" i="21"/>
  <c r="F176" i="21"/>
  <c r="AD175" i="21"/>
  <c r="H175" i="21"/>
  <c r="M175" i="21" s="1"/>
  <c r="G175" i="21"/>
  <c r="F175" i="21"/>
  <c r="C175" i="21"/>
  <c r="AD174" i="21"/>
  <c r="M174" i="21"/>
  <c r="L174" i="21"/>
  <c r="F174" i="21"/>
  <c r="AF174" i="21" s="1"/>
  <c r="AD173" i="21"/>
  <c r="K173" i="21"/>
  <c r="J173" i="21"/>
  <c r="I173" i="21"/>
  <c r="H173" i="21"/>
  <c r="M173" i="21" s="1"/>
  <c r="G173" i="21"/>
  <c r="F173" i="21"/>
  <c r="C173" i="21"/>
  <c r="AD172" i="21"/>
  <c r="M172" i="21"/>
  <c r="L172" i="21"/>
  <c r="F172" i="21"/>
  <c r="C172" i="21"/>
  <c r="AF172" i="21" s="1"/>
  <c r="AD171" i="21"/>
  <c r="K171" i="21"/>
  <c r="J171" i="21"/>
  <c r="I171" i="21"/>
  <c r="H171" i="21"/>
  <c r="M171" i="21" s="1"/>
  <c r="G171" i="21"/>
  <c r="F171" i="21"/>
  <c r="C171" i="21"/>
  <c r="AF170" i="21"/>
  <c r="AD170" i="21"/>
  <c r="O170" i="21"/>
  <c r="M170" i="21" s="1"/>
  <c r="L170" i="21"/>
  <c r="F170" i="21"/>
  <c r="AD169" i="21"/>
  <c r="O169" i="21"/>
  <c r="M169" i="21" s="1"/>
  <c r="L169" i="21"/>
  <c r="F169" i="21"/>
  <c r="AF169" i="21" s="1"/>
  <c r="AD168" i="21"/>
  <c r="K168" i="21"/>
  <c r="J168" i="21"/>
  <c r="I168" i="21"/>
  <c r="H168" i="21"/>
  <c r="G168" i="21"/>
  <c r="AF168" i="21" s="1"/>
  <c r="F168" i="21"/>
  <c r="AD167" i="21"/>
  <c r="AD179" i="21" s="1"/>
  <c r="K167" i="21"/>
  <c r="J167" i="21"/>
  <c r="I167" i="21"/>
  <c r="H167" i="21"/>
  <c r="M167" i="21" s="1"/>
  <c r="G167" i="21"/>
  <c r="F167" i="21"/>
  <c r="C167" i="21"/>
  <c r="AD166" i="21"/>
  <c r="M166" i="21"/>
  <c r="L166" i="21"/>
  <c r="F166" i="21"/>
  <c r="F179" i="21" s="1"/>
  <c r="C166" i="21"/>
  <c r="C179" i="21" s="1"/>
  <c r="AD164" i="21"/>
  <c r="O164" i="21"/>
  <c r="L164" i="21"/>
  <c r="F164" i="21"/>
  <c r="AD161" i="21"/>
  <c r="AC161" i="21"/>
  <c r="AB161" i="21"/>
  <c r="AA161" i="21"/>
  <c r="N161" i="21"/>
  <c r="E161" i="21"/>
  <c r="D161" i="21"/>
  <c r="C161" i="21"/>
  <c r="K159" i="21"/>
  <c r="J159" i="21"/>
  <c r="I159" i="21"/>
  <c r="H159" i="21"/>
  <c r="M159" i="21" s="1"/>
  <c r="G159" i="21"/>
  <c r="AF159" i="21" s="1"/>
  <c r="F159" i="21"/>
  <c r="M158" i="21"/>
  <c r="G158" i="21"/>
  <c r="AF158" i="21" s="1"/>
  <c r="E158" i="21"/>
  <c r="K157" i="21"/>
  <c r="J157" i="21"/>
  <c r="I157" i="21"/>
  <c r="H157" i="21"/>
  <c r="M157" i="21" s="1"/>
  <c r="G157" i="21"/>
  <c r="F157" i="21"/>
  <c r="K156" i="21"/>
  <c r="J156" i="21"/>
  <c r="I156" i="21"/>
  <c r="H156" i="21"/>
  <c r="M156" i="21" s="1"/>
  <c r="G156" i="21"/>
  <c r="AF156" i="21" s="1"/>
  <c r="F156" i="21"/>
  <c r="O155" i="21"/>
  <c r="M155" i="21"/>
  <c r="L155" i="21"/>
  <c r="F155" i="21"/>
  <c r="AF155" i="21" s="1"/>
  <c r="K154" i="21"/>
  <c r="J154" i="21"/>
  <c r="I154" i="21"/>
  <c r="H154" i="21"/>
  <c r="M154" i="21" s="1"/>
  <c r="G154" i="21"/>
  <c r="F154" i="21"/>
  <c r="AF153" i="21"/>
  <c r="O153" i="21"/>
  <c r="M153" i="21" s="1"/>
  <c r="L153" i="21"/>
  <c r="F153" i="21"/>
  <c r="K152" i="21"/>
  <c r="J152" i="21"/>
  <c r="I152" i="21"/>
  <c r="H152" i="21"/>
  <c r="M152" i="21" s="1"/>
  <c r="G152" i="21"/>
  <c r="F152" i="21"/>
  <c r="AF151" i="21"/>
  <c r="O151" i="21"/>
  <c r="L151" i="21"/>
  <c r="O150" i="21"/>
  <c r="M150" i="21" s="1"/>
  <c r="L150" i="21"/>
  <c r="F150" i="21"/>
  <c r="AF150" i="21" s="1"/>
  <c r="K149" i="21"/>
  <c r="J149" i="21"/>
  <c r="I149" i="21"/>
  <c r="H149" i="21"/>
  <c r="M149" i="21" s="1"/>
  <c r="G149" i="21"/>
  <c r="F149" i="21"/>
  <c r="K148" i="21"/>
  <c r="J148" i="21"/>
  <c r="I148" i="21"/>
  <c r="H148" i="21"/>
  <c r="G148" i="21"/>
  <c r="F148" i="21"/>
  <c r="O147" i="21"/>
  <c r="L147" i="21"/>
  <c r="F147" i="21"/>
  <c r="O145" i="21"/>
  <c r="L145" i="21"/>
  <c r="F145" i="21"/>
  <c r="F161" i="21" s="1"/>
  <c r="O144" i="21"/>
  <c r="L144" i="21"/>
  <c r="AD141" i="21"/>
  <c r="AC141" i="21"/>
  <c r="AB141" i="21"/>
  <c r="AA141" i="21"/>
  <c r="O141" i="21"/>
  <c r="N141" i="21"/>
  <c r="D141" i="21"/>
  <c r="C141" i="21"/>
  <c r="H139" i="21"/>
  <c r="M139" i="21" s="1"/>
  <c r="G139" i="21"/>
  <c r="H138" i="21"/>
  <c r="G138" i="21"/>
  <c r="AF138" i="21" s="1"/>
  <c r="H137" i="21"/>
  <c r="M137" i="21" s="1"/>
  <c r="G137" i="21"/>
  <c r="K136" i="21"/>
  <c r="J136" i="21"/>
  <c r="H136" i="21"/>
  <c r="M136" i="21" s="1"/>
  <c r="G136" i="21"/>
  <c r="AF136" i="21" s="1"/>
  <c r="H135" i="21"/>
  <c r="M135" i="21" s="1"/>
  <c r="G135" i="21"/>
  <c r="AF135" i="21" s="1"/>
  <c r="E135" i="21"/>
  <c r="E141" i="21" s="1"/>
  <c r="K134" i="21"/>
  <c r="J134" i="21"/>
  <c r="I134" i="21"/>
  <c r="H134" i="21"/>
  <c r="M134" i="21" s="1"/>
  <c r="G134" i="21"/>
  <c r="F134" i="21"/>
  <c r="K133" i="21"/>
  <c r="J133" i="21"/>
  <c r="I133" i="21"/>
  <c r="H133" i="21"/>
  <c r="M133" i="21" s="1"/>
  <c r="G133" i="21"/>
  <c r="F133" i="21"/>
  <c r="K132" i="21"/>
  <c r="J132" i="21"/>
  <c r="I132" i="21"/>
  <c r="H132" i="21"/>
  <c r="M132" i="21" s="1"/>
  <c r="G132" i="21"/>
  <c r="F132" i="21"/>
  <c r="K131" i="21"/>
  <c r="J131" i="21"/>
  <c r="I131" i="21"/>
  <c r="H131" i="21"/>
  <c r="M131" i="21" s="1"/>
  <c r="G131" i="21"/>
  <c r="AF131" i="21" s="1"/>
  <c r="F131" i="21"/>
  <c r="K130" i="21"/>
  <c r="J130" i="21"/>
  <c r="I130" i="21"/>
  <c r="H130" i="21"/>
  <c r="M130" i="21" s="1"/>
  <c r="G130" i="21"/>
  <c r="F130" i="21"/>
  <c r="AF129" i="21"/>
  <c r="M129" i="21"/>
  <c r="L129" i="21"/>
  <c r="F129" i="21"/>
  <c r="AF128" i="21"/>
  <c r="M128" i="21"/>
  <c r="L128" i="21"/>
  <c r="K127" i="21"/>
  <c r="J127" i="21"/>
  <c r="I127" i="21"/>
  <c r="H127" i="21"/>
  <c r="M127" i="21" s="1"/>
  <c r="G127" i="21"/>
  <c r="AF127" i="21" s="1"/>
  <c r="F127" i="21"/>
  <c r="K126" i="21"/>
  <c r="J126" i="21"/>
  <c r="I126" i="21"/>
  <c r="H126" i="21"/>
  <c r="M126" i="21" s="1"/>
  <c r="G126" i="21"/>
  <c r="AF126" i="21" s="1"/>
  <c r="K125" i="21"/>
  <c r="J125" i="21"/>
  <c r="I125" i="21"/>
  <c r="H125" i="21"/>
  <c r="M125" i="21" s="1"/>
  <c r="G125" i="21"/>
  <c r="F125" i="21"/>
  <c r="AF124" i="21"/>
  <c r="M124" i="21"/>
  <c r="L124" i="21"/>
  <c r="F124" i="21"/>
  <c r="AF123" i="21"/>
  <c r="M122" i="21"/>
  <c r="L122" i="21"/>
  <c r="F122" i="21"/>
  <c r="AF122" i="21" s="1"/>
  <c r="K121" i="21"/>
  <c r="J121" i="21"/>
  <c r="I121" i="21"/>
  <c r="H121" i="21"/>
  <c r="M121" i="21" s="1"/>
  <c r="G121" i="21"/>
  <c r="AF121" i="21" s="1"/>
  <c r="F121" i="21"/>
  <c r="AD118" i="21"/>
  <c r="AC118" i="21"/>
  <c r="AB118" i="21"/>
  <c r="AA118" i="21"/>
  <c r="O118" i="21"/>
  <c r="N118" i="21"/>
  <c r="E118" i="21"/>
  <c r="D118" i="21"/>
  <c r="K116" i="21"/>
  <c r="H116" i="21"/>
  <c r="M116" i="21" s="1"/>
  <c r="G116" i="21"/>
  <c r="AF116" i="21" s="1"/>
  <c r="F116" i="21"/>
  <c r="H115" i="21"/>
  <c r="G115" i="21"/>
  <c r="AF115" i="21" s="1"/>
  <c r="F115" i="21"/>
  <c r="M114" i="21"/>
  <c r="G114" i="21"/>
  <c r="L114" i="21" s="1"/>
  <c r="E114" i="21"/>
  <c r="K113" i="21"/>
  <c r="J113" i="21"/>
  <c r="I113" i="21"/>
  <c r="H113" i="21"/>
  <c r="M113" i="21" s="1"/>
  <c r="G113" i="21"/>
  <c r="F113" i="21"/>
  <c r="K112" i="21"/>
  <c r="J112" i="21"/>
  <c r="I112" i="21"/>
  <c r="H112" i="21"/>
  <c r="M112" i="21" s="1"/>
  <c r="G112" i="21"/>
  <c r="F112" i="21"/>
  <c r="C112" i="21"/>
  <c r="C118" i="21" s="1"/>
  <c r="K111" i="21"/>
  <c r="J111" i="21"/>
  <c r="I111" i="21"/>
  <c r="H111" i="21"/>
  <c r="M111" i="21" s="1"/>
  <c r="G111" i="21"/>
  <c r="F111" i="21"/>
  <c r="K110" i="21"/>
  <c r="J110" i="21"/>
  <c r="I110" i="21"/>
  <c r="H110" i="21"/>
  <c r="M110" i="21" s="1"/>
  <c r="G110" i="21"/>
  <c r="AF110" i="21" s="1"/>
  <c r="F110" i="21"/>
  <c r="K109" i="21"/>
  <c r="J109" i="21"/>
  <c r="I109" i="21"/>
  <c r="H109" i="21"/>
  <c r="M109" i="21" s="1"/>
  <c r="G109" i="21"/>
  <c r="AF109" i="21" s="1"/>
  <c r="F109" i="21"/>
  <c r="K108" i="21"/>
  <c r="J108" i="21"/>
  <c r="I108" i="21"/>
  <c r="H108" i="21"/>
  <c r="M108" i="21" s="1"/>
  <c r="G108" i="21"/>
  <c r="F108" i="21"/>
  <c r="AF107" i="21"/>
  <c r="M107" i="21"/>
  <c r="L107" i="21"/>
  <c r="F107" i="21"/>
  <c r="K106" i="21"/>
  <c r="J106" i="21"/>
  <c r="I106" i="21"/>
  <c r="H106" i="21"/>
  <c r="M106" i="21" s="1"/>
  <c r="G106" i="21"/>
  <c r="F106" i="21"/>
  <c r="K105" i="21"/>
  <c r="J105" i="21"/>
  <c r="I105" i="21"/>
  <c r="H105" i="21"/>
  <c r="M105" i="21" s="1"/>
  <c r="G105" i="21"/>
  <c r="F105" i="21"/>
  <c r="K104" i="21"/>
  <c r="J104" i="21"/>
  <c r="I104" i="21"/>
  <c r="H104" i="21"/>
  <c r="M104" i="21" s="1"/>
  <c r="G104" i="21"/>
  <c r="F104" i="21"/>
  <c r="K103" i="21"/>
  <c r="J103" i="21"/>
  <c r="I103" i="21"/>
  <c r="H103" i="21"/>
  <c r="M103" i="21" s="1"/>
  <c r="G103" i="21"/>
  <c r="AF103" i="21" s="1"/>
  <c r="F103" i="21"/>
  <c r="AF102" i="21"/>
  <c r="M101" i="21"/>
  <c r="L101" i="21"/>
  <c r="F101" i="21"/>
  <c r="AF101" i="21" s="1"/>
  <c r="K100" i="21"/>
  <c r="J100" i="21"/>
  <c r="I100" i="21"/>
  <c r="H100" i="21"/>
  <c r="M100" i="21" s="1"/>
  <c r="G100" i="21"/>
  <c r="F100" i="21"/>
  <c r="K99" i="21"/>
  <c r="J99" i="21"/>
  <c r="I99" i="21"/>
  <c r="H99" i="21"/>
  <c r="M99" i="21" s="1"/>
  <c r="G99" i="21"/>
  <c r="AF99" i="21" s="1"/>
  <c r="F99" i="21"/>
  <c r="K98" i="21"/>
  <c r="J98" i="21"/>
  <c r="I98" i="21"/>
  <c r="H98" i="21"/>
  <c r="M98" i="21" s="1"/>
  <c r="G98" i="21"/>
  <c r="F98" i="21"/>
  <c r="K97" i="21"/>
  <c r="J97" i="21"/>
  <c r="I97" i="21"/>
  <c r="H97" i="21"/>
  <c r="G97" i="21"/>
  <c r="F97" i="21"/>
  <c r="AD94" i="21"/>
  <c r="AC94" i="21"/>
  <c r="AB94" i="21"/>
  <c r="AA94" i="21"/>
  <c r="O94" i="21"/>
  <c r="N94" i="21"/>
  <c r="J94" i="21"/>
  <c r="E94" i="21"/>
  <c r="D94" i="21"/>
  <c r="C94" i="21"/>
  <c r="H92" i="21"/>
  <c r="M92" i="21" s="1"/>
  <c r="G92" i="21"/>
  <c r="H91" i="21"/>
  <c r="M91" i="21" s="1"/>
  <c r="G91" i="21"/>
  <c r="K90" i="21"/>
  <c r="H90" i="21"/>
  <c r="M90" i="21" s="1"/>
  <c r="G90" i="21"/>
  <c r="F90" i="21"/>
  <c r="K89" i="21"/>
  <c r="H89" i="21"/>
  <c r="M89" i="21" s="1"/>
  <c r="G89" i="21"/>
  <c r="F89" i="21"/>
  <c r="K88" i="21"/>
  <c r="H88" i="21"/>
  <c r="M88" i="21" s="1"/>
  <c r="G88" i="21"/>
  <c r="F88" i="21"/>
  <c r="K87" i="21"/>
  <c r="H87" i="21"/>
  <c r="M87" i="21" s="1"/>
  <c r="G87" i="21"/>
  <c r="F87" i="21"/>
  <c r="H86" i="21"/>
  <c r="M86" i="21" s="1"/>
  <c r="G86" i="21"/>
  <c r="AF86" i="21" s="1"/>
  <c r="H85" i="21"/>
  <c r="M85" i="21" s="1"/>
  <c r="G85" i="21"/>
  <c r="AF85" i="21" s="1"/>
  <c r="K84" i="21"/>
  <c r="H84" i="21"/>
  <c r="M84" i="21" s="1"/>
  <c r="G84" i="21"/>
  <c r="AF84" i="21" s="1"/>
  <c r="H83" i="21"/>
  <c r="M83" i="21" s="1"/>
  <c r="G83" i="21"/>
  <c r="AF83" i="21" s="1"/>
  <c r="F83" i="21"/>
  <c r="K82" i="21"/>
  <c r="H82" i="21"/>
  <c r="M82" i="21" s="1"/>
  <c r="G82" i="21"/>
  <c r="F82" i="21"/>
  <c r="AF81" i="21"/>
  <c r="M81" i="21"/>
  <c r="H80" i="21"/>
  <c r="M80" i="21" s="1"/>
  <c r="G80" i="21"/>
  <c r="AF80" i="21" s="1"/>
  <c r="F80" i="21"/>
  <c r="H79" i="21"/>
  <c r="M79" i="21" s="1"/>
  <c r="G79" i="21"/>
  <c r="AF79" i="21" s="1"/>
  <c r="F79" i="21"/>
  <c r="K78" i="21"/>
  <c r="H78" i="21"/>
  <c r="M78" i="21" s="1"/>
  <c r="G78" i="21"/>
  <c r="F78" i="21"/>
  <c r="AD75" i="21"/>
  <c r="AC75" i="21"/>
  <c r="AB75" i="21"/>
  <c r="AA75" i="21"/>
  <c r="O75" i="21"/>
  <c r="N75" i="21"/>
  <c r="I75" i="21"/>
  <c r="F75" i="21"/>
  <c r="E75" i="21"/>
  <c r="C75" i="21"/>
  <c r="K73" i="21"/>
  <c r="J73" i="21"/>
  <c r="H73" i="21"/>
  <c r="M73" i="21" s="1"/>
  <c r="G73" i="21"/>
  <c r="D73" i="21"/>
  <c r="K72" i="21"/>
  <c r="J72" i="21"/>
  <c r="H72" i="21"/>
  <c r="M72" i="21" s="1"/>
  <c r="G72" i="21"/>
  <c r="F72" i="21"/>
  <c r="K71" i="21"/>
  <c r="J71" i="21"/>
  <c r="H71" i="21"/>
  <c r="M71" i="21" s="1"/>
  <c r="G71" i="21"/>
  <c r="AF71" i="21" s="1"/>
  <c r="K70" i="21"/>
  <c r="J70" i="21"/>
  <c r="H70" i="21"/>
  <c r="M70" i="21" s="1"/>
  <c r="G70" i="21"/>
  <c r="K69" i="21"/>
  <c r="J69" i="21"/>
  <c r="H69" i="21"/>
  <c r="G69" i="21"/>
  <c r="AF69" i="21" s="1"/>
  <c r="F69" i="21"/>
  <c r="AD66" i="21"/>
  <c r="AC66" i="21"/>
  <c r="AB66" i="21"/>
  <c r="AA66" i="21"/>
  <c r="O66" i="21"/>
  <c r="N66" i="21"/>
  <c r="N334" i="21" s="1"/>
  <c r="N438" i="21" s="1"/>
  <c r="I66" i="21"/>
  <c r="D66" i="21"/>
  <c r="C66" i="21"/>
  <c r="K64" i="21"/>
  <c r="J64" i="21"/>
  <c r="H64" i="21"/>
  <c r="M64" i="21" s="1"/>
  <c r="G64" i="21"/>
  <c r="AF64" i="21" s="1"/>
  <c r="H63" i="21"/>
  <c r="M63" i="21" s="1"/>
  <c r="G63" i="21"/>
  <c r="E63" i="21"/>
  <c r="K62" i="21"/>
  <c r="J62" i="21"/>
  <c r="H62" i="21"/>
  <c r="M62" i="21" s="1"/>
  <c r="G62" i="21"/>
  <c r="AF62" i="21" s="1"/>
  <c r="K61" i="21"/>
  <c r="J61" i="21"/>
  <c r="H61" i="21"/>
  <c r="M61" i="21" s="1"/>
  <c r="G61" i="21"/>
  <c r="AF61" i="21" s="1"/>
  <c r="F61" i="21"/>
  <c r="K60" i="21"/>
  <c r="J60" i="21"/>
  <c r="H60" i="21"/>
  <c r="M60" i="21" s="1"/>
  <c r="G60" i="21"/>
  <c r="F60" i="21"/>
  <c r="K59" i="21"/>
  <c r="J59" i="21"/>
  <c r="H59" i="21"/>
  <c r="M59" i="21" s="1"/>
  <c r="G59" i="21"/>
  <c r="AF59" i="21" s="1"/>
  <c r="F59" i="21"/>
  <c r="K58" i="21"/>
  <c r="J58" i="21"/>
  <c r="H58" i="21"/>
  <c r="M58" i="21" s="1"/>
  <c r="G58" i="21"/>
  <c r="AF58" i="21" s="1"/>
  <c r="K57" i="21"/>
  <c r="J57" i="21"/>
  <c r="H57" i="21"/>
  <c r="M57" i="21" s="1"/>
  <c r="G57" i="21"/>
  <c r="K56" i="21"/>
  <c r="J56" i="21"/>
  <c r="H56" i="21"/>
  <c r="M56" i="21" s="1"/>
  <c r="G56" i="21"/>
  <c r="AF56" i="21" s="1"/>
  <c r="K55" i="21"/>
  <c r="J55" i="21"/>
  <c r="H55" i="21"/>
  <c r="M55" i="21" s="1"/>
  <c r="G55" i="21"/>
  <c r="F55" i="21"/>
  <c r="K54" i="21"/>
  <c r="J54" i="21"/>
  <c r="H54" i="21"/>
  <c r="M54" i="21" s="1"/>
  <c r="G54" i="21"/>
  <c r="K53" i="21"/>
  <c r="J53" i="21"/>
  <c r="H53" i="21"/>
  <c r="M53" i="21" s="1"/>
  <c r="G53" i="21"/>
  <c r="AF53" i="21" s="1"/>
  <c r="K52" i="21"/>
  <c r="J52" i="21"/>
  <c r="H52" i="21"/>
  <c r="M52" i="21" s="1"/>
  <c r="G52" i="21"/>
  <c r="AF51" i="21"/>
  <c r="K50" i="21"/>
  <c r="J50" i="21"/>
  <c r="H50" i="21"/>
  <c r="M50" i="21" s="1"/>
  <c r="G50" i="21"/>
  <c r="AF50" i="21" s="1"/>
  <c r="F50" i="21"/>
  <c r="AE47" i="21"/>
  <c r="AD47" i="21"/>
  <c r="Q47" i="21"/>
  <c r="P47" i="21"/>
  <c r="N47" i="21"/>
  <c r="I47" i="21"/>
  <c r="D47" i="21"/>
  <c r="H45" i="21"/>
  <c r="M45" i="21" s="1"/>
  <c r="G45" i="21"/>
  <c r="AF45" i="21" s="1"/>
  <c r="H44" i="21"/>
  <c r="M44" i="21" s="1"/>
  <c r="G44" i="21"/>
  <c r="H43" i="21"/>
  <c r="M43" i="21" s="1"/>
  <c r="G43" i="21"/>
  <c r="AF43" i="21" s="1"/>
  <c r="H42" i="21"/>
  <c r="M42" i="21" s="1"/>
  <c r="G42" i="21"/>
  <c r="E42" i="21"/>
  <c r="E47" i="21" s="1"/>
  <c r="K41" i="21"/>
  <c r="J41" i="21"/>
  <c r="H41" i="21"/>
  <c r="M41" i="21" s="1"/>
  <c r="G41" i="21"/>
  <c r="AF41" i="21" s="1"/>
  <c r="K40" i="21"/>
  <c r="J40" i="21"/>
  <c r="H40" i="21"/>
  <c r="M40" i="21" s="1"/>
  <c r="G40" i="21"/>
  <c r="AF40" i="21" s="1"/>
  <c r="K39" i="21"/>
  <c r="J39" i="21"/>
  <c r="H39" i="21"/>
  <c r="M39" i="21" s="1"/>
  <c r="G39" i="21"/>
  <c r="K38" i="21"/>
  <c r="J38" i="21"/>
  <c r="H38" i="21"/>
  <c r="M38" i="21" s="1"/>
  <c r="G38" i="21"/>
  <c r="F38" i="21"/>
  <c r="K37" i="21"/>
  <c r="J37" i="21"/>
  <c r="H37" i="21"/>
  <c r="M37" i="21" s="1"/>
  <c r="G37" i="21"/>
  <c r="K36" i="21"/>
  <c r="J36" i="21"/>
  <c r="H36" i="21"/>
  <c r="M36" i="21" s="1"/>
  <c r="G36" i="21"/>
  <c r="AF36" i="21" s="1"/>
  <c r="K35" i="21"/>
  <c r="J35" i="21"/>
  <c r="H35" i="21"/>
  <c r="M35" i="21" s="1"/>
  <c r="G35" i="21"/>
  <c r="AF35" i="21" s="1"/>
  <c r="K34" i="21"/>
  <c r="J34" i="21"/>
  <c r="H34" i="21"/>
  <c r="M34" i="21" s="1"/>
  <c r="G34" i="21"/>
  <c r="AF34" i="21" s="1"/>
  <c r="K33" i="21"/>
  <c r="J33" i="21"/>
  <c r="H33" i="21"/>
  <c r="M33" i="21" s="1"/>
  <c r="G33" i="21"/>
  <c r="F33" i="21"/>
  <c r="K32" i="21"/>
  <c r="J32" i="21"/>
  <c r="H32" i="21"/>
  <c r="M32" i="21" s="1"/>
  <c r="G32" i="21"/>
  <c r="C32" i="21"/>
  <c r="K31" i="21"/>
  <c r="J31" i="21"/>
  <c r="H31" i="21"/>
  <c r="M31" i="21" s="1"/>
  <c r="G31" i="21"/>
  <c r="AF31" i="21" s="1"/>
  <c r="F31" i="21"/>
  <c r="C31" i="21"/>
  <c r="C47" i="21" s="1"/>
  <c r="AF30" i="21"/>
  <c r="O30" i="21"/>
  <c r="O47" i="21" s="1"/>
  <c r="L30" i="21"/>
  <c r="K29" i="21"/>
  <c r="J29" i="21"/>
  <c r="H29" i="21"/>
  <c r="M29" i="21" s="1"/>
  <c r="G29" i="21"/>
  <c r="AF29" i="21" s="1"/>
  <c r="K28" i="21"/>
  <c r="J28" i="21"/>
  <c r="H28" i="21"/>
  <c r="G28" i="21"/>
  <c r="F28" i="21"/>
  <c r="AE25" i="21"/>
  <c r="AD25" i="21"/>
  <c r="Q25" i="21"/>
  <c r="P25" i="21"/>
  <c r="O25" i="21"/>
  <c r="N25" i="21"/>
  <c r="K25" i="21"/>
  <c r="J25" i="21"/>
  <c r="I25" i="21"/>
  <c r="I94" i="21" s="1"/>
  <c r="F25" i="21"/>
  <c r="E25" i="21"/>
  <c r="D25" i="21"/>
  <c r="H23" i="21"/>
  <c r="M23" i="21" s="1"/>
  <c r="G23" i="21"/>
  <c r="C23" i="21"/>
  <c r="H22" i="21"/>
  <c r="M22" i="21" s="1"/>
  <c r="G22" i="21"/>
  <c r="AF22" i="21" s="1"/>
  <c r="H21" i="21"/>
  <c r="M21" i="21" s="1"/>
  <c r="G21" i="21"/>
  <c r="AF21" i="21" s="1"/>
  <c r="H20" i="21"/>
  <c r="M20" i="21" s="1"/>
  <c r="G20" i="21"/>
  <c r="AF20" i="21" s="1"/>
  <c r="H19" i="21"/>
  <c r="M19" i="21" s="1"/>
  <c r="G19" i="21"/>
  <c r="AF19" i="21" s="1"/>
  <c r="H18" i="21"/>
  <c r="G18" i="21"/>
  <c r="AF18" i="21" s="1"/>
  <c r="C18" i="21"/>
  <c r="H17" i="21"/>
  <c r="M17" i="21" s="1"/>
  <c r="G17" i="21"/>
  <c r="H16" i="21"/>
  <c r="M16" i="21" s="1"/>
  <c r="G16" i="21"/>
  <c r="H15" i="21"/>
  <c r="M15" i="21" s="1"/>
  <c r="G15" i="21"/>
  <c r="AF15" i="21" s="1"/>
  <c r="H14" i="21"/>
  <c r="M14" i="21" s="1"/>
  <c r="G14" i="21"/>
  <c r="AF14" i="21" s="1"/>
  <c r="H13" i="21"/>
  <c r="M13" i="21" s="1"/>
  <c r="G13" i="21"/>
  <c r="AF13" i="21" s="1"/>
  <c r="H12" i="21"/>
  <c r="M12" i="21" s="1"/>
  <c r="G12" i="21"/>
  <c r="AF12" i="21" s="1"/>
  <c r="H11" i="21"/>
  <c r="G11" i="21"/>
  <c r="AF11" i="21" s="1"/>
  <c r="H10" i="21"/>
  <c r="M10" i="21" s="1"/>
  <c r="G10" i="21"/>
  <c r="AF10" i="21" s="1"/>
  <c r="C10" i="21"/>
  <c r="C25" i="21" s="1"/>
  <c r="H9" i="21"/>
  <c r="M9" i="21" s="1"/>
  <c r="G9" i="21"/>
  <c r="AF9" i="21" s="1"/>
  <c r="C9" i="21"/>
  <c r="AF8" i="21"/>
  <c r="H7" i="21"/>
  <c r="M7" i="21" s="1"/>
  <c r="G7" i="21"/>
  <c r="L137" i="21" l="1"/>
  <c r="J243" i="21"/>
  <c r="L378" i="21"/>
  <c r="AF113" i="21"/>
  <c r="AF88" i="21"/>
  <c r="L91" i="21"/>
  <c r="AF106" i="21"/>
  <c r="L408" i="21"/>
  <c r="L373" i="21"/>
  <c r="M421" i="21"/>
  <c r="L42" i="21"/>
  <c r="AF385" i="21"/>
  <c r="AF55" i="21"/>
  <c r="L80" i="21"/>
  <c r="AF63" i="21"/>
  <c r="O216" i="21"/>
  <c r="M216" i="21" s="1"/>
  <c r="AF132" i="21"/>
  <c r="AF134" i="21"/>
  <c r="AF108" i="21"/>
  <c r="L89" i="21"/>
  <c r="L78" i="21"/>
  <c r="G421" i="21"/>
  <c r="AF421" i="21" s="1"/>
  <c r="L427" i="21"/>
  <c r="O429" i="21"/>
  <c r="O431" i="21" s="1"/>
  <c r="O433" i="21" s="1"/>
  <c r="L419" i="21"/>
  <c r="L11" i="21"/>
  <c r="AF137" i="21"/>
  <c r="AF176" i="21"/>
  <c r="AF409" i="21"/>
  <c r="AF418" i="21"/>
  <c r="AF370" i="21"/>
  <c r="L138" i="21"/>
  <c r="L221" i="21"/>
  <c r="L418" i="21"/>
  <c r="L371" i="21"/>
  <c r="G402" i="21"/>
  <c r="AF402" i="21" s="1"/>
  <c r="L139" i="21"/>
  <c r="M291" i="21"/>
  <c r="M306" i="21" s="1"/>
  <c r="H402" i="21"/>
  <c r="L45" i="21"/>
  <c r="L154" i="21"/>
  <c r="L64" i="21"/>
  <c r="L54" i="21"/>
  <c r="AF125" i="21"/>
  <c r="H360" i="21"/>
  <c r="J402" i="21"/>
  <c r="L72" i="21"/>
  <c r="L100" i="21"/>
  <c r="L130" i="21"/>
  <c r="AF230" i="21"/>
  <c r="I332" i="21"/>
  <c r="H243" i="21"/>
  <c r="J332" i="21"/>
  <c r="AF400" i="21"/>
  <c r="L173" i="21"/>
  <c r="I243" i="21"/>
  <c r="I421" i="21"/>
  <c r="O298" i="21"/>
  <c r="L32" i="21"/>
  <c r="L73" i="21"/>
  <c r="AF154" i="21"/>
  <c r="L167" i="21"/>
  <c r="AF175" i="21"/>
  <c r="J366" i="21"/>
  <c r="J421" i="21"/>
  <c r="L16" i="21"/>
  <c r="L20" i="21"/>
  <c r="L39" i="21"/>
  <c r="L105" i="21"/>
  <c r="H161" i="21"/>
  <c r="AF157" i="21"/>
  <c r="AF240" i="21"/>
  <c r="L358" i="21"/>
  <c r="J393" i="21"/>
  <c r="AF410" i="21"/>
  <c r="K421" i="21"/>
  <c r="L121" i="21"/>
  <c r="K332" i="21"/>
  <c r="AF139" i="21"/>
  <c r="L127" i="21"/>
  <c r="AF378" i="21"/>
  <c r="L12" i="21"/>
  <c r="AF91" i="21"/>
  <c r="AF38" i="21"/>
  <c r="K94" i="21"/>
  <c r="AF87" i="21"/>
  <c r="AF209" i="21"/>
  <c r="K375" i="21"/>
  <c r="AF408" i="21"/>
  <c r="AF89" i="21"/>
  <c r="AF195" i="21"/>
  <c r="L350" i="21"/>
  <c r="G431" i="21"/>
  <c r="AF431" i="21" s="1"/>
  <c r="AF72" i="21"/>
  <c r="L156" i="21"/>
  <c r="L176" i="21"/>
  <c r="I223" i="21"/>
  <c r="K243" i="21"/>
  <c r="G393" i="21"/>
  <c r="AF388" i="21"/>
  <c r="H75" i="21"/>
  <c r="L19" i="21"/>
  <c r="AF33" i="21"/>
  <c r="L41" i="21"/>
  <c r="O314" i="21"/>
  <c r="O332" i="21" s="1"/>
  <c r="I431" i="21"/>
  <c r="L428" i="21"/>
  <c r="J75" i="21"/>
  <c r="M138" i="21"/>
  <c r="M141" i="21" s="1"/>
  <c r="AF167" i="21"/>
  <c r="L390" i="21"/>
  <c r="L410" i="21"/>
  <c r="L43" i="21"/>
  <c r="L113" i="21"/>
  <c r="J161" i="21"/>
  <c r="G201" i="21"/>
  <c r="L208" i="21"/>
  <c r="L217" i="21"/>
  <c r="F243" i="21"/>
  <c r="L338" i="21"/>
  <c r="L345" i="21"/>
  <c r="K360" i="21"/>
  <c r="H366" i="21"/>
  <c r="G381" i="21"/>
  <c r="AF381" i="21" s="1"/>
  <c r="L386" i="21"/>
  <c r="L388" i="21"/>
  <c r="AF428" i="21"/>
  <c r="L71" i="21"/>
  <c r="L106" i="21"/>
  <c r="L135" i="21"/>
  <c r="AF419" i="21"/>
  <c r="L7" i="21"/>
  <c r="AF23" i="21"/>
  <c r="L69" i="21"/>
  <c r="AF97" i="21"/>
  <c r="L116" i="21"/>
  <c r="K161" i="21"/>
  <c r="L199" i="21"/>
  <c r="L251" i="21"/>
  <c r="L262" i="21" s="1"/>
  <c r="G262" i="21"/>
  <c r="AF268" i="21"/>
  <c r="H332" i="21"/>
  <c r="M356" i="21"/>
  <c r="M360" i="21" s="1"/>
  <c r="K366" i="21"/>
  <c r="L406" i="21"/>
  <c r="H431" i="21"/>
  <c r="M427" i="21"/>
  <c r="L18" i="21"/>
  <c r="L56" i="21"/>
  <c r="I161" i="21"/>
  <c r="H25" i="21"/>
  <c r="L23" i="21"/>
  <c r="AF32" i="21"/>
  <c r="L36" i="21"/>
  <c r="M69" i="21"/>
  <c r="M75" i="21" s="1"/>
  <c r="L83" i="21"/>
  <c r="L87" i="21"/>
  <c r="AF105" i="21"/>
  <c r="L110" i="21"/>
  <c r="AF114" i="21"/>
  <c r="L126" i="21"/>
  <c r="L132" i="21"/>
  <c r="AF149" i="21"/>
  <c r="L171" i="21"/>
  <c r="L187" i="21"/>
  <c r="L193" i="21"/>
  <c r="M251" i="21"/>
  <c r="M262" i="21" s="1"/>
  <c r="AF373" i="21"/>
  <c r="AF389" i="21"/>
  <c r="G435" i="21"/>
  <c r="D435" i="21" s="1"/>
  <c r="J431" i="21"/>
  <c r="M353" i="21"/>
  <c r="L61" i="21"/>
  <c r="L103" i="21"/>
  <c r="J141" i="21"/>
  <c r="L152" i="21"/>
  <c r="H179" i="21"/>
  <c r="L209" i="21"/>
  <c r="H285" i="21"/>
  <c r="K347" i="21"/>
  <c r="J353" i="21"/>
  <c r="J360" i="21"/>
  <c r="L398" i="21"/>
  <c r="M435" i="21"/>
  <c r="L10" i="21"/>
  <c r="G47" i="21"/>
  <c r="L37" i="21"/>
  <c r="L59" i="21"/>
  <c r="L90" i="21"/>
  <c r="H94" i="21"/>
  <c r="J118" i="21"/>
  <c r="AF100" i="21"/>
  <c r="L109" i="21"/>
  <c r="K141" i="21"/>
  <c r="L134" i="21"/>
  <c r="L157" i="21"/>
  <c r="L159" i="21"/>
  <c r="AF199" i="21"/>
  <c r="L204" i="21"/>
  <c r="L313" i="21"/>
  <c r="K353" i="21"/>
  <c r="H353" i="21"/>
  <c r="AF390" i="21"/>
  <c r="I402" i="21"/>
  <c r="G413" i="21"/>
  <c r="AF413" i="21" s="1"/>
  <c r="L411" i="21"/>
  <c r="L17" i="21"/>
  <c r="H47" i="21"/>
  <c r="L99" i="21"/>
  <c r="L111" i="21"/>
  <c r="L131" i="21"/>
  <c r="L149" i="21"/>
  <c r="J179" i="21"/>
  <c r="L168" i="21"/>
  <c r="K223" i="21"/>
  <c r="M230" i="21"/>
  <c r="M243" i="21" s="1"/>
  <c r="AF306" i="21"/>
  <c r="L314" i="21"/>
  <c r="AF372" i="21"/>
  <c r="H381" i="21"/>
  <c r="AF384" i="21"/>
  <c r="L400" i="21"/>
  <c r="AF427" i="21"/>
  <c r="AF39" i="21"/>
  <c r="L53" i="21"/>
  <c r="L62" i="21"/>
  <c r="AF82" i="21"/>
  <c r="AF98" i="21"/>
  <c r="AF104" i="21"/>
  <c r="L108" i="21"/>
  <c r="L115" i="21"/>
  <c r="I141" i="21"/>
  <c r="O168" i="21"/>
  <c r="O179" i="21" s="1"/>
  <c r="AF171" i="21"/>
  <c r="G179" i="21"/>
  <c r="AF179" i="21" s="1"/>
  <c r="AF187" i="21"/>
  <c r="AF196" i="21"/>
  <c r="AF291" i="21"/>
  <c r="G340" i="21"/>
  <c r="AF340" i="21" s="1"/>
  <c r="G347" i="21"/>
  <c r="AF347" i="21" s="1"/>
  <c r="G375" i="21"/>
  <c r="AF375" i="21" s="1"/>
  <c r="L389" i="21"/>
  <c r="L391" i="21"/>
  <c r="K402" i="21"/>
  <c r="L416" i="21"/>
  <c r="H421" i="21"/>
  <c r="J66" i="21"/>
  <c r="L98" i="21"/>
  <c r="L104" i="21"/>
  <c r="M381" i="21"/>
  <c r="AF54" i="21"/>
  <c r="L13" i="21"/>
  <c r="L29" i="21"/>
  <c r="L79" i="21"/>
  <c r="AF130" i="21"/>
  <c r="AF173" i="21"/>
  <c r="L216" i="21"/>
  <c r="L291" i="21"/>
  <c r="L306" i="21" s="1"/>
  <c r="L337" i="21"/>
  <c r="L372" i="21"/>
  <c r="I393" i="21"/>
  <c r="L343" i="21"/>
  <c r="L268" i="21"/>
  <c r="L285" i="21" s="1"/>
  <c r="L31" i="21"/>
  <c r="J285" i="21"/>
  <c r="L34" i="21"/>
  <c r="L63" i="21"/>
  <c r="M11" i="21"/>
  <c r="J47" i="21"/>
  <c r="G118" i="21"/>
  <c r="AF118" i="21" s="1"/>
  <c r="L33" i="21"/>
  <c r="M196" i="21"/>
  <c r="M201" i="21" s="1"/>
  <c r="L196" i="21"/>
  <c r="AF42" i="21"/>
  <c r="M94" i="21"/>
  <c r="M97" i="21"/>
  <c r="H118" i="21"/>
  <c r="F223" i="21"/>
  <c r="J223" i="21"/>
  <c r="AE285" i="21"/>
  <c r="AC347" i="21"/>
  <c r="AF356" i="21"/>
  <c r="L356" i="21"/>
  <c r="G360" i="21"/>
  <c r="AF360" i="21" s="1"/>
  <c r="AF369" i="21"/>
  <c r="L369" i="21"/>
  <c r="AF7" i="21"/>
  <c r="L15" i="21"/>
  <c r="AF17" i="21"/>
  <c r="L22" i="21"/>
  <c r="AF37" i="21"/>
  <c r="F66" i="21"/>
  <c r="C334" i="21"/>
  <c r="D75" i="21"/>
  <c r="AF73" i="21"/>
  <c r="I118" i="21"/>
  <c r="I179" i="21"/>
  <c r="AD201" i="21"/>
  <c r="J201" i="21"/>
  <c r="M285" i="21"/>
  <c r="H340" i="21"/>
  <c r="M337" i="21"/>
  <c r="M340" i="21" s="1"/>
  <c r="M347" i="21"/>
  <c r="M375" i="21"/>
  <c r="L384" i="21"/>
  <c r="AF391" i="21"/>
  <c r="M115" i="21"/>
  <c r="M66" i="21"/>
  <c r="AF70" i="21"/>
  <c r="L70" i="21"/>
  <c r="AF92" i="21"/>
  <c r="L92" i="21"/>
  <c r="L136" i="21"/>
  <c r="G25" i="21"/>
  <c r="G66" i="21"/>
  <c r="AF57" i="21"/>
  <c r="L57" i="21"/>
  <c r="L82" i="21"/>
  <c r="L88" i="21"/>
  <c r="K201" i="21"/>
  <c r="M384" i="21"/>
  <c r="M393" i="21" s="1"/>
  <c r="H393" i="21"/>
  <c r="L435" i="21"/>
  <c r="F47" i="21"/>
  <c r="H66" i="21"/>
  <c r="L55" i="21"/>
  <c r="E66" i="21"/>
  <c r="E334" i="21" s="1"/>
  <c r="E438" i="21" s="1"/>
  <c r="K75" i="21"/>
  <c r="K118" i="21"/>
  <c r="AF111" i="21"/>
  <c r="AF148" i="21"/>
  <c r="K179" i="21"/>
  <c r="AF208" i="21"/>
  <c r="L407" i="21"/>
  <c r="L424" i="21"/>
  <c r="K431" i="21"/>
  <c r="G161" i="21"/>
  <c r="AF161" i="21" s="1"/>
  <c r="L148" i="21"/>
  <c r="I285" i="21"/>
  <c r="L267" i="21"/>
  <c r="AF198" i="21"/>
  <c r="C447" i="21"/>
  <c r="C443" i="21" s="1"/>
  <c r="K393" i="21"/>
  <c r="L397" i="21"/>
  <c r="H223" i="21"/>
  <c r="O209" i="21"/>
  <c r="F285" i="21"/>
  <c r="AF265" i="21"/>
  <c r="L344" i="21"/>
  <c r="H375" i="21"/>
  <c r="F118" i="21"/>
  <c r="L38" i="21"/>
  <c r="K66" i="21"/>
  <c r="L9" i="21"/>
  <c r="L50" i="21"/>
  <c r="L14" i="21"/>
  <c r="AF16" i="21"/>
  <c r="L21" i="21"/>
  <c r="L28" i="21"/>
  <c r="AF60" i="21"/>
  <c r="G94" i="21"/>
  <c r="AF133" i="21"/>
  <c r="L175" i="21"/>
  <c r="F262" i="21"/>
  <c r="AF281" i="21"/>
  <c r="K306" i="21"/>
  <c r="O297" i="21"/>
  <c r="AD332" i="21"/>
  <c r="D433" i="21"/>
  <c r="M366" i="21"/>
  <c r="L370" i="21"/>
  <c r="L385" i="21"/>
  <c r="AF393" i="21"/>
  <c r="M18" i="21"/>
  <c r="K47" i="21"/>
  <c r="M28" i="21"/>
  <c r="M47" i="21" s="1"/>
  <c r="L35" i="21"/>
  <c r="L40" i="21"/>
  <c r="L60" i="21"/>
  <c r="G75" i="21"/>
  <c r="L133" i="21"/>
  <c r="F141" i="21"/>
  <c r="O161" i="21"/>
  <c r="M151" i="21"/>
  <c r="AA334" i="21"/>
  <c r="AD243" i="21"/>
  <c r="AF351" i="21"/>
  <c r="L357" i="21"/>
  <c r="AF44" i="21"/>
  <c r="L44" i="21"/>
  <c r="L86" i="21"/>
  <c r="G141" i="21"/>
  <c r="L125" i="21"/>
  <c r="L230" i="21"/>
  <c r="G243" i="21"/>
  <c r="AF28" i="21"/>
  <c r="AF52" i="21"/>
  <c r="L52" i="21"/>
  <c r="L58" i="21"/>
  <c r="H141" i="21"/>
  <c r="F201" i="21"/>
  <c r="AB334" i="21"/>
  <c r="G223" i="21"/>
  <c r="AF223" i="21" s="1"/>
  <c r="H347" i="21"/>
  <c r="G353" i="21"/>
  <c r="AF353" i="21" s="1"/>
  <c r="L351" i="21"/>
  <c r="G366" i="21"/>
  <c r="AF366" i="21" s="1"/>
  <c r="AF364" i="21"/>
  <c r="L364" i="21"/>
  <c r="AD402" i="21"/>
  <c r="H413" i="21"/>
  <c r="M413" i="21"/>
  <c r="AC433" i="21"/>
  <c r="F94" i="21"/>
  <c r="AF78" i="21"/>
  <c r="G285" i="21"/>
  <c r="L265" i="21"/>
  <c r="AF90" i="21"/>
  <c r="L97" i="21"/>
  <c r="L112" i="21"/>
  <c r="AF152" i="21"/>
  <c r="H201" i="21"/>
  <c r="L195" i="21"/>
  <c r="AC334" i="21"/>
  <c r="L379" i="21"/>
  <c r="L381" i="21" s="1"/>
  <c r="F393" i="21"/>
  <c r="F433" i="21" s="1"/>
  <c r="L426" i="21"/>
  <c r="C594" i="21"/>
  <c r="L84" i="21"/>
  <c r="AF166" i="21"/>
  <c r="K262" i="21"/>
  <c r="AF379" i="21"/>
  <c r="G332" i="21"/>
  <c r="AF332" i="21" s="1"/>
  <c r="L409" i="21"/>
  <c r="M426" i="21"/>
  <c r="M431" i="21" s="1"/>
  <c r="M148" i="21"/>
  <c r="AF112" i="21"/>
  <c r="O219" i="21"/>
  <c r="K413" i="21"/>
  <c r="AF426" i="21"/>
  <c r="I201" i="21"/>
  <c r="L85" i="21"/>
  <c r="L241" i="21"/>
  <c r="L363" i="21"/>
  <c r="O306" i="21" l="1"/>
  <c r="I433" i="21"/>
  <c r="L421" i="21"/>
  <c r="M168" i="21"/>
  <c r="M179" i="21" s="1"/>
  <c r="J334" i="21"/>
  <c r="L332" i="21"/>
  <c r="L161" i="21"/>
  <c r="AF243" i="21"/>
  <c r="O223" i="21"/>
  <c r="O334" i="21" s="1"/>
  <c r="O438" i="21" s="1"/>
  <c r="O441" i="21" s="1"/>
  <c r="L340" i="21"/>
  <c r="AF94" i="21"/>
  <c r="L66" i="21"/>
  <c r="L353" i="21"/>
  <c r="L179" i="21"/>
  <c r="L347" i="21"/>
  <c r="J433" i="21"/>
  <c r="L360" i="21"/>
  <c r="AF75" i="21"/>
  <c r="L201" i="21"/>
  <c r="M433" i="21"/>
  <c r="AF285" i="21"/>
  <c r="L94" i="21"/>
  <c r="M209" i="21"/>
  <c r="M223" i="21" s="1"/>
  <c r="L25" i="21"/>
  <c r="L243" i="21"/>
  <c r="AF262" i="21"/>
  <c r="L402" i="21"/>
  <c r="L413" i="21"/>
  <c r="L141" i="21"/>
  <c r="H433" i="21"/>
  <c r="M25" i="21"/>
  <c r="K433" i="21"/>
  <c r="AF201" i="21"/>
  <c r="L75" i="21"/>
  <c r="L375" i="21"/>
  <c r="L223" i="21"/>
  <c r="I334" i="21"/>
  <c r="I438" i="21" s="1"/>
  <c r="G334" i="21"/>
  <c r="AA375" i="21"/>
  <c r="AA366" i="21"/>
  <c r="AA353" i="21"/>
  <c r="AA381" i="21"/>
  <c r="AA438" i="21"/>
  <c r="AA360" i="21"/>
  <c r="L47" i="21"/>
  <c r="G433" i="21"/>
  <c r="AF433" i="21" s="1"/>
  <c r="D334" i="21"/>
  <c r="D438" i="21" s="1"/>
  <c r="L366" i="21"/>
  <c r="AC375" i="21"/>
  <c r="AC381" i="21"/>
  <c r="AC438" i="21"/>
  <c r="AC360" i="21"/>
  <c r="AC366" i="21"/>
  <c r="AC353" i="21"/>
  <c r="H334" i="21"/>
  <c r="L431" i="21"/>
  <c r="L393" i="21"/>
  <c r="M118" i="21"/>
  <c r="AF66" i="21"/>
  <c r="C438" i="21"/>
  <c r="AB366" i="21"/>
  <c r="AB353" i="21"/>
  <c r="AB381" i="21"/>
  <c r="AB438" i="21"/>
  <c r="AB375" i="21"/>
  <c r="AB360" i="21"/>
  <c r="AF141" i="21"/>
  <c r="F334" i="21"/>
  <c r="F438" i="21" s="1"/>
  <c r="L118" i="21"/>
  <c r="AC340" i="21"/>
  <c r="K334" i="21"/>
  <c r="M161" i="21"/>
  <c r="AD334" i="21"/>
  <c r="AD340" i="21" s="1"/>
  <c r="AE340" i="21"/>
  <c r="AE347" i="21" s="1"/>
  <c r="O12" i="15"/>
  <c r="AE7" i="15"/>
  <c r="AZ12" i="15"/>
  <c r="BT12" i="15"/>
  <c r="AI12" i="15"/>
  <c r="AZ11" i="15"/>
  <c r="AQ11" i="15"/>
  <c r="BP12" i="15"/>
  <c r="AA12" i="15"/>
  <c r="BD12" i="15" l="1"/>
  <c r="BC71" i="15"/>
  <c r="BH12" i="15"/>
  <c r="BG71" i="15"/>
  <c r="BL12" i="15"/>
  <c r="BK71" i="15"/>
  <c r="W12" i="15"/>
  <c r="R12" i="15"/>
  <c r="S12" i="15" s="1"/>
  <c r="J438" i="21"/>
  <c r="K438" i="21"/>
  <c r="L433" i="21"/>
  <c r="AF334" i="21"/>
  <c r="M334" i="21"/>
  <c r="M438" i="21" s="1"/>
  <c r="L334" i="21"/>
  <c r="C445" i="21"/>
  <c r="C441" i="21" s="1"/>
  <c r="H438" i="21"/>
  <c r="AD366" i="21"/>
  <c r="AD353" i="21"/>
  <c r="AD381" i="21"/>
  <c r="AD438" i="21"/>
  <c r="AD360" i="21"/>
  <c r="AD375" i="21"/>
  <c r="AD347" i="21"/>
  <c r="G438" i="21"/>
  <c r="AF438" i="21" s="1"/>
  <c r="AD71" i="15" l="1"/>
  <c r="L438" i="21"/>
  <c r="C584" i="21" s="1"/>
  <c r="C587" i="21" s="1"/>
  <c r="AE12" i="15"/>
  <c r="C446" i="21"/>
  <c r="C442" i="21" s="1"/>
  <c r="C440" i="21" s="1"/>
  <c r="F599" i="21" s="1"/>
  <c r="AF439" i="21"/>
  <c r="Z11" i="15"/>
  <c r="Y11" i="15"/>
  <c r="Q11" i="15" s="1"/>
  <c r="V11" i="15"/>
  <c r="BN11" i="15"/>
  <c r="BO11" i="15"/>
  <c r="BS11" i="15"/>
  <c r="BX11" i="15"/>
  <c r="AE11" i="15"/>
  <c r="O11" i="15"/>
  <c r="AT71" i="15" l="1"/>
  <c r="BT11" i="15"/>
  <c r="AU11" i="15"/>
  <c r="BP11" i="15"/>
  <c r="W11" i="15"/>
  <c r="Q71" i="15"/>
  <c r="R11" i="15"/>
  <c r="AA11" i="15"/>
  <c r="BW71" i="15"/>
  <c r="BV71" i="15"/>
  <c r="BN71" i="15"/>
  <c r="AS71" i="15"/>
  <c r="Z10" i="15"/>
  <c r="V10" i="15"/>
  <c r="BO10" i="15"/>
  <c r="BP10" i="15" s="1"/>
  <c r="BX10" i="15"/>
  <c r="BX71" i="15" s="1"/>
  <c r="AI11" i="15" l="1"/>
  <c r="S11" i="15"/>
  <c r="BP71" i="15"/>
  <c r="R10" i="15"/>
  <c r="S10" i="15" s="1"/>
  <c r="AU10" i="15"/>
  <c r="AU71" i="15" s="1"/>
  <c r="BO71" i="15"/>
  <c r="N34" i="16"/>
  <c r="E21" i="16"/>
  <c r="C28" i="16"/>
  <c r="E22" i="16" s="1"/>
  <c r="E9" i="16"/>
  <c r="E8" i="16"/>
  <c r="BS10" i="15"/>
  <c r="AO71" i="15"/>
  <c r="AK71" i="15"/>
  <c r="AC71" i="15"/>
  <c r="N71" i="15"/>
  <c r="M71" i="15"/>
  <c r="H71" i="15"/>
  <c r="G71" i="15"/>
  <c r="F71" i="15"/>
  <c r="E71" i="15"/>
  <c r="D71" i="15"/>
  <c r="C71" i="15"/>
  <c r="J69" i="15"/>
  <c r="I69" i="15"/>
  <c r="J68" i="15"/>
  <c r="K68" i="15" s="1"/>
  <c r="J67" i="15"/>
  <c r="I67" i="15"/>
  <c r="K66" i="15"/>
  <c r="J65" i="15"/>
  <c r="I65" i="15"/>
  <c r="J64" i="15"/>
  <c r="K64" i="15" s="1"/>
  <c r="J63" i="15"/>
  <c r="I63" i="15"/>
  <c r="J62" i="15"/>
  <c r="K62" i="15" s="1"/>
  <c r="J61" i="15"/>
  <c r="I61" i="15"/>
  <c r="J60" i="15"/>
  <c r="K60" i="15" s="1"/>
  <c r="J59" i="15"/>
  <c r="I59" i="15"/>
  <c r="J58" i="15"/>
  <c r="K58" i="15" s="1"/>
  <c r="J57" i="15"/>
  <c r="I57" i="15"/>
  <c r="J56" i="15"/>
  <c r="K56" i="15" s="1"/>
  <c r="J55" i="15"/>
  <c r="I55" i="15"/>
  <c r="J54" i="15"/>
  <c r="K54" i="15" s="1"/>
  <c r="J53" i="15"/>
  <c r="I53" i="15"/>
  <c r="J52" i="15"/>
  <c r="K52" i="15" s="1"/>
  <c r="J51" i="15"/>
  <c r="I51" i="15"/>
  <c r="J50" i="15"/>
  <c r="K50" i="15" s="1"/>
  <c r="J49" i="15"/>
  <c r="I49" i="15"/>
  <c r="J48" i="15"/>
  <c r="K48" i="15" s="1"/>
  <c r="J47" i="15"/>
  <c r="I47" i="15"/>
  <c r="J46" i="15"/>
  <c r="K46" i="15" s="1"/>
  <c r="J45" i="15"/>
  <c r="I45" i="15"/>
  <c r="J44" i="15"/>
  <c r="K44" i="15" s="1"/>
  <c r="J43" i="15"/>
  <c r="I43" i="15"/>
  <c r="J42" i="15"/>
  <c r="K42" i="15" s="1"/>
  <c r="J41" i="15"/>
  <c r="I41" i="15"/>
  <c r="J40" i="15"/>
  <c r="K40" i="15" s="1"/>
  <c r="J39" i="15"/>
  <c r="I39" i="15"/>
  <c r="J38" i="15"/>
  <c r="K38" i="15" s="1"/>
  <c r="J37" i="15"/>
  <c r="I37" i="15"/>
  <c r="J36" i="15"/>
  <c r="K36" i="15" s="1"/>
  <c r="J35" i="15"/>
  <c r="I35" i="15"/>
  <c r="J34" i="15"/>
  <c r="K34" i="15" s="1"/>
  <c r="J33" i="15"/>
  <c r="I33" i="15"/>
  <c r="J32" i="15"/>
  <c r="K32" i="15" s="1"/>
  <c r="J31" i="15"/>
  <c r="I31" i="15"/>
  <c r="J30" i="15"/>
  <c r="K30" i="15" s="1"/>
  <c r="J29" i="15"/>
  <c r="I29" i="15"/>
  <c r="J28" i="15"/>
  <c r="K28" i="15" s="1"/>
  <c r="J27" i="15"/>
  <c r="I27" i="15"/>
  <c r="J26" i="15"/>
  <c r="K26" i="15" s="1"/>
  <c r="J25" i="15"/>
  <c r="I25" i="15"/>
  <c r="J24" i="15"/>
  <c r="K24" i="15" s="1"/>
  <c r="J23" i="15"/>
  <c r="I23" i="15"/>
  <c r="J22" i="15"/>
  <c r="K22" i="15" s="1"/>
  <c r="J21" i="15"/>
  <c r="I21" i="15"/>
  <c r="J20" i="15"/>
  <c r="K20" i="15" s="1"/>
  <c r="J19" i="15"/>
  <c r="I19" i="15"/>
  <c r="J18" i="15"/>
  <c r="K18" i="15" s="1"/>
  <c r="J17" i="15"/>
  <c r="I17" i="15"/>
  <c r="J16" i="15"/>
  <c r="K16" i="15" s="1"/>
  <c r="J15" i="15"/>
  <c r="I15" i="15"/>
  <c r="J14" i="15"/>
  <c r="K14" i="15" s="1"/>
  <c r="J13" i="15"/>
  <c r="I13" i="15"/>
  <c r="J12" i="15"/>
  <c r="K12" i="15" s="1"/>
  <c r="BJ71" i="15"/>
  <c r="BB71" i="15"/>
  <c r="AX71" i="15"/>
  <c r="J11" i="15"/>
  <c r="I11" i="15"/>
  <c r="BL10" i="15"/>
  <c r="BH10" i="15"/>
  <c r="AM10" i="15"/>
  <c r="AE10" i="15"/>
  <c r="AA10" i="15"/>
  <c r="W10" i="15"/>
  <c r="O10" i="15"/>
  <c r="J10" i="15"/>
  <c r="K10" i="15" s="1"/>
  <c r="BT10" i="15" l="1"/>
  <c r="AH71" i="15"/>
  <c r="R71" i="15"/>
  <c r="K63" i="15"/>
  <c r="K37" i="15"/>
  <c r="K47" i="15"/>
  <c r="K35" i="15"/>
  <c r="K27" i="15"/>
  <c r="K45" i="15"/>
  <c r="K23" i="15"/>
  <c r="BL71" i="15"/>
  <c r="K19" i="15"/>
  <c r="K15" i="15"/>
  <c r="K43" i="15"/>
  <c r="K21" i="15"/>
  <c r="K25" i="15"/>
  <c r="BS71" i="15"/>
  <c r="K33" i="15"/>
  <c r="K65" i="15"/>
  <c r="K29" i="15"/>
  <c r="K51" i="15"/>
  <c r="K53" i="15"/>
  <c r="K55" i="15"/>
  <c r="K57" i="15"/>
  <c r="K59" i="15"/>
  <c r="I71" i="15"/>
  <c r="Y71" i="15"/>
  <c r="AE71" i="15"/>
  <c r="BD10" i="15"/>
  <c r="BD71" i="15" s="1"/>
  <c r="AM71" i="15"/>
  <c r="K31" i="15"/>
  <c r="K49" i="15"/>
  <c r="K13" i="15"/>
  <c r="K17" i="15"/>
  <c r="K39" i="15"/>
  <c r="S71" i="15"/>
  <c r="K41" i="15"/>
  <c r="K61" i="15"/>
  <c r="O71" i="15"/>
  <c r="U71" i="15"/>
  <c r="K67" i="15"/>
  <c r="J71" i="15"/>
  <c r="V71" i="15"/>
  <c r="K69" i="15"/>
  <c r="AY71" i="15"/>
  <c r="BH71" i="15"/>
  <c r="Z71" i="15"/>
  <c r="AQ71" i="15"/>
  <c r="BT71" i="15"/>
  <c r="K11" i="15"/>
  <c r="BF71" i="15"/>
  <c r="AZ10" i="15"/>
  <c r="W71" i="15" l="1"/>
  <c r="K71" i="15"/>
  <c r="AA71" i="15"/>
  <c r="AG71" i="15"/>
  <c r="AZ71" i="15"/>
  <c r="AI10" i="15"/>
  <c r="AI71" i="15" l="1"/>
  <c r="C447" i="25" l="1"/>
  <c r="C443" i="25" l="1"/>
  <c r="C448" i="25"/>
  <c r="C444" i="25" s="1"/>
  <c r="C442" i="25" s="1"/>
  <c r="F688" i="25" s="1"/>
  <c r="K189" i="25" l="1"/>
  <c r="K203" i="25" s="1"/>
  <c r="I126" i="25"/>
  <c r="K315" i="25"/>
  <c r="K334" i="25" s="1"/>
  <c r="J189" i="25"/>
  <c r="J203" i="25" s="1"/>
  <c r="J315" i="25"/>
  <c r="J334" i="25" s="1"/>
  <c r="K232" i="25"/>
  <c r="K245" i="25" s="1"/>
  <c r="I189" i="25"/>
  <c r="J53" i="25"/>
  <c r="K73" i="25"/>
  <c r="K76" i="25" s="1"/>
  <c r="J358" i="25"/>
  <c r="K53" i="25"/>
  <c r="K67" i="25" s="1"/>
  <c r="K358" i="25"/>
  <c r="K362" i="25" s="1"/>
  <c r="K435" i="25" s="1"/>
  <c r="J169" i="25"/>
  <c r="J181" i="25" s="1"/>
  <c r="K169" i="25"/>
  <c r="K181" i="25" s="1"/>
  <c r="I169" i="25"/>
  <c r="J73" i="25"/>
  <c r="K210" i="25"/>
  <c r="K225" i="25" s="1"/>
  <c r="I105" i="25"/>
  <c r="K126" i="25"/>
  <c r="K143" i="25" s="1"/>
  <c r="I315" i="25"/>
  <c r="I232" i="25"/>
  <c r="J210" i="25"/>
  <c r="J225" i="25" s="1"/>
  <c r="J150" i="25"/>
  <c r="J163" i="25" s="1"/>
  <c r="J105" i="25"/>
  <c r="J119" i="25" s="1"/>
  <c r="K150" i="25"/>
  <c r="K163" i="25" s="1"/>
  <c r="K253" i="25"/>
  <c r="K264" i="25" s="1"/>
  <c r="I210" i="25"/>
  <c r="I150" i="25"/>
  <c r="K105" i="25"/>
  <c r="K119" i="25" s="1"/>
  <c r="J232" i="25"/>
  <c r="J245" i="25" s="1"/>
  <c r="J253" i="25"/>
  <c r="J264" i="25" s="1"/>
  <c r="I253" i="25"/>
  <c r="J126" i="25"/>
  <c r="J143" i="25" s="1"/>
  <c r="I119" i="25" l="1"/>
  <c r="L105" i="25"/>
  <c r="L119" i="25" s="1"/>
  <c r="K336" i="25"/>
  <c r="K440" i="25" s="1"/>
  <c r="I163" i="25"/>
  <c r="L150" i="25"/>
  <c r="L163" i="25" s="1"/>
  <c r="J76" i="25"/>
  <c r="L73" i="25"/>
  <c r="L76" i="25" s="1"/>
  <c r="L358" i="25"/>
  <c r="L362" i="25" s="1"/>
  <c r="L435" i="25" s="1"/>
  <c r="J362" i="25"/>
  <c r="J435" i="25" s="1"/>
  <c r="L210" i="25"/>
  <c r="L225" i="25" s="1"/>
  <c r="I225" i="25"/>
  <c r="L232" i="25"/>
  <c r="L245" i="25" s="1"/>
  <c r="I245" i="25"/>
  <c r="I181" i="25"/>
  <c r="L169" i="25"/>
  <c r="L181" i="25" s="1"/>
  <c r="L253" i="25"/>
  <c r="L264" i="25" s="1"/>
  <c r="I264" i="25"/>
  <c r="I334" i="25"/>
  <c r="L315" i="25"/>
  <c r="L334" i="25" s="1"/>
  <c r="J67" i="25"/>
  <c r="J336" i="25" s="1"/>
  <c r="L53" i="25"/>
  <c r="L67" i="25" s="1"/>
  <c r="L126" i="25"/>
  <c r="L143" i="25" s="1"/>
  <c r="I143" i="25"/>
  <c r="I203" i="25"/>
  <c r="L189" i="25"/>
  <c r="L203" i="25" s="1"/>
  <c r="J440" i="25" l="1"/>
  <c r="L336" i="25"/>
  <c r="L440" i="25" s="1"/>
  <c r="C601" i="25" s="1"/>
  <c r="C604" i="25" s="1"/>
  <c r="I336" i="25"/>
  <c r="I440"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Cindy Lui</author>
  </authors>
  <commentList>
    <comment ref="BR8" authorId="0" shapeId="0" xr:uid="{5CB25C84-7B5E-48CD-AFC6-A36403C557A5}">
      <text>
        <r>
          <rPr>
            <b/>
            <sz val="9"/>
            <color indexed="81"/>
            <rFont val="Tahoma"/>
            <family val="2"/>
          </rPr>
          <t>Cindy Lui:</t>
        </r>
        <r>
          <rPr>
            <sz val="9"/>
            <color indexed="81"/>
            <rFont val="Tahoma"/>
            <family val="2"/>
          </rPr>
          <t xml:space="preserve">
UMB 42nd Amendment + USM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Cindy Lui</author>
    <author>tc={13DF9AA1-CE8F-4BE5-93D1-65423CCED8B1}</author>
  </authors>
  <commentList>
    <comment ref="B445" authorId="0" shapeId="0" xr:uid="{D30E0B30-08C8-4E38-BBA2-1FDAB2CCDF32}">
      <text>
        <r>
          <rPr>
            <b/>
            <sz val="9"/>
            <color indexed="81"/>
            <rFont val="Tahoma"/>
            <family val="2"/>
          </rPr>
          <t>Cindy Lui:</t>
        </r>
        <r>
          <rPr>
            <sz val="9"/>
            <color indexed="81"/>
            <rFont val="Tahoma"/>
            <family val="2"/>
          </rPr>
          <t xml:space="preserve">
exclude UMB FR 42nd Amendment
</t>
        </r>
      </text>
    </comment>
    <comment ref="B446" authorId="0" shapeId="0" xr:uid="{27249FDD-2435-41ED-84B8-388EAF6ADB99}">
      <text>
        <r>
          <rPr>
            <b/>
            <sz val="9"/>
            <color indexed="81"/>
            <rFont val="Tahoma"/>
            <family val="2"/>
          </rPr>
          <t>Cindy Lui:</t>
        </r>
        <r>
          <rPr>
            <sz val="9"/>
            <color indexed="81"/>
            <rFont val="Tahoma"/>
            <family val="2"/>
          </rPr>
          <t xml:space="preserve">
include UMB 42nd Amendment FR</t>
        </r>
      </text>
    </comment>
    <comment ref="B447" authorId="1" shapeId="0" xr:uid="{13DF9AA1-CE8F-4BE5-93D1-65423CCED8B1}">
      <text>
        <t>[Threaded comment]
Your version of Excel allows you to read this threaded comment; however, any edits to it will get removed if the file is opened in a newer version of Excel. Learn more: https://go.microsoft.com/fwlink/?linkid=870924
Comment:
    UMCP 42nd amnd North Campus Dining Hall
UMCP 42nd amnd New Residence Hall
UMCP 42nd Two New Residence Halls
UMCP 42nd North Campus Dining Hall Replacement
UMCP 41st Two New Residence Halls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Cindy Lui</author>
    <author>tc={842D598C-17EC-4175-9230-3D4FF03AF13E}</author>
  </authors>
  <commentList>
    <comment ref="B447" authorId="0" shapeId="0" xr:uid="{4F14D0D8-F0BD-4DB6-85A6-B54CA2F046FB}">
      <text>
        <r>
          <rPr>
            <b/>
            <sz val="9"/>
            <color indexed="81"/>
            <rFont val="Tahoma"/>
            <family val="2"/>
          </rPr>
          <t>Cindy Lui:</t>
        </r>
        <r>
          <rPr>
            <sz val="9"/>
            <color indexed="81"/>
            <rFont val="Tahoma"/>
            <family val="2"/>
          </rPr>
          <t xml:space="preserve">
exclude UMB FR 42nd Amendment
</t>
        </r>
      </text>
    </comment>
    <comment ref="B448" authorId="0" shapeId="0" xr:uid="{B32E35EB-9C6F-4825-BB15-D9088D4C9A94}">
      <text>
        <r>
          <rPr>
            <b/>
            <sz val="9"/>
            <color indexed="81"/>
            <rFont val="Tahoma"/>
            <family val="2"/>
          </rPr>
          <t>Cindy Lui:</t>
        </r>
        <r>
          <rPr>
            <sz val="9"/>
            <color indexed="81"/>
            <rFont val="Tahoma"/>
            <family val="2"/>
          </rPr>
          <t xml:space="preserve">
include UMB 42nd Amendment FR</t>
        </r>
      </text>
    </comment>
    <comment ref="B449" authorId="1" shapeId="0" xr:uid="{842D598C-17EC-4175-9230-3D4FF03AF13E}">
      <text>
        <t>[Threaded comment]
Your version of Excel allows you to read this threaded comment; however, any edits to it will get removed if the file is opened in a newer version of Excel. Learn more: https://go.microsoft.com/fwlink/?linkid=870924
Comment:
    UMCP 42nd amnd North Campus Dining Hall
UMCP 42nd amnd New Residence Hall
UMCP 42nd Two New Residence Halls
UMCP 42nd North Campus Dining Hall Replacement
UMCP 41st Two New Residence Halls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Cindy Lui</author>
    <author>tc={50F17AC3-1382-48BB-A10F-97603147A9F2}</author>
  </authors>
  <commentList>
    <comment ref="B447" authorId="0" shapeId="0" xr:uid="{0C48DA3E-7E72-45A0-9404-A85CD1894722}">
      <text>
        <r>
          <rPr>
            <b/>
            <sz val="9"/>
            <color indexed="81"/>
            <rFont val="Tahoma"/>
            <family val="2"/>
          </rPr>
          <t>Cindy Lui:</t>
        </r>
        <r>
          <rPr>
            <sz val="9"/>
            <color indexed="81"/>
            <rFont val="Tahoma"/>
            <family val="2"/>
          </rPr>
          <t xml:space="preserve">
exclude UMB FR 42nd Amendment
</t>
        </r>
      </text>
    </comment>
    <comment ref="B448" authorId="0" shapeId="0" xr:uid="{AE6BDFF3-D5AC-4155-B03C-805D4E39606A}">
      <text>
        <r>
          <rPr>
            <b/>
            <sz val="9"/>
            <color indexed="81"/>
            <rFont val="Tahoma"/>
            <family val="2"/>
          </rPr>
          <t>Cindy Lui:</t>
        </r>
        <r>
          <rPr>
            <sz val="9"/>
            <color indexed="81"/>
            <rFont val="Tahoma"/>
            <family val="2"/>
          </rPr>
          <t xml:space="preserve">
include UMB 42nd Amendment FR</t>
        </r>
      </text>
    </comment>
    <comment ref="B449" authorId="1" shapeId="0" xr:uid="{50F17AC3-1382-48BB-A10F-97603147A9F2}">
      <text>
        <t>[Threaded comment]
Your version of Excel allows you to read this threaded comment; however, any edits to it will get removed if the file is opened in a newer version of Excel. Learn more: https://go.microsoft.com/fwlink/?linkid=870924
Comment:
    UMCP 42nd amnd North Campus Dining Hall
UMCP 42nd amnd New Residence Hall
UMCP 42nd Two New Residence Halls
UMCP 42nd North Campus Dining Hall Replacement
UMCP 41st Two New Residence Halls</t>
      </text>
    </comment>
  </commentList>
</comments>
</file>

<file path=xl/sharedStrings.xml><?xml version="1.0" encoding="utf-8"?>
<sst xmlns="http://schemas.openxmlformats.org/spreadsheetml/2006/main" count="3782" uniqueCount="477">
  <si>
    <t>Payment</t>
  </si>
  <si>
    <t>Date</t>
  </si>
  <si>
    <t>Principal</t>
  </si>
  <si>
    <t>Interest</t>
  </si>
  <si>
    <t>Total</t>
  </si>
  <si>
    <t xml:space="preserve"> </t>
  </si>
  <si>
    <t xml:space="preserve">       UMB Facilities Renewal (Academic) </t>
  </si>
  <si>
    <t>UMCP</t>
  </si>
  <si>
    <t>UMB</t>
  </si>
  <si>
    <t>UMBI</t>
  </si>
  <si>
    <t>UMES</t>
  </si>
  <si>
    <t>UMBC</t>
  </si>
  <si>
    <t>UMCES</t>
  </si>
  <si>
    <t>BSU</t>
  </si>
  <si>
    <t>CSU</t>
  </si>
  <si>
    <t>FSU</t>
  </si>
  <si>
    <t>SU</t>
  </si>
  <si>
    <t>TU</t>
  </si>
  <si>
    <t>UB</t>
  </si>
  <si>
    <t xml:space="preserve">          Distribution of Debt Services</t>
  </si>
  <si>
    <t xml:space="preserve">       University System of Maryland</t>
  </si>
  <si>
    <t xml:space="preserve">     TU Union Addition/Renovation (Auxiliary)</t>
  </si>
  <si>
    <t xml:space="preserve">  UMCP N. Campus Dining Hall Replace (Aux)</t>
  </si>
  <si>
    <t xml:space="preserve">      UMCP Two New Residence Halls (Aux)</t>
  </si>
  <si>
    <t>37th Acad</t>
  </si>
  <si>
    <t>29th Acad</t>
  </si>
  <si>
    <t>39th Aux</t>
  </si>
  <si>
    <t>38th Aux</t>
  </si>
  <si>
    <t xml:space="preserve">       FSU Five Dorm Renovation (Auxiliary)</t>
  </si>
  <si>
    <t>Debt Svc from Earnings\Accrued Int\Plant Fund</t>
  </si>
  <si>
    <t>40th Acad</t>
  </si>
  <si>
    <t>41st Acad</t>
  </si>
  <si>
    <t>USM</t>
  </si>
  <si>
    <t>41st Aux</t>
  </si>
  <si>
    <t xml:space="preserve"> TU Glen Towers &amp; Addition &amp; Renov (Auxiliary)</t>
  </si>
  <si>
    <t>Principal-Total</t>
  </si>
  <si>
    <t>Interest-Total</t>
  </si>
  <si>
    <t>42nd Acad</t>
  </si>
  <si>
    <t>33rd Acad</t>
  </si>
  <si>
    <t xml:space="preserve">            </t>
  </si>
  <si>
    <t>43rd Acad</t>
  </si>
  <si>
    <t>37th Aux</t>
  </si>
  <si>
    <t>40th Aux</t>
  </si>
  <si>
    <t xml:space="preserve">     UMES Natural Gas Conversion (Aux)</t>
  </si>
  <si>
    <t xml:space="preserve">    2022 Series A Bond Funded Projects</t>
  </si>
  <si>
    <t xml:space="preserve">                                                                                 Total Debt Services - 2022A</t>
  </si>
  <si>
    <t xml:space="preserve">         Total Facilities Renewal - 2022A</t>
  </si>
  <si>
    <t xml:space="preserve">      Total UMCP Housing Projects - 2022A</t>
  </si>
  <si>
    <t xml:space="preserve">        Total Academic Projects - 2022A</t>
  </si>
  <si>
    <t xml:space="preserve">           Total Auxiliary Projects - 2022A</t>
  </si>
  <si>
    <t>2022 Series A Bonds</t>
  </si>
  <si>
    <t>revised</t>
  </si>
  <si>
    <t>UMB Facilities Renewal Projs -42nd Amendments</t>
  </si>
  <si>
    <t>new</t>
  </si>
  <si>
    <t>University System of Maryland</t>
  </si>
  <si>
    <t>Distribution of Debt Services</t>
  </si>
  <si>
    <t>2021 Series A Bond Funded Projects</t>
  </si>
  <si>
    <t>42nd Amendment Bond - UMB Facilities Renewal Projects (move from 10-years to 20-years bond and charge as auxillary projects)</t>
  </si>
  <si>
    <t>Charge as Auxillary</t>
  </si>
  <si>
    <t>Reduce Acad Amount:</t>
  </si>
  <si>
    <t>UMB Facilities Renewal Projs-Acad Adjustment 10 yrs</t>
  </si>
  <si>
    <t>revised - exclude 42nd Amendment</t>
  </si>
  <si>
    <t>original - include 42nd Amendment &amp; regular</t>
  </si>
  <si>
    <t>10 years - acad</t>
  </si>
  <si>
    <t>original</t>
  </si>
  <si>
    <t>change it to 20 years</t>
  </si>
  <si>
    <t>acad</t>
  </si>
  <si>
    <t>aux</t>
  </si>
  <si>
    <t>remain 10 years as acad</t>
  </si>
  <si>
    <t>return to acad</t>
  </si>
  <si>
    <t>charge</t>
  </si>
  <si>
    <r>
      <t xml:space="preserve">UMB Facilities Renewal </t>
    </r>
    <r>
      <rPr>
        <sz val="10"/>
        <color rgb="FFFF0000"/>
        <rFont val="Arial"/>
        <family val="2"/>
      </rPr>
      <t>42nd Amendment (Aux)</t>
    </r>
  </si>
  <si>
    <t xml:space="preserve">                 2022A - 10 Year Bond</t>
  </si>
  <si>
    <t xml:space="preserve">                 2022A - 30 Year Bond</t>
  </si>
  <si>
    <t>20 Year Bond</t>
  </si>
  <si>
    <t>30 Year Bond</t>
  </si>
  <si>
    <t>10 Year Bond</t>
  </si>
  <si>
    <t xml:space="preserve">      2022A - 30 Year Bond</t>
  </si>
  <si>
    <t xml:space="preserve">      2022A - 20 Year Bond</t>
  </si>
  <si>
    <t xml:space="preserve">      2022A - 10 Year Bond</t>
  </si>
  <si>
    <t>2022A Bond - Total</t>
  </si>
  <si>
    <t xml:space="preserve">Please don't </t>
  </si>
  <si>
    <t xml:space="preserve">delete </t>
  </si>
  <si>
    <t>As of 3/13/23</t>
  </si>
  <si>
    <t>Project Name</t>
  </si>
  <si>
    <t>Original</t>
  </si>
  <si>
    <t>Incr/Decr</t>
  </si>
  <si>
    <t>Allocation USM</t>
  </si>
  <si>
    <t>Paid from</t>
  </si>
  <si>
    <t>Authorization</t>
  </si>
  <si>
    <t>Payment from</t>
  </si>
  <si>
    <t>Balance to be</t>
  </si>
  <si>
    <t>FY2024</t>
  </si>
  <si>
    <t>FY2023</t>
  </si>
  <si>
    <t>FY2022</t>
  </si>
  <si>
    <t xml:space="preserve">these </t>
  </si>
  <si>
    <t>FY17</t>
  </si>
  <si>
    <t>Emergency</t>
  </si>
  <si>
    <t>Prior Issues</t>
  </si>
  <si>
    <t>from 2022A</t>
  </si>
  <si>
    <t>Plant Fund</t>
  </si>
  <si>
    <t>Excess Proceed</t>
  </si>
  <si>
    <t>System Cash</t>
  </si>
  <si>
    <t>Financed</t>
  </si>
  <si>
    <t>Activity</t>
  </si>
  <si>
    <t>columns</t>
  </si>
  <si>
    <t>2017A</t>
  </si>
  <si>
    <t>ck figure</t>
  </si>
  <si>
    <t>45th Resolution Academic Projects (FY2024) - BOD 06/07/23</t>
  </si>
  <si>
    <t>36th Resolution Academic Projects (FY2015) - BOD 6/19/14</t>
  </si>
  <si>
    <t>UMCP Infrastructure Project</t>
  </si>
  <si>
    <t>Not-FR</t>
  </si>
  <si>
    <t>USM Facilities Renewal:</t>
  </si>
  <si>
    <t>UMCP Facilities Renewal</t>
  </si>
  <si>
    <t>UMB Facilities Renewal</t>
  </si>
  <si>
    <t>UMES Facilities Renewal</t>
  </si>
  <si>
    <t>UMBC Facilities Renewal</t>
  </si>
  <si>
    <t>UMCES Facilities Renewal</t>
  </si>
  <si>
    <t>BSU Facilities Renewal</t>
  </si>
  <si>
    <t>CSU Facilities Renewal</t>
  </si>
  <si>
    <t>FSU Facilities Renewal</t>
  </si>
  <si>
    <t>SU Facilities Renewal</t>
  </si>
  <si>
    <t>TU Facilities Renewal</t>
  </si>
  <si>
    <t>UB Facilities Renewal</t>
  </si>
  <si>
    <t>USG Campus Building Improvement</t>
  </si>
  <si>
    <t>USM-H Building/System Improvement</t>
  </si>
  <si>
    <t>USMSM Building/System Improvement</t>
  </si>
  <si>
    <t>USM Fac Renewal Emergency Fund-unallocated:</t>
  </si>
  <si>
    <t>Subtotal 45th Resolution Academic Projects</t>
  </si>
  <si>
    <t>Subtotal 36th Resolution Academic Projects</t>
  </si>
  <si>
    <t>44th Resolution Academic Projects (FY2023) - BOD 06/09/22</t>
  </si>
  <si>
    <t>UMES Campus Flood Mitigation Project</t>
  </si>
  <si>
    <t>USG Campus Wide Capital Facilities Renewal</t>
  </si>
  <si>
    <t>USM-H Campus Wide Capital Facilities Renewal</t>
  </si>
  <si>
    <t>USMSM Campus Wide Capital Facilities Renewal</t>
  </si>
  <si>
    <t>Subtotal 44th Resolution Academic Projects</t>
  </si>
  <si>
    <t>43rd Resolution Academic Projects (FY2022) - BOD 06/17/21</t>
  </si>
  <si>
    <t xml:space="preserve">SU Facilities Renewal </t>
  </si>
  <si>
    <t>Subtotal 43rd Resolution Academic Projects</t>
  </si>
  <si>
    <r>
      <t xml:space="preserve">42nd Resolution </t>
    </r>
    <r>
      <rPr>
        <b/>
        <sz val="10"/>
        <color rgb="FFFF0000"/>
        <rFont val="Arial"/>
        <family val="2"/>
      </rPr>
      <t>Amendment</t>
    </r>
    <r>
      <rPr>
        <b/>
        <sz val="10"/>
        <rFont val="Arial"/>
        <family val="2"/>
      </rPr>
      <t xml:space="preserve"> Academic Projects (FY2021) - BOD 11/13/20</t>
    </r>
  </si>
  <si>
    <t>UMCP Chemistry Building Wing 2,3,5</t>
  </si>
  <si>
    <t>UMCP Public Policy Building</t>
  </si>
  <si>
    <t>UMCP Physics Building</t>
  </si>
  <si>
    <t>USG/UMB School of Nursing</t>
  </si>
  <si>
    <t>Subtotal 42nd Amendment Resolution Academic Projects</t>
  </si>
  <si>
    <t>42nd Resolution Academic Projects (FY2021) - BOD 06/10/20</t>
  </si>
  <si>
    <t>UMCP Campuswide Building and Infrastructure</t>
  </si>
  <si>
    <t>UMES Flood Mitigation</t>
  </si>
  <si>
    <t>FSU Education &amp; Health Sciences</t>
  </si>
  <si>
    <t>Subtotal 42nd Resolution Academic Projects</t>
  </si>
  <si>
    <t>41st Resolution Academic Projects (FY2020) - BOD 06/21/19</t>
  </si>
  <si>
    <t>UMES Pharmacy and Health Professions</t>
  </si>
  <si>
    <t>UMBC Utility Upgrades</t>
  </si>
  <si>
    <t>USM S.MD Higher Education Center Building III</t>
  </si>
  <si>
    <t>TU New Science Facility</t>
  </si>
  <si>
    <t>UMES Nature Gas Projects</t>
  </si>
  <si>
    <t>USG Service Center and Nursing</t>
  </si>
  <si>
    <t>Subtotal 41st Resolution Academic Projects</t>
  </si>
  <si>
    <t>40th Resolution Academic Projects (FY2019) - BOD 06/22/18</t>
  </si>
  <si>
    <t>UMBC Interdisciplinary Life Science Building</t>
  </si>
  <si>
    <t>Acad</t>
  </si>
  <si>
    <t>FR</t>
  </si>
  <si>
    <t>UMCP Chiller Replacement</t>
  </si>
  <si>
    <t>USMSM Concrete Replacement</t>
  </si>
  <si>
    <t>UMES Gas Conversion Project</t>
  </si>
  <si>
    <t>USG Building 2 Interior Renovations</t>
  </si>
  <si>
    <t>Subtotal 40th Resolution Academic Projects</t>
  </si>
  <si>
    <t>39th Resolution Academic Projects (FY2018) - BOD 06/08/17</t>
  </si>
  <si>
    <t>UMCP New Bioengineering Building</t>
  </si>
  <si>
    <t>UMCP Brendan Iribe Center for Computer Science</t>
  </si>
  <si>
    <t>UMES Trigg Hall Small Animal Facility Renov</t>
  </si>
  <si>
    <t>Subtotal 39th Resolution Academic Projects</t>
  </si>
  <si>
    <t>38th Resolution Academic Projects (FY2017) - BOD 06/10/16</t>
  </si>
  <si>
    <t>Subtotal 38th Resolution Academic Projects</t>
  </si>
  <si>
    <t>37th Resolution Academic Projects (FY2016) - BOD 06/11/15</t>
  </si>
  <si>
    <t>UMCP Campuswide Building System and Infrastructure Improvements</t>
  </si>
  <si>
    <t>SU New Academic Commons</t>
  </si>
  <si>
    <t xml:space="preserve">CSU 15KV Feeder Replacement </t>
  </si>
  <si>
    <t>Subtotal 37th Resolution Academic Projects</t>
  </si>
  <si>
    <t>UMCP Campus-Wide Building System and Infrastructure</t>
  </si>
  <si>
    <t>UMCP H.J. Patterson Hall - Wing 1 Renov.</t>
  </si>
  <si>
    <t>LS</t>
  </si>
  <si>
    <t>CSU JWJ Auditorium Scope of Work</t>
  </si>
  <si>
    <t>UMCES Beaven Hall Repair</t>
  </si>
  <si>
    <t>UMCP Elkins Building Foundation Repair</t>
  </si>
  <si>
    <t>35th Resolution Academic Projects (FY2014) - BOD 6/21/13</t>
  </si>
  <si>
    <t>CSU New Science and Technology Center</t>
  </si>
  <si>
    <t>UMES Engineering &amp; Mapping study for flood protection</t>
  </si>
  <si>
    <t>Subtotal 35th Resolution Academic Projects</t>
  </si>
  <si>
    <t>34th Resolution Academic Projects (FY2013) - BOD 6/22/12</t>
  </si>
  <si>
    <t>UMCP Campus-Wide Building System and Infrastructure Improvements</t>
  </si>
  <si>
    <t>UMBC Renovation, electrical upgrade, HVAC and life safety improvements, ultiple buildings</t>
  </si>
  <si>
    <t>Subtotal 34th Resolution Academic Projects</t>
  </si>
  <si>
    <t>33rd Resolution Academic Projects (FY2012)</t>
  </si>
  <si>
    <t>UMBC New Performing Arts &amp; Humanities Facility</t>
  </si>
  <si>
    <t>UMB Fire Alarm Emergency</t>
  </si>
  <si>
    <t>UMBC Renovation, electrical upgrade, HVAC…etc</t>
  </si>
  <si>
    <t>UMCES Bulkhead Rehabilitation</t>
  </si>
  <si>
    <t>UMCES Shorline Restoration</t>
  </si>
  <si>
    <t>CSU Electrical Utility Repairs</t>
  </si>
  <si>
    <t>Subtotal 33rd Resolution Academic Projects</t>
  </si>
  <si>
    <t>32nd Resolution Academic Projects (FY2011)</t>
  </si>
  <si>
    <t>TU New College of Liberal Arts</t>
  </si>
  <si>
    <t>UMB Medical School Teaching Facility Upgrades</t>
  </si>
  <si>
    <t>UMCES MDE AREL Oil Spill Replacement</t>
  </si>
  <si>
    <t>UMCES MD Center for Environmental Science - Horn Point</t>
  </si>
  <si>
    <t>Subtotal 32nd Resolution Academic Projects</t>
  </si>
  <si>
    <t>29th Resolution Academic Projects (FY2010)</t>
  </si>
  <si>
    <t>BSU Fine and Performing Arts Center</t>
  </si>
  <si>
    <t>TU College of Liberal Arts Complex</t>
  </si>
  <si>
    <t>UMBI Facilities Renewal</t>
  </si>
  <si>
    <t>UMCP Emergency - MAES Fuel Tanks.</t>
  </si>
  <si>
    <t>BSU Emergency Project - McKeldin Facility</t>
  </si>
  <si>
    <t>CSU Connor Building Renovation</t>
  </si>
  <si>
    <t>CSU Strom Drainage Design for Talon Center</t>
  </si>
  <si>
    <t>FSU Frampton Hall Roof Replacement</t>
  </si>
  <si>
    <t>FSU Performing Arts Center Lighting Upgrade for Energy Efficiency</t>
  </si>
  <si>
    <t>Subtotal 29th Resolution Academic Projects</t>
  </si>
  <si>
    <t>Total of Academic Projects</t>
  </si>
  <si>
    <t>Total Acad</t>
  </si>
  <si>
    <t>45th Resolution Auxiliary Projects approved 06/07/23 (FY2024)</t>
  </si>
  <si>
    <t xml:space="preserve">UMCP S Campus Housing Utility and Infrstrasture </t>
  </si>
  <si>
    <t>TU 401 Washington Renovation</t>
  </si>
  <si>
    <t>Subtotal 45th Resol Auxiliary Projects</t>
  </si>
  <si>
    <t>Subtotal 36th Resolution Auxiliary Projects</t>
  </si>
  <si>
    <t>44th Resolution Auxiliary Projects approved 06/09/22 (FY2023)</t>
  </si>
  <si>
    <t>UMCP High Rise Residence Halls Renovation PH</t>
  </si>
  <si>
    <t>TU Glen Towers Addition and Renovation</t>
  </si>
  <si>
    <t>Subtotal 44th Resol Auxiliary Projects</t>
  </si>
  <si>
    <r>
      <t xml:space="preserve">43rd Resolution </t>
    </r>
    <r>
      <rPr>
        <b/>
        <sz val="10"/>
        <color rgb="FFFF0000"/>
        <rFont val="Arial"/>
        <family val="2"/>
      </rPr>
      <t>Amendments</t>
    </r>
    <r>
      <rPr>
        <b/>
        <sz val="10"/>
        <rFont val="Arial"/>
        <family val="2"/>
      </rPr>
      <t xml:space="preserve"> Auxiliary Projects approved 11/12/21 (FY2022)</t>
    </r>
  </si>
  <si>
    <t>UMES Natural Gas Conversion</t>
  </si>
  <si>
    <t>TU University Union Expansion and Renovation</t>
  </si>
  <si>
    <t>Subtotal 43rd Resol Amendments Auxiliary Projects</t>
  </si>
  <si>
    <t>43rd Resolution Auxiliary Projects approved 06/17/21 (FY2022)</t>
  </si>
  <si>
    <t>UMB Saratoga Garage Structural &amp; Building System Repairs</t>
  </si>
  <si>
    <t>FSU Residence Hall Renovations</t>
  </si>
  <si>
    <t>TU Glen Towers Addition and Renovations</t>
  </si>
  <si>
    <t>Subtotal 43rd Auxiliary Projects</t>
  </si>
  <si>
    <r>
      <t xml:space="preserve">42nd Resolution </t>
    </r>
    <r>
      <rPr>
        <b/>
        <sz val="10"/>
        <color indexed="10"/>
        <rFont val="Arial"/>
        <family val="2"/>
        <charset val="204"/>
      </rPr>
      <t>Amendments</t>
    </r>
    <r>
      <rPr>
        <b/>
        <sz val="10"/>
        <rFont val="Arial"/>
        <family val="2"/>
      </rPr>
      <t xml:space="preserve"> Auxiliary Projects approved 11/13/20 (FY21)</t>
    </r>
  </si>
  <si>
    <t>UMCP North Campus Dining Hall</t>
  </si>
  <si>
    <t>UMCP New Residence Hall</t>
  </si>
  <si>
    <t>Subtotal 42nd Resol Amendments Auxiliary Projects</t>
  </si>
  <si>
    <t>42nd Resolution Auxiliary Projects approved 06/10/20 (FY2021)</t>
  </si>
  <si>
    <t>UMCP Two New Residence Halls</t>
  </si>
  <si>
    <t>UMCP North Campus Dining Hall Replacement</t>
  </si>
  <si>
    <t>UMBC Retriever Activities Center Renewal</t>
  </si>
  <si>
    <t>TU Union Addition/Renovation</t>
  </si>
  <si>
    <t>Subtotal 42nd Resolution Auxiliary Projects</t>
  </si>
  <si>
    <r>
      <t xml:space="preserve">41st Resolution </t>
    </r>
    <r>
      <rPr>
        <b/>
        <sz val="10"/>
        <color indexed="10"/>
        <rFont val="Arial"/>
        <family val="2"/>
        <charset val="204"/>
      </rPr>
      <t>Amendments</t>
    </r>
    <r>
      <rPr>
        <b/>
        <sz val="10"/>
        <rFont val="Arial"/>
        <family val="2"/>
      </rPr>
      <t xml:space="preserve"> Auxiliary Projects approved 9/20 and 11/22/19 (FY2020)</t>
    </r>
  </si>
  <si>
    <t>UMBC New Health Services and Counseling Building</t>
  </si>
  <si>
    <t>SU Real Property Acquisition &amp; New Housing Complex</t>
  </si>
  <si>
    <t>Subtotal 41st Resol Amendments Auxiliary Projects</t>
  </si>
  <si>
    <t>41st Resolution Auxiliary Projects approved June 21, 2019 (FY2020)</t>
  </si>
  <si>
    <t>UMCP N. Campus Dining  Hall Replacement</t>
  </si>
  <si>
    <t>Aux</t>
  </si>
  <si>
    <t>UMCP High Rise Residence halls Renovation</t>
  </si>
  <si>
    <t>FSU New Residence Hall</t>
  </si>
  <si>
    <t>FSU Five Dorm Renovation</t>
  </si>
  <si>
    <t>Subtotal 41st Resolution Auxiliary Projects</t>
  </si>
  <si>
    <t>40th Resolution Auxiliary Projects approved June 22, 2018 (FY2019)</t>
  </si>
  <si>
    <t>UMCP N. Campus Dining Hall Replacement</t>
  </si>
  <si>
    <t>UMCP Rossborough Lane Parking Garage</t>
  </si>
  <si>
    <t>Subtotal 40th Resolution Auxiliary Projects</t>
  </si>
  <si>
    <t>39th Resolution Auxiliary Projects approved June 08, 2017 (FY2018)</t>
  </si>
  <si>
    <t>UMBC Event Center and Arena</t>
  </si>
  <si>
    <t>SU Guerrieri University Center Renovation</t>
  </si>
  <si>
    <t>TU Residence Tower Renovation</t>
  </si>
  <si>
    <t>Subtotal 39th Resolution Auxiliary Projects</t>
  </si>
  <si>
    <t>38th Resolution Auxiliary Projects approved June 10,2016 (FY2017)</t>
  </si>
  <si>
    <t>UMCP Dorchester Residence Hall Renovation</t>
  </si>
  <si>
    <t>Subtotal 38th Resolution Auxiliary Projects</t>
  </si>
  <si>
    <t>37th Resolution Auxiliary Projects approved June 11,2015 (FY2016)</t>
  </si>
  <si>
    <t>UMES Nuttle Hall Residence Renovation</t>
  </si>
  <si>
    <t>UMBC Residence Hall Renovations/Additions</t>
  </si>
  <si>
    <t>TU Recreation Bldg. Burdick Exp Ph 2</t>
  </si>
  <si>
    <t>TU West Village Housing, PH 3 &amp; 4 (700 beds)</t>
  </si>
  <si>
    <t>Subtotal 37th Resolution Auxiliary Projects</t>
  </si>
  <si>
    <t>Total of Auxiliary Projects</t>
  </si>
  <si>
    <t>Total Aux</t>
  </si>
  <si>
    <t>Cost of Issue</t>
  </si>
  <si>
    <t>LX-COI</t>
  </si>
  <si>
    <t>Total 2022A</t>
  </si>
  <si>
    <t>Total 2014A</t>
  </si>
  <si>
    <t>Total 2022A - New Money</t>
  </si>
  <si>
    <t>Remaining Project Amount for 2022A</t>
  </si>
  <si>
    <t>Cert#01</t>
  </si>
  <si>
    <t>E-54</t>
  </si>
  <si>
    <t>10 Year Bonds - Facility Renewal Projects</t>
  </si>
  <si>
    <t>20 Year Bonds - Regular Bond Projects</t>
  </si>
  <si>
    <t>Cert#02</t>
  </si>
  <si>
    <t>E-55</t>
  </si>
  <si>
    <t>30 Year Bonds - Housing Projects</t>
  </si>
  <si>
    <t>Cert#03</t>
  </si>
  <si>
    <t>Total Expenditures for 10 Years Bonds</t>
  </si>
  <si>
    <t>Total Expenditures for 20 Years Bonds</t>
  </si>
  <si>
    <t>Cert#04</t>
  </si>
  <si>
    <t>Total Expenditures for 30 Years Bonds</t>
  </si>
  <si>
    <t>Cert#05</t>
  </si>
  <si>
    <t>2021A as of 12/30/22</t>
  </si>
  <si>
    <t xml:space="preserve">        $ 11,468,681.60</t>
  </si>
  <si>
    <t>2022A as of 12/30/22</t>
  </si>
  <si>
    <t>       $ 43,680,859.84</t>
  </si>
  <si>
    <t>Cert#06</t>
  </si>
  <si>
    <t>Cert #07</t>
  </si>
  <si>
    <t>Cert #08</t>
  </si>
  <si>
    <t>Cert #09</t>
  </si>
  <si>
    <t>Cert #10</t>
  </si>
  <si>
    <t>Cert #11</t>
  </si>
  <si>
    <t>Cert #12</t>
  </si>
  <si>
    <t>Cert #13</t>
  </si>
  <si>
    <t>Cert #14</t>
  </si>
  <si>
    <t>Cert #15</t>
  </si>
  <si>
    <t>Cert #16</t>
  </si>
  <si>
    <t>Cert #17</t>
  </si>
  <si>
    <t>Cert #18</t>
  </si>
  <si>
    <t>Cert #19</t>
  </si>
  <si>
    <t>Cert #20</t>
  </si>
  <si>
    <t>Cert #21</t>
  </si>
  <si>
    <t>Cert #22</t>
  </si>
  <si>
    <t>Cert #23</t>
  </si>
  <si>
    <t>Cert #24</t>
  </si>
  <si>
    <t>Cert #25</t>
  </si>
  <si>
    <t>Cert #26</t>
  </si>
  <si>
    <t>Cert #27</t>
  </si>
  <si>
    <t>Cert #28</t>
  </si>
  <si>
    <t>2021A 20 year bonds</t>
  </si>
  <si>
    <t>Cert #29</t>
  </si>
  <si>
    <t>Cert #30</t>
  </si>
  <si>
    <t>Cert #31</t>
  </si>
  <si>
    <t>Cert #32</t>
  </si>
  <si>
    <t>Correction</t>
  </si>
  <si>
    <t>Cert #33</t>
  </si>
  <si>
    <t>Cert #34</t>
  </si>
  <si>
    <t>Cert #35</t>
  </si>
  <si>
    <t>Cert #36</t>
  </si>
  <si>
    <t>Cert #37</t>
  </si>
  <si>
    <t>Cert #38</t>
  </si>
  <si>
    <t>Cert #39</t>
  </si>
  <si>
    <t>Cert #40</t>
  </si>
  <si>
    <t>Cert #41</t>
  </si>
  <si>
    <t>Cert #42</t>
  </si>
  <si>
    <t>Cert #43</t>
  </si>
  <si>
    <t>Cert #44</t>
  </si>
  <si>
    <t>Cert #45</t>
  </si>
  <si>
    <t>Cert #46</t>
  </si>
  <si>
    <t>Cert #47</t>
  </si>
  <si>
    <t>Cert #48</t>
  </si>
  <si>
    <t>Cert #49</t>
  </si>
  <si>
    <t xml:space="preserve">Correction BSU FR 39th </t>
  </si>
  <si>
    <t>Cert #50</t>
  </si>
  <si>
    <t>Refund</t>
  </si>
  <si>
    <t>Cert #51</t>
  </si>
  <si>
    <t>Cert #52</t>
  </si>
  <si>
    <t>Cert #53</t>
  </si>
  <si>
    <t>Cert #54</t>
  </si>
  <si>
    <t>Cert #55</t>
  </si>
  <si>
    <t>Cert #56</t>
  </si>
  <si>
    <t>Cert #57</t>
  </si>
  <si>
    <t>Cert #58</t>
  </si>
  <si>
    <t>Cert #59</t>
  </si>
  <si>
    <t>Cert #60</t>
  </si>
  <si>
    <t>Cert #61</t>
  </si>
  <si>
    <t>Cert#62</t>
  </si>
  <si>
    <t>Cert#63</t>
  </si>
  <si>
    <r>
      <t xml:space="preserve">Remaining project amount for 2022A </t>
    </r>
    <r>
      <rPr>
        <b/>
        <u/>
        <sz val="10"/>
        <rFont val="Arial"/>
        <family val="2"/>
      </rPr>
      <t>Spreadsheet</t>
    </r>
    <r>
      <rPr>
        <sz val="10"/>
        <rFont val="Arial"/>
        <family val="2"/>
      </rPr>
      <t xml:space="preserve"> after last certificate</t>
    </r>
  </si>
  <si>
    <t>Use 30-yr debt</t>
  </si>
  <si>
    <r>
      <t xml:space="preserve">UMCP </t>
    </r>
    <r>
      <rPr>
        <b/>
        <sz val="9"/>
        <rFont val="Segoe UI"/>
        <family val="2"/>
      </rPr>
      <t xml:space="preserve">North Campus Dining Hall </t>
    </r>
    <r>
      <rPr>
        <sz val="9"/>
        <rFont val="Segoe UI"/>
        <family val="2"/>
      </rPr>
      <t xml:space="preserve">42nd &amp; 42nd amnd </t>
    </r>
  </si>
  <si>
    <r>
      <t xml:space="preserve">UMCP </t>
    </r>
    <r>
      <rPr>
        <b/>
        <sz val="9"/>
        <rFont val="Segoe UI"/>
        <family val="2"/>
      </rPr>
      <t>Two New Residence Halls</t>
    </r>
    <r>
      <rPr>
        <sz val="9"/>
        <rFont val="Segoe UI"/>
        <family val="2"/>
      </rPr>
      <t xml:space="preserve"> 41st, 42nd &amp; 42nd amnd</t>
    </r>
  </si>
  <si>
    <t>Reconcile between 2021A and 2022A 5/31/23</t>
  </si>
  <si>
    <t>2022A Balance to be Financed 5/31/23</t>
  </si>
  <si>
    <t>2021A Balance to be Financed 5/17/23</t>
  </si>
  <si>
    <t>Cert 56 57 (2022A)</t>
  </si>
  <si>
    <t>Variance</t>
  </si>
  <si>
    <t>2022A: paid from 2022A</t>
  </si>
  <si>
    <t>2021A: paid from 2022A (including system cash)</t>
  </si>
  <si>
    <t>2022A: cert 56 57</t>
  </si>
  <si>
    <t>variance</t>
  </si>
  <si>
    <t>Cert#64</t>
  </si>
  <si>
    <t>Stop payment for 2 lost checks</t>
  </si>
  <si>
    <t>Stop payments for 2 lost checks issued for Murphy and Dittenhafer from UMBC 43rd FR</t>
  </si>
  <si>
    <t>Cert#65</t>
  </si>
  <si>
    <t>Reissue checks for Murphy and Dittenhafer, originally processed through 2021A Cert#106/2022A Cert#52</t>
  </si>
  <si>
    <t>Cert#66</t>
  </si>
  <si>
    <t>USMSM Building #1 Roof Replacement</t>
  </si>
  <si>
    <t>USM-H Facilities Renewal FY17-23</t>
  </si>
  <si>
    <t>UMCP High Rise Residence Halls  (Aux)</t>
  </si>
  <si>
    <t>Done</t>
  </si>
  <si>
    <t>E-56</t>
  </si>
  <si>
    <t>Stop payments for lost check issued for Murphy and Dittenhafer from UMBC 43rd FR</t>
  </si>
  <si>
    <t>Reissue check for Murphy and Dittenhafer, originally processed through 2022A Cert#52</t>
  </si>
  <si>
    <t>Cert#67</t>
  </si>
  <si>
    <t>Cert#68</t>
  </si>
  <si>
    <t>Cert#69</t>
  </si>
  <si>
    <t>Cert#70</t>
  </si>
  <si>
    <t>Cert#71</t>
  </si>
  <si>
    <t>Cert#72</t>
  </si>
  <si>
    <t>Cert#73</t>
  </si>
  <si>
    <t>cert #73- duplicate pymt (BSU)</t>
  </si>
  <si>
    <t>Cert#74</t>
  </si>
  <si>
    <t>Cert#75</t>
  </si>
  <si>
    <t>.</t>
  </si>
  <si>
    <t>Cert#76</t>
  </si>
  <si>
    <t>Cert#77</t>
  </si>
  <si>
    <t>Cert#78</t>
  </si>
  <si>
    <t>Cert#79</t>
  </si>
  <si>
    <t>Cert#80</t>
  </si>
  <si>
    <t>Cert#81</t>
  </si>
  <si>
    <t xml:space="preserve">Correction </t>
  </si>
  <si>
    <t>cert#76- duplicate pymt (UMB)</t>
  </si>
  <si>
    <t>cert#74- duplicate pymt (FSU)</t>
  </si>
  <si>
    <t>Cert#82</t>
  </si>
  <si>
    <t>Cert#83</t>
  </si>
  <si>
    <t>Stop Payment</t>
  </si>
  <si>
    <t>Cert#84</t>
  </si>
  <si>
    <t>Cert#85</t>
  </si>
  <si>
    <t>Cert#87</t>
  </si>
  <si>
    <t>Cert#86</t>
  </si>
  <si>
    <t>Cert#88</t>
  </si>
  <si>
    <t>Cert#89</t>
  </si>
  <si>
    <t>Cert#90</t>
  </si>
  <si>
    <t>Cert#91</t>
  </si>
  <si>
    <t>Cert#92</t>
  </si>
  <si>
    <t>Cert#93</t>
  </si>
  <si>
    <t>Cert#94</t>
  </si>
  <si>
    <t>Cert#95</t>
  </si>
  <si>
    <t>Cert#96</t>
  </si>
  <si>
    <t>Cert#97</t>
  </si>
  <si>
    <t>Cert#98</t>
  </si>
  <si>
    <t>Cert#99</t>
  </si>
  <si>
    <t>Check balance when posting transactions (Column L)</t>
  </si>
  <si>
    <t>Check with institutions if the remittance or invoice amount are different between memo and invoice</t>
  </si>
  <si>
    <t>Include both cover sheet memo and invoices in the certificate</t>
  </si>
  <si>
    <t>Put note on invoice for split payments</t>
  </si>
  <si>
    <t>Monitor 2022A remaining balance (Check with Samantha or Cindy)</t>
  </si>
  <si>
    <t xml:space="preserve">For certificate, use the address on the invoice </t>
  </si>
  <si>
    <r>
      <t xml:space="preserve">Put </t>
    </r>
    <r>
      <rPr>
        <b/>
        <u/>
        <sz val="10"/>
        <rFont val="Arial"/>
        <family val="2"/>
      </rPr>
      <t>Inv#</t>
    </r>
    <r>
      <rPr>
        <sz val="10"/>
        <rFont val="Arial"/>
        <family val="2"/>
      </rPr>
      <t xml:space="preserve"> for both Inv# &amp; App#</t>
    </r>
  </si>
  <si>
    <t>Early Payoff-Complete</t>
  </si>
  <si>
    <t xml:space="preserve">  TU 401 Washington Renovation (Auxiliary)</t>
  </si>
  <si>
    <t>Fund</t>
  </si>
  <si>
    <t>Category</t>
  </si>
  <si>
    <t>Term</t>
  </si>
  <si>
    <t>Resolution</t>
  </si>
  <si>
    <t>Institution</t>
  </si>
  <si>
    <t>Payment from 2022A</t>
  </si>
  <si>
    <t>Balance to be Financed</t>
  </si>
  <si>
    <t>45th Acad</t>
  </si>
  <si>
    <t>Acad FR</t>
  </si>
  <si>
    <t>10/20</t>
  </si>
  <si>
    <t>USG</t>
  </si>
  <si>
    <t>USM-H</t>
  </si>
  <si>
    <t>USMSM</t>
  </si>
  <si>
    <t>44th Acad</t>
  </si>
  <si>
    <t xml:space="preserve">USMSM </t>
  </si>
  <si>
    <t>42nd Amend Acad</t>
  </si>
  <si>
    <t>USG/UMB</t>
  </si>
  <si>
    <t>39th Acad</t>
  </si>
  <si>
    <t>38th Acad</t>
  </si>
  <si>
    <t>36th Acad</t>
  </si>
  <si>
    <t>35th Acad</t>
  </si>
  <si>
    <t>34th Acad</t>
  </si>
  <si>
    <t>32nd Acad</t>
  </si>
  <si>
    <t>45th Aux</t>
  </si>
  <si>
    <t>44th Aux</t>
  </si>
  <si>
    <t>43rd Amend Aux</t>
  </si>
  <si>
    <t>43rd Aux</t>
  </si>
  <si>
    <t>42nd Amend Aux</t>
  </si>
  <si>
    <t>42nd Aux</t>
  </si>
  <si>
    <t>41st Amend Aux</t>
  </si>
  <si>
    <t>Cert#100</t>
  </si>
  <si>
    <t>Cert#101</t>
  </si>
  <si>
    <t>Cert#102</t>
  </si>
  <si>
    <t>Cert#103</t>
  </si>
  <si>
    <t>Cert#104</t>
  </si>
  <si>
    <t>Cert#105</t>
  </si>
  <si>
    <t>4/19/24</t>
  </si>
  <si>
    <t xml:space="preserve"> 20 Year Bond</t>
  </si>
  <si>
    <t xml:space="preserve">           20 Year Bond including 20-yr 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</si>
</sst>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mm/dd/yy"/>
    <numFmt numFmtId="165" formatCode="0.00000%"/>
    <numFmt numFmtId="166" formatCode="0.0000%"/>
    <numFmt numFmtId="167" formatCode="General_)"/>
    <numFmt numFmtId="168" formatCode="mm/dd/yy;@"/>
    <numFmt numFmtId="169" formatCode="0.00_);[Red]\(0.00\)"/>
  </numFmts>
  <fonts count="20" x14ac:knownFonts="1">
    <font>
      <sz val="10"/>
      <name val="Arial"/>
    </font>
    <font>
      <sz val="10"/>
      <name val="Arial"/>
      <family val="2"/>
    </font>
    <font>
      <sz val="10"/>
      <color rgb="FFFF0000"/>
      <name val="Arial"/>
      <family val="2"/>
    </font>
    <font>
      <b/>
      <sz val="10"/>
      <name val="Arial"/>
      <family val="2"/>
    </font>
    <font>
      <b/>
      <sz val="11"/>
      <name val="Arial"/>
      <family val="2"/>
    </font>
    <font>
      <sz val="9"/>
      <color indexed="81"/>
      <name val="Tahoma"/>
      <family val="2"/>
    </font>
    <font>
      <b/>
      <sz val="9"/>
      <color indexed="81"/>
      <name val="Tahoma"/>
      <family val="2"/>
    </font>
    <font>
      <sz val="10"/>
      <name val="Arial"/>
      <family val="2"/>
    </font>
    <font>
      <sz val="10"/>
      <color indexed="27"/>
      <name val="Arial"/>
      <family val="2"/>
      <charset val="204"/>
    </font>
    <font>
      <b/>
      <sz val="10"/>
      <color rgb="FFFF0000"/>
      <name val="Arial"/>
      <family val="2"/>
    </font>
    <font>
      <b/>
      <sz val="10"/>
      <color rgb="FFC00000"/>
      <name val="Arial"/>
      <family val="2"/>
    </font>
    <font>
      <b/>
      <sz val="10"/>
      <color indexed="10"/>
      <name val="Arial"/>
      <family val="2"/>
      <charset val="204"/>
    </font>
    <font>
      <sz val="10"/>
      <color theme="9" tint="-0.249977111117893"/>
      <name val="Arial"/>
      <family val="2"/>
    </font>
    <font>
      <b/>
      <u/>
      <sz val="10"/>
      <name val="Arial"/>
      <family val="2"/>
    </font>
    <font>
      <sz val="9"/>
      <name val="Segoe UI"/>
      <family val="2"/>
    </font>
    <font>
      <b/>
      <sz val="9"/>
      <name val="Segoe UI"/>
      <family val="2"/>
    </font>
    <font>
      <sz val="10"/>
      <color rgb="FFED0000"/>
      <name val="Arial"/>
      <family val="2"/>
    </font>
    <font>
      <sz val="10"/>
      <color rgb="FFE40000"/>
      <name val="Arial"/>
      <family val="2"/>
    </font>
    <font>
      <sz val="10"/>
      <color rgb="FFC20000"/>
      <name val="Arial"/>
      <family val="2"/>
    </font>
    <font>
      <sz val="10"/>
      <color rgb="FFBB0000"/>
      <name val="Arial"/>
      <family val="2"/>
    </font>
  </fonts>
  <fills count="16">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indexed="43"/>
        <bgColor indexed="64"/>
      </patternFill>
    </fill>
    <fill>
      <patternFill patternType="solid">
        <fgColor rgb="FFCCFFCC"/>
        <bgColor indexed="64"/>
      </patternFill>
    </fill>
    <fill>
      <patternFill patternType="solid">
        <fgColor theme="8" tint="0.59999389629810485"/>
        <bgColor indexed="64"/>
      </patternFill>
    </fill>
    <fill>
      <patternFill patternType="solid">
        <fgColor indexed="13"/>
        <bgColor indexed="64"/>
      </patternFill>
    </fill>
    <fill>
      <patternFill patternType="solid">
        <fgColor indexed="46"/>
        <bgColor indexed="64"/>
      </patternFill>
    </fill>
    <fill>
      <patternFill patternType="solid">
        <fgColor rgb="FFFFFF8F"/>
        <bgColor indexed="64"/>
      </patternFill>
    </fill>
  </fills>
  <borders count="25">
    <border>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style="medium">
        <color auto="1"/>
      </right>
      <top style="medium">
        <color auto="1"/>
      </top>
      <bottom/>
      <diagonal/>
    </border>
    <border>
      <left style="medium">
        <color auto="1"/>
      </left>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s>
  <cellStyleXfs count="4">
    <xf numFmtId="0" fontId="0" fillId="0" borderId="0"/>
    <xf numFmtId="43" fontId="7" fillId="0" borderId="0" applyFont="0" applyFill="0" applyBorder="0" applyAlignment="0" applyProtection="0"/>
    <xf numFmtId="167" fontId="1" fillId="0" borderId="0"/>
    <xf numFmtId="0" fontId="1" fillId="0" borderId="0"/>
  </cellStyleXfs>
  <cellXfs count="305">
    <xf numFmtId="0" fontId="0" fillId="0" borderId="0" xfId="0"/>
    <xf numFmtId="164" fontId="0" fillId="0" borderId="0" xfId="0" applyNumberFormat="1" applyAlignment="1">
      <alignment horizontal="left"/>
    </xf>
    <xf numFmtId="0" fontId="0" fillId="0" borderId="0" xfId="0" applyAlignment="1">
      <alignment horizontal="left"/>
    </xf>
    <xf numFmtId="38" fontId="0" fillId="0" borderId="0" xfId="0" applyNumberFormat="1" applyAlignment="1">
      <alignment horizontal="right"/>
    </xf>
    <xf numFmtId="38" fontId="0" fillId="0" borderId="0" xfId="0" quotePrefix="1" applyNumberFormat="1" applyAlignment="1">
      <alignment horizontal="left"/>
    </xf>
    <xf numFmtId="38" fontId="0" fillId="0" borderId="0" xfId="0" applyNumberFormat="1"/>
    <xf numFmtId="3" fontId="0" fillId="0" borderId="0" xfId="0" applyNumberFormat="1"/>
    <xf numFmtId="38" fontId="0" fillId="0" borderId="0" xfId="0" applyNumberFormat="1" applyAlignment="1">
      <alignment horizontal="left"/>
    </xf>
    <xf numFmtId="165" fontId="0" fillId="0" borderId="0" xfId="0" applyNumberFormat="1"/>
    <xf numFmtId="164" fontId="0" fillId="0" borderId="1" xfId="0" applyNumberFormat="1" applyBorder="1" applyAlignment="1">
      <alignment horizontal="center"/>
    </xf>
    <xf numFmtId="38" fontId="0" fillId="2" borderId="2" xfId="0" applyNumberFormat="1" applyFill="1" applyBorder="1" applyAlignment="1">
      <alignment horizontal="right"/>
    </xf>
    <xf numFmtId="38" fontId="0" fillId="2" borderId="3" xfId="0" applyNumberFormat="1" applyFill="1" applyBorder="1" applyAlignment="1">
      <alignment horizontal="right"/>
    </xf>
    <xf numFmtId="38" fontId="0" fillId="0" borderId="5" xfId="0" applyNumberFormat="1" applyBorder="1" applyAlignment="1">
      <alignment horizontal="right"/>
    </xf>
    <xf numFmtId="38" fontId="0" fillId="0" borderId="3" xfId="0" applyNumberFormat="1" applyBorder="1" applyAlignment="1">
      <alignment horizontal="right"/>
    </xf>
    <xf numFmtId="38" fontId="0" fillId="0" borderId="2" xfId="0" applyNumberFormat="1" applyBorder="1" applyAlignment="1">
      <alignment horizontal="right"/>
    </xf>
    <xf numFmtId="165" fontId="0" fillId="0" borderId="6" xfId="0" applyNumberFormat="1" applyBorder="1" applyAlignment="1">
      <alignment horizontal="center"/>
    </xf>
    <xf numFmtId="165" fontId="0" fillId="0" borderId="7" xfId="0" applyNumberFormat="1" applyBorder="1"/>
    <xf numFmtId="165" fontId="0" fillId="0" borderId="5" xfId="0" applyNumberFormat="1" applyBorder="1"/>
    <xf numFmtId="165" fontId="0" fillId="0" borderId="3" xfId="0" applyNumberFormat="1" applyBorder="1" applyAlignment="1">
      <alignment horizontal="right"/>
    </xf>
    <xf numFmtId="165" fontId="0" fillId="0" borderId="4" xfId="0" quotePrefix="1" applyNumberFormat="1" applyBorder="1" applyAlignment="1">
      <alignment horizontal="right"/>
    </xf>
    <xf numFmtId="165" fontId="0" fillId="0" borderId="2" xfId="0" applyNumberFormat="1" applyBorder="1"/>
    <xf numFmtId="164" fontId="0" fillId="0" borderId="8" xfId="0" applyNumberFormat="1" applyBorder="1" applyAlignment="1">
      <alignment horizontal="center"/>
    </xf>
    <xf numFmtId="38" fontId="0" fillId="0" borderId="9" xfId="0" applyNumberFormat="1" applyBorder="1" applyAlignment="1">
      <alignment horizontal="center"/>
    </xf>
    <xf numFmtId="3" fontId="0" fillId="0" borderId="9" xfId="0" applyNumberFormat="1" applyBorder="1" applyAlignment="1">
      <alignment horizontal="center"/>
    </xf>
    <xf numFmtId="3" fontId="0" fillId="0" borderId="0" xfId="0" applyNumberFormat="1" applyAlignment="1">
      <alignment horizontal="center"/>
    </xf>
    <xf numFmtId="164" fontId="0" fillId="0" borderId="0" xfId="0" applyNumberFormat="1"/>
    <xf numFmtId="14" fontId="0" fillId="0" borderId="0" xfId="0" applyNumberFormat="1"/>
    <xf numFmtId="164" fontId="0" fillId="0" borderId="0" xfId="0" applyNumberFormat="1" applyAlignment="1">
      <alignment horizontal="center"/>
    </xf>
    <xf numFmtId="38" fontId="0" fillId="0" borderId="10" xfId="0" applyNumberFormat="1" applyBorder="1" applyAlignment="1">
      <alignment horizontal="right"/>
    </xf>
    <xf numFmtId="38" fontId="0" fillId="0" borderId="4" xfId="0" applyNumberFormat="1" applyBorder="1" applyAlignment="1">
      <alignment horizontal="left"/>
    </xf>
    <xf numFmtId="165" fontId="0" fillId="0" borderId="7" xfId="0" applyNumberFormat="1" applyBorder="1" applyAlignment="1">
      <alignment horizontal="right"/>
    </xf>
    <xf numFmtId="40" fontId="0" fillId="0" borderId="0" xfId="0" applyNumberFormat="1"/>
    <xf numFmtId="40" fontId="0" fillId="0" borderId="0" xfId="0" applyNumberFormat="1" applyAlignment="1">
      <alignment horizontal="right"/>
    </xf>
    <xf numFmtId="165" fontId="0" fillId="0" borderId="0" xfId="0" applyNumberFormat="1" applyAlignment="1">
      <alignment horizontal="right"/>
    </xf>
    <xf numFmtId="0" fontId="1" fillId="0" borderId="0" xfId="0" applyFont="1" applyAlignment="1">
      <alignment horizontal="left"/>
    </xf>
    <xf numFmtId="38" fontId="1" fillId="0" borderId="9" xfId="0" applyNumberFormat="1" applyFont="1" applyBorder="1" applyAlignment="1">
      <alignment horizontal="center"/>
    </xf>
    <xf numFmtId="38" fontId="0" fillId="0" borderId="0" xfId="0" applyNumberFormat="1" applyAlignment="1">
      <alignment horizontal="center"/>
    </xf>
    <xf numFmtId="38" fontId="1" fillId="0" borderId="0" xfId="0" quotePrefix="1" applyNumberFormat="1" applyFont="1" applyAlignment="1">
      <alignment horizontal="left"/>
    </xf>
    <xf numFmtId="38" fontId="0" fillId="0" borderId="2" xfId="0" applyNumberFormat="1" applyBorder="1"/>
    <xf numFmtId="38" fontId="1" fillId="0" borderId="0" xfId="0" applyNumberFormat="1" applyFont="1"/>
    <xf numFmtId="38" fontId="1" fillId="2" borderId="7" xfId="0" quotePrefix="1" applyNumberFormat="1" applyFont="1" applyFill="1" applyBorder="1" applyAlignment="1">
      <alignment horizontal="left"/>
    </xf>
    <xf numFmtId="38" fontId="0" fillId="2" borderId="5" xfId="0" applyNumberFormat="1" applyFill="1" applyBorder="1" applyAlignment="1">
      <alignment horizontal="right"/>
    </xf>
    <xf numFmtId="38" fontId="0" fillId="4" borderId="5" xfId="0" applyNumberFormat="1" applyFill="1" applyBorder="1" applyAlignment="1">
      <alignment horizontal="right"/>
    </xf>
    <xf numFmtId="165" fontId="0" fillId="0" borderId="11" xfId="0" applyNumberFormat="1" applyBorder="1"/>
    <xf numFmtId="165" fontId="0" fillId="0" borderId="4" xfId="0" quotePrefix="1" applyNumberFormat="1" applyBorder="1" applyAlignment="1">
      <alignment horizontal="left"/>
    </xf>
    <xf numFmtId="165" fontId="2" fillId="3" borderId="7" xfId="0" quotePrefix="1" applyNumberFormat="1" applyFont="1" applyFill="1" applyBorder="1"/>
    <xf numFmtId="165" fontId="2" fillId="3" borderId="3" xfId="0" applyNumberFormat="1" applyFont="1" applyFill="1" applyBorder="1" applyAlignment="1">
      <alignment horizontal="right"/>
    </xf>
    <xf numFmtId="3" fontId="0" fillId="4" borderId="4" xfId="0" applyNumberFormat="1" applyFill="1" applyBorder="1" applyAlignment="1">
      <alignment horizontal="left"/>
    </xf>
    <xf numFmtId="3" fontId="0" fillId="4" borderId="2" xfId="0" applyNumberFormat="1" applyFill="1" applyBorder="1"/>
    <xf numFmtId="3" fontId="0" fillId="4" borderId="3" xfId="0" applyNumberFormat="1" applyFill="1" applyBorder="1"/>
    <xf numFmtId="38" fontId="1" fillId="4" borderId="4" xfId="0" quotePrefix="1" applyNumberFormat="1" applyFont="1" applyFill="1" applyBorder="1" applyAlignment="1">
      <alignment horizontal="left"/>
    </xf>
    <xf numFmtId="38" fontId="0" fillId="4" borderId="3" xfId="0" applyNumberFormat="1" applyFill="1" applyBorder="1" applyAlignment="1">
      <alignment horizontal="right"/>
    </xf>
    <xf numFmtId="165" fontId="2" fillId="0" borderId="7" xfId="0" quotePrefix="1" applyNumberFormat="1" applyFont="1" applyBorder="1"/>
    <xf numFmtId="3" fontId="0" fillId="3" borderId="6" xfId="0" applyNumberFormat="1" applyFill="1" applyBorder="1"/>
    <xf numFmtId="40" fontId="1" fillId="0" borderId="0" xfId="0" applyNumberFormat="1" applyFont="1"/>
    <xf numFmtId="165" fontId="0" fillId="6" borderId="0" xfId="0" applyNumberFormat="1" applyFill="1"/>
    <xf numFmtId="38" fontId="1" fillId="6" borderId="0" xfId="0" applyNumberFormat="1" applyFont="1" applyFill="1"/>
    <xf numFmtId="38" fontId="0" fillId="6" borderId="4" xfId="0" applyNumberFormat="1" applyFill="1" applyBorder="1" applyAlignment="1">
      <alignment horizontal="left"/>
    </xf>
    <xf numFmtId="38" fontId="0" fillId="6" borderId="5" xfId="0" applyNumberFormat="1" applyFill="1" applyBorder="1" applyAlignment="1">
      <alignment horizontal="right"/>
    </xf>
    <xf numFmtId="38" fontId="0" fillId="6" borderId="3" xfId="0" applyNumberFormat="1" applyFill="1" applyBorder="1" applyAlignment="1">
      <alignment horizontal="right"/>
    </xf>
    <xf numFmtId="165" fontId="0" fillId="6" borderId="7" xfId="0" applyNumberFormat="1" applyFill="1" applyBorder="1" applyAlignment="1">
      <alignment horizontal="right"/>
    </xf>
    <xf numFmtId="165" fontId="0" fillId="6" borderId="3" xfId="0" applyNumberFormat="1" applyFill="1" applyBorder="1" applyAlignment="1">
      <alignment horizontal="right"/>
    </xf>
    <xf numFmtId="165" fontId="0" fillId="6" borderId="5" xfId="0" applyNumberFormat="1" applyFill="1" applyBorder="1"/>
    <xf numFmtId="38" fontId="0" fillId="6" borderId="9" xfId="0" applyNumberFormat="1" applyFill="1" applyBorder="1" applyAlignment="1">
      <alignment horizontal="center"/>
    </xf>
    <xf numFmtId="38" fontId="0" fillId="6" borderId="2" xfId="0" applyNumberFormat="1" applyFill="1" applyBorder="1"/>
    <xf numFmtId="38" fontId="0" fillId="6" borderId="0" xfId="0" applyNumberFormat="1" applyFill="1"/>
    <xf numFmtId="0" fontId="0" fillId="6" borderId="0" xfId="0" applyFill="1"/>
    <xf numFmtId="38" fontId="1" fillId="6" borderId="4" xfId="0" applyNumberFormat="1" applyFont="1" applyFill="1" applyBorder="1" applyAlignment="1">
      <alignment horizontal="left"/>
    </xf>
    <xf numFmtId="0" fontId="1" fillId="0" borderId="0" xfId="0" applyFont="1"/>
    <xf numFmtId="38" fontId="3" fillId="0" borderId="0" xfId="0" quotePrefix="1" applyNumberFormat="1" applyFont="1"/>
    <xf numFmtId="0" fontId="3" fillId="0" borderId="0" xfId="0" applyFont="1"/>
    <xf numFmtId="0" fontId="4" fillId="0" borderId="0" xfId="0" applyFont="1"/>
    <xf numFmtId="38" fontId="3" fillId="7" borderId="0" xfId="0" applyNumberFormat="1" applyFont="1" applyFill="1"/>
    <xf numFmtId="38" fontId="0" fillId="7" borderId="4" xfId="0" applyNumberFormat="1" applyFill="1" applyBorder="1" applyAlignment="1">
      <alignment horizontal="center"/>
    </xf>
    <xf numFmtId="38" fontId="0" fillId="7" borderId="3" xfId="0" applyNumberFormat="1" applyFill="1" applyBorder="1"/>
    <xf numFmtId="38" fontId="0" fillId="7" borderId="12" xfId="0" applyNumberFormat="1" applyFill="1" applyBorder="1" applyAlignment="1">
      <alignment horizontal="center"/>
    </xf>
    <xf numFmtId="38" fontId="0" fillId="7" borderId="14" xfId="0" applyNumberFormat="1" applyFill="1" applyBorder="1"/>
    <xf numFmtId="0" fontId="3" fillId="7" borderId="0" xfId="0" applyFont="1" applyFill="1"/>
    <xf numFmtId="38" fontId="0" fillId="8" borderId="4" xfId="0" applyNumberFormat="1" applyFill="1" applyBorder="1" applyAlignment="1">
      <alignment horizontal="center"/>
    </xf>
    <xf numFmtId="38" fontId="0" fillId="8" borderId="3" xfId="0" applyNumberFormat="1" applyFill="1" applyBorder="1"/>
    <xf numFmtId="38" fontId="0" fillId="8" borderId="12" xfId="0" applyNumberFormat="1" applyFill="1" applyBorder="1" applyAlignment="1">
      <alignment horizontal="center"/>
    </xf>
    <xf numFmtId="38" fontId="0" fillId="8" borderId="14" xfId="0" applyNumberFormat="1" applyFill="1" applyBorder="1"/>
    <xf numFmtId="38" fontId="3" fillId="5" borderId="4" xfId="0" applyNumberFormat="1" applyFont="1" applyFill="1" applyBorder="1" applyAlignment="1">
      <alignment horizontal="left"/>
    </xf>
    <xf numFmtId="38" fontId="3" fillId="5" borderId="5" xfId="0" applyNumberFormat="1" applyFont="1" applyFill="1" applyBorder="1" applyAlignment="1">
      <alignment horizontal="right"/>
    </xf>
    <xf numFmtId="38" fontId="3" fillId="5" borderId="3" xfId="0" applyNumberFormat="1" applyFont="1" applyFill="1" applyBorder="1" applyAlignment="1">
      <alignment horizontal="right"/>
    </xf>
    <xf numFmtId="165" fontId="0" fillId="5" borderId="7" xfId="0" applyNumberFormat="1" applyFill="1" applyBorder="1" applyAlignment="1">
      <alignment horizontal="right"/>
    </xf>
    <xf numFmtId="165" fontId="0" fillId="5" borderId="0" xfId="0" applyNumberFormat="1" applyFill="1"/>
    <xf numFmtId="165" fontId="0" fillId="5" borderId="3" xfId="0" applyNumberFormat="1" applyFill="1" applyBorder="1" applyAlignment="1">
      <alignment horizontal="right"/>
    </xf>
    <xf numFmtId="165" fontId="0" fillId="5" borderId="5" xfId="0" applyNumberFormat="1" applyFill="1" applyBorder="1"/>
    <xf numFmtId="38" fontId="0" fillId="5" borderId="9" xfId="0" applyNumberFormat="1" applyFill="1" applyBorder="1" applyAlignment="1">
      <alignment horizontal="center"/>
    </xf>
    <xf numFmtId="38" fontId="0" fillId="5" borderId="2" xfId="0" applyNumberFormat="1" applyFill="1" applyBorder="1"/>
    <xf numFmtId="38" fontId="0" fillId="5" borderId="0" xfId="0" applyNumberFormat="1" applyFill="1"/>
    <xf numFmtId="38" fontId="0" fillId="5" borderId="13" xfId="0" applyNumberFormat="1" applyFill="1" applyBorder="1"/>
    <xf numFmtId="0" fontId="1" fillId="6" borderId="0" xfId="0" applyFont="1" applyFill="1"/>
    <xf numFmtId="38" fontId="1" fillId="9" borderId="4" xfId="0" quotePrefix="1" applyNumberFormat="1" applyFont="1" applyFill="1" applyBorder="1" applyAlignment="1">
      <alignment horizontal="left"/>
    </xf>
    <xf numFmtId="38" fontId="0" fillId="9" borderId="5" xfId="0" applyNumberFormat="1" applyFill="1" applyBorder="1" applyAlignment="1">
      <alignment horizontal="right"/>
    </xf>
    <xf numFmtId="38" fontId="0" fillId="9" borderId="3" xfId="0" applyNumberFormat="1" applyFill="1" applyBorder="1" applyAlignment="1">
      <alignment horizontal="right"/>
    </xf>
    <xf numFmtId="165" fontId="1" fillId="9" borderId="7" xfId="0" quotePrefix="1" applyNumberFormat="1" applyFont="1" applyFill="1" applyBorder="1"/>
    <xf numFmtId="165" fontId="0" fillId="9" borderId="5" xfId="0" applyNumberFormat="1" applyFill="1" applyBorder="1"/>
    <xf numFmtId="165" fontId="0" fillId="9" borderId="3" xfId="0" applyNumberFormat="1" applyFill="1" applyBorder="1" applyAlignment="1">
      <alignment horizontal="right"/>
    </xf>
    <xf numFmtId="165" fontId="2" fillId="4" borderId="5" xfId="0" applyNumberFormat="1" applyFont="1" applyFill="1" applyBorder="1"/>
    <xf numFmtId="165" fontId="2" fillId="4" borderId="3" xfId="0" applyNumberFormat="1" applyFont="1" applyFill="1" applyBorder="1" applyAlignment="1">
      <alignment horizontal="right"/>
    </xf>
    <xf numFmtId="38" fontId="1" fillId="0" borderId="0" xfId="0" applyNumberFormat="1" applyFont="1" applyAlignment="1">
      <alignment horizontal="left"/>
    </xf>
    <xf numFmtId="165" fontId="1" fillId="4" borderId="4" xfId="0" quotePrefix="1" applyNumberFormat="1" applyFont="1" applyFill="1" applyBorder="1"/>
    <xf numFmtId="165" fontId="0" fillId="4" borderId="3" xfId="0" applyNumberFormat="1" applyFill="1" applyBorder="1"/>
    <xf numFmtId="165" fontId="1" fillId="8" borderId="4" xfId="0" quotePrefix="1" applyNumberFormat="1" applyFont="1" applyFill="1" applyBorder="1"/>
    <xf numFmtId="38" fontId="0" fillId="8" borderId="3" xfId="0" applyNumberFormat="1" applyFill="1" applyBorder="1" applyAlignment="1">
      <alignment horizontal="right"/>
    </xf>
    <xf numFmtId="165" fontId="1" fillId="9" borderId="4" xfId="0" quotePrefix="1" applyNumberFormat="1" applyFont="1" applyFill="1" applyBorder="1"/>
    <xf numFmtId="38" fontId="0" fillId="9" borderId="2" xfId="0" applyNumberFormat="1" applyFill="1" applyBorder="1" applyAlignment="1">
      <alignment horizontal="right"/>
    </xf>
    <xf numFmtId="38" fontId="1" fillId="8" borderId="2" xfId="0" quotePrefix="1" applyNumberFormat="1" applyFont="1" applyFill="1" applyBorder="1" applyAlignment="1">
      <alignment horizontal="left"/>
    </xf>
    <xf numFmtId="38" fontId="0" fillId="8" borderId="5" xfId="0" applyNumberFormat="1" applyFill="1" applyBorder="1" applyAlignment="1">
      <alignment horizontal="right"/>
    </xf>
    <xf numFmtId="38" fontId="1" fillId="8" borderId="4" xfId="0" quotePrefix="1" applyNumberFormat="1" applyFont="1" applyFill="1" applyBorder="1" applyAlignment="1">
      <alignment horizontal="left"/>
    </xf>
    <xf numFmtId="38" fontId="0" fillId="8" borderId="2" xfId="0" applyNumberFormat="1" applyFill="1" applyBorder="1" applyAlignment="1">
      <alignment horizontal="right"/>
    </xf>
    <xf numFmtId="3" fontId="0" fillId="8" borderId="4" xfId="0" applyNumberFormat="1" applyFill="1" applyBorder="1" applyAlignment="1">
      <alignment horizontal="left"/>
    </xf>
    <xf numFmtId="3" fontId="0" fillId="8" borderId="2" xfId="0" applyNumberFormat="1" applyFill="1" applyBorder="1"/>
    <xf numFmtId="3" fontId="0" fillId="8" borderId="3" xfId="0" applyNumberFormat="1" applyFill="1" applyBorder="1"/>
    <xf numFmtId="165" fontId="0" fillId="8" borderId="4" xfId="0" quotePrefix="1" applyNumberFormat="1" applyFill="1" applyBorder="1" applyAlignment="1">
      <alignment horizontal="right"/>
    </xf>
    <xf numFmtId="165" fontId="0" fillId="8" borderId="3" xfId="0" applyNumberFormat="1" applyFill="1" applyBorder="1" applyAlignment="1">
      <alignment horizontal="right"/>
    </xf>
    <xf numFmtId="165" fontId="0" fillId="4" borderId="4" xfId="0" quotePrefix="1" applyNumberFormat="1" applyFill="1" applyBorder="1" applyAlignment="1">
      <alignment horizontal="right"/>
    </xf>
    <xf numFmtId="165" fontId="0" fillId="4" borderId="3" xfId="0" applyNumberFormat="1" applyFill="1" applyBorder="1" applyAlignment="1">
      <alignment horizontal="right"/>
    </xf>
    <xf numFmtId="3" fontId="0" fillId="9" borderId="4" xfId="0" applyNumberFormat="1" applyFill="1" applyBorder="1" applyAlignment="1">
      <alignment horizontal="left"/>
    </xf>
    <xf numFmtId="3" fontId="0" fillId="9" borderId="2" xfId="0" applyNumberFormat="1" applyFill="1" applyBorder="1"/>
    <xf numFmtId="3" fontId="0" fillId="9" borderId="3" xfId="0" applyNumberFormat="1" applyFill="1" applyBorder="1"/>
    <xf numFmtId="165" fontId="0" fillId="9" borderId="4" xfId="0" quotePrefix="1" applyNumberFormat="1" applyFill="1" applyBorder="1" applyAlignment="1">
      <alignment horizontal="right"/>
    </xf>
    <xf numFmtId="3" fontId="1" fillId="4" borderId="4" xfId="0" applyNumberFormat="1" applyFont="1" applyFill="1" applyBorder="1" applyAlignment="1">
      <alignment horizontal="left"/>
    </xf>
    <xf numFmtId="167" fontId="1" fillId="0" borderId="0" xfId="2"/>
    <xf numFmtId="40" fontId="0" fillId="0" borderId="0" xfId="1" applyNumberFormat="1" applyFont="1"/>
    <xf numFmtId="40" fontId="1" fillId="0" borderId="0" xfId="1" applyNumberFormat="1" applyFont="1"/>
    <xf numFmtId="40" fontId="3" fillId="0" borderId="0" xfId="0" applyNumberFormat="1" applyFont="1"/>
    <xf numFmtId="40" fontId="3" fillId="0" borderId="0" xfId="1" quotePrefix="1" applyNumberFormat="1" applyFont="1" applyAlignment="1">
      <alignment horizontal="right"/>
    </xf>
    <xf numFmtId="40" fontId="0" fillId="0" borderId="0" xfId="1" applyNumberFormat="1" applyFont="1" applyFill="1" applyAlignment="1">
      <alignment horizontal="right"/>
    </xf>
    <xf numFmtId="40" fontId="1" fillId="0" borderId="0" xfId="1" applyNumberFormat="1" applyFont="1" applyFill="1"/>
    <xf numFmtId="40" fontId="0" fillId="0" borderId="0" xfId="1" applyNumberFormat="1" applyFont="1" applyFill="1"/>
    <xf numFmtId="167" fontId="8" fillId="0" borderId="0" xfId="2" applyFont="1" applyAlignment="1">
      <alignment horizontal="center"/>
    </xf>
    <xf numFmtId="4" fontId="1" fillId="0" borderId="0" xfId="2" applyNumberFormat="1"/>
    <xf numFmtId="40" fontId="1" fillId="0" borderId="0" xfId="2" applyNumberFormat="1"/>
    <xf numFmtId="40" fontId="1" fillId="0" borderId="0" xfId="2" applyNumberFormat="1" applyAlignment="1">
      <alignment horizontal="center"/>
    </xf>
    <xf numFmtId="40" fontId="0" fillId="0" borderId="0" xfId="1" applyNumberFormat="1" applyFont="1" applyAlignment="1">
      <alignment horizontal="right"/>
    </xf>
    <xf numFmtId="167" fontId="1" fillId="2" borderId="15" xfId="2" applyFill="1" applyBorder="1"/>
    <xf numFmtId="40" fontId="0" fillId="2" borderId="15" xfId="1" applyNumberFormat="1" applyFont="1" applyFill="1" applyBorder="1" applyAlignment="1">
      <alignment horizontal="center"/>
    </xf>
    <xf numFmtId="40" fontId="3" fillId="11" borderId="15" xfId="1" applyNumberFormat="1" applyFont="1" applyFill="1" applyBorder="1" applyAlignment="1">
      <alignment horizontal="center"/>
    </xf>
    <xf numFmtId="40" fontId="1" fillId="2" borderId="15" xfId="1" applyNumberFormat="1" applyFont="1" applyFill="1" applyBorder="1" applyAlignment="1">
      <alignment horizontal="center"/>
    </xf>
    <xf numFmtId="40" fontId="0" fillId="2" borderId="15" xfId="1" quotePrefix="1" applyNumberFormat="1" applyFont="1" applyFill="1" applyBorder="1" applyAlignment="1">
      <alignment horizontal="center"/>
    </xf>
    <xf numFmtId="40" fontId="1" fillId="2" borderId="15" xfId="1" quotePrefix="1" applyNumberFormat="1" applyFont="1" applyFill="1" applyBorder="1" applyAlignment="1">
      <alignment horizontal="center"/>
    </xf>
    <xf numFmtId="40" fontId="1" fillId="4" borderId="1" xfId="2" applyNumberFormat="1" applyFill="1" applyBorder="1" applyAlignment="1">
      <alignment horizontal="center"/>
    </xf>
    <xf numFmtId="167" fontId="1" fillId="2" borderId="17" xfId="2" applyFill="1" applyBorder="1"/>
    <xf numFmtId="40" fontId="0" fillId="2" borderId="17" xfId="1" applyNumberFormat="1" applyFont="1" applyFill="1" applyBorder="1"/>
    <xf numFmtId="40" fontId="0" fillId="2" borderId="17" xfId="1" applyNumberFormat="1" applyFont="1" applyFill="1" applyBorder="1" applyAlignment="1">
      <alignment horizontal="center"/>
    </xf>
    <xf numFmtId="40" fontId="3" fillId="11" borderId="17" xfId="1" applyNumberFormat="1" applyFont="1" applyFill="1" applyBorder="1" applyAlignment="1">
      <alignment horizontal="center"/>
    </xf>
    <xf numFmtId="40" fontId="0" fillId="2" borderId="17" xfId="1" quotePrefix="1" applyNumberFormat="1" applyFont="1" applyFill="1" applyBorder="1" applyAlignment="1">
      <alignment horizontal="center"/>
    </xf>
    <xf numFmtId="40" fontId="1" fillId="2" borderId="17" xfId="1" quotePrefix="1" applyNumberFormat="1" applyFont="1" applyFill="1" applyBorder="1" applyAlignment="1">
      <alignment horizontal="center"/>
    </xf>
    <xf numFmtId="40" fontId="1" fillId="2" borderId="17" xfId="1" applyNumberFormat="1" applyFont="1" applyFill="1" applyBorder="1" applyAlignment="1">
      <alignment horizontal="center"/>
    </xf>
    <xf numFmtId="40" fontId="1" fillId="4" borderId="8" xfId="2" applyNumberFormat="1" applyFill="1" applyBorder="1" applyAlignment="1">
      <alignment horizontal="center"/>
    </xf>
    <xf numFmtId="40" fontId="0" fillId="0" borderId="0" xfId="1" applyNumberFormat="1" applyFont="1" applyFill="1" applyBorder="1"/>
    <xf numFmtId="40" fontId="0" fillId="0" borderId="0" xfId="1" applyNumberFormat="1" applyFont="1" applyFill="1" applyBorder="1" applyAlignment="1">
      <alignment horizontal="center"/>
    </xf>
    <xf numFmtId="40" fontId="3" fillId="0" borderId="0" xfId="1" applyNumberFormat="1" applyFont="1" applyFill="1" applyBorder="1" applyAlignment="1">
      <alignment horizontal="center"/>
    </xf>
    <xf numFmtId="40" fontId="0" fillId="0" borderId="0" xfId="1" quotePrefix="1" applyNumberFormat="1" applyFont="1" applyFill="1" applyBorder="1" applyAlignment="1">
      <alignment horizontal="center"/>
    </xf>
    <xf numFmtId="40" fontId="1" fillId="0" borderId="0" xfId="1" quotePrefix="1" applyNumberFormat="1" applyFont="1" applyFill="1" applyBorder="1" applyAlignment="1">
      <alignment horizontal="center"/>
    </xf>
    <xf numFmtId="40" fontId="1" fillId="0" borderId="0" xfId="1" applyNumberFormat="1" applyFont="1" applyFill="1" applyBorder="1" applyAlignment="1">
      <alignment horizontal="center"/>
    </xf>
    <xf numFmtId="167" fontId="1" fillId="0" borderId="0" xfId="2" applyAlignment="1">
      <alignment horizontal="center"/>
    </xf>
    <xf numFmtId="167" fontId="3" fillId="4" borderId="0" xfId="2" applyFont="1" applyFill="1"/>
    <xf numFmtId="167" fontId="1" fillId="4" borderId="0" xfId="2" applyFill="1"/>
    <xf numFmtId="40" fontId="0" fillId="0" borderId="0" xfId="1" applyNumberFormat="1" applyFont="1" applyFill="1" applyBorder="1" applyAlignment="1">
      <alignment horizontal="right"/>
    </xf>
    <xf numFmtId="40" fontId="0" fillId="0" borderId="0" xfId="1" quotePrefix="1" applyNumberFormat="1" applyFont="1" applyFill="1" applyBorder="1" applyAlignment="1">
      <alignment horizontal="right"/>
    </xf>
    <xf numFmtId="40" fontId="1" fillId="0" borderId="0" xfId="1" quotePrefix="1" applyNumberFormat="1" applyFont="1" applyFill="1" applyBorder="1" applyAlignment="1">
      <alignment horizontal="right"/>
    </xf>
    <xf numFmtId="167" fontId="3" fillId="0" borderId="0" xfId="2" applyFont="1"/>
    <xf numFmtId="40" fontId="1" fillId="0" borderId="0" xfId="1" applyNumberFormat="1" applyFont="1" applyFill="1" applyBorder="1"/>
    <xf numFmtId="40" fontId="1" fillId="0" borderId="0" xfId="1" applyNumberFormat="1" applyFont="1" applyFill="1" applyBorder="1" applyAlignment="1">
      <alignment horizontal="right"/>
    </xf>
    <xf numFmtId="167" fontId="3" fillId="2" borderId="10" xfId="2" applyFont="1" applyFill="1" applyBorder="1"/>
    <xf numFmtId="40" fontId="0" fillId="2" borderId="10" xfId="1" applyNumberFormat="1" applyFont="1" applyFill="1" applyBorder="1"/>
    <xf numFmtId="40" fontId="0" fillId="0" borderId="0" xfId="1" applyNumberFormat="1" applyFont="1" applyFill="1" applyBorder="1" applyAlignment="1"/>
    <xf numFmtId="40" fontId="1" fillId="0" borderId="0" xfId="1" applyNumberFormat="1" applyFont="1" applyFill="1" applyBorder="1" applyAlignment="1"/>
    <xf numFmtId="40" fontId="0" fillId="0" borderId="0" xfId="1" quotePrefix="1" applyNumberFormat="1" applyFont="1" applyFill="1" applyBorder="1" applyAlignment="1"/>
    <xf numFmtId="40" fontId="1" fillId="0" borderId="0" xfId="1" quotePrefix="1" applyNumberFormat="1" applyFont="1" applyFill="1" applyBorder="1" applyAlignment="1"/>
    <xf numFmtId="40" fontId="1" fillId="0" borderId="0" xfId="3" applyNumberFormat="1"/>
    <xf numFmtId="167" fontId="1" fillId="12" borderId="0" xfId="2" applyFill="1"/>
    <xf numFmtId="40" fontId="0" fillId="12" borderId="0" xfId="1" applyNumberFormat="1" applyFont="1" applyFill="1" applyBorder="1"/>
    <xf numFmtId="40" fontId="0" fillId="12" borderId="0" xfId="1" applyNumberFormat="1" applyFont="1" applyFill="1" applyBorder="1" applyAlignment="1">
      <alignment horizontal="center"/>
    </xf>
    <xf numFmtId="40" fontId="0" fillId="12" borderId="0" xfId="1" applyNumberFormat="1" applyFont="1" applyFill="1" applyBorder="1" applyAlignment="1">
      <alignment horizontal="right"/>
    </xf>
    <xf numFmtId="40" fontId="0" fillId="12" borderId="0" xfId="1" quotePrefix="1" applyNumberFormat="1" applyFont="1" applyFill="1" applyBorder="1" applyAlignment="1">
      <alignment horizontal="right"/>
    </xf>
    <xf numFmtId="40" fontId="1" fillId="12" borderId="0" xfId="1" applyNumberFormat="1" applyFont="1" applyFill="1" applyBorder="1" applyAlignment="1">
      <alignment horizontal="right"/>
    </xf>
    <xf numFmtId="167" fontId="1" fillId="12" borderId="0" xfId="2" applyFill="1" applyAlignment="1">
      <alignment horizontal="center"/>
    </xf>
    <xf numFmtId="167" fontId="8" fillId="12" borderId="0" xfId="2" applyFont="1" applyFill="1" applyAlignment="1">
      <alignment horizontal="center"/>
    </xf>
    <xf numFmtId="4" fontId="1" fillId="12" borderId="0" xfId="2" applyNumberFormat="1" applyFill="1"/>
    <xf numFmtId="40" fontId="1" fillId="12" borderId="0" xfId="2" applyNumberFormat="1" applyFill="1"/>
    <xf numFmtId="40" fontId="1" fillId="12" borderId="0" xfId="2" applyNumberFormat="1" applyFill="1" applyAlignment="1">
      <alignment horizontal="center"/>
    </xf>
    <xf numFmtId="40" fontId="1" fillId="12" borderId="0" xfId="1" quotePrefix="1" applyNumberFormat="1" applyFont="1" applyFill="1" applyBorder="1" applyAlignment="1">
      <alignment horizontal="right"/>
    </xf>
    <xf numFmtId="40" fontId="3" fillId="0" borderId="0" xfId="1" applyNumberFormat="1" applyFont="1" applyFill="1"/>
    <xf numFmtId="40" fontId="0" fillId="4" borderId="0" xfId="1" quotePrefix="1" applyNumberFormat="1" applyFont="1" applyFill="1" applyBorder="1" applyAlignment="1">
      <alignment horizontal="right"/>
    </xf>
    <xf numFmtId="167" fontId="3" fillId="6" borderId="0" xfId="2" applyFont="1" applyFill="1"/>
    <xf numFmtId="167" fontId="1" fillId="6" borderId="0" xfId="2" applyFill="1"/>
    <xf numFmtId="40" fontId="10" fillId="0" borderId="0" xfId="1" applyNumberFormat="1" applyFont="1" applyFill="1" applyBorder="1" applyAlignment="1">
      <alignment horizontal="right"/>
    </xf>
    <xf numFmtId="40" fontId="0" fillId="2" borderId="10" xfId="1" applyNumberFormat="1" applyFont="1" applyFill="1" applyBorder="1" applyAlignment="1">
      <alignment horizontal="right"/>
    </xf>
    <xf numFmtId="40" fontId="1" fillId="2" borderId="10" xfId="1" applyNumberFormat="1" applyFont="1" applyFill="1" applyBorder="1"/>
    <xf numFmtId="167" fontId="1" fillId="13" borderId="0" xfId="2" applyFill="1" applyAlignment="1">
      <alignment horizontal="center"/>
    </xf>
    <xf numFmtId="167" fontId="1" fillId="13" borderId="0" xfId="2" applyFill="1"/>
    <xf numFmtId="40" fontId="1" fillId="0" borderId="0" xfId="2" applyNumberFormat="1" applyAlignment="1">
      <alignment horizontal="right"/>
    </xf>
    <xf numFmtId="167" fontId="1" fillId="0" borderId="0" xfId="2" applyAlignment="1">
      <alignment horizontal="left"/>
    </xf>
    <xf numFmtId="49" fontId="1" fillId="0" borderId="0" xfId="1" applyNumberFormat="1" applyFont="1" applyFill="1" applyBorder="1" applyAlignment="1">
      <alignment horizontal="left"/>
    </xf>
    <xf numFmtId="167" fontId="1" fillId="10" borderId="7" xfId="2" applyFill="1" applyBorder="1" applyAlignment="1">
      <alignment horizontal="left"/>
    </xf>
    <xf numFmtId="40" fontId="1" fillId="10" borderId="5" xfId="1" applyNumberFormat="1" applyFont="1" applyFill="1" applyBorder="1"/>
    <xf numFmtId="167" fontId="1" fillId="2" borderId="10" xfId="2" quotePrefix="1" applyFill="1" applyBorder="1" applyAlignment="1">
      <alignment horizontal="left"/>
    </xf>
    <xf numFmtId="167" fontId="1" fillId="0" borderId="0" xfId="2" quotePrefix="1" applyAlignment="1">
      <alignment horizontal="left"/>
    </xf>
    <xf numFmtId="40" fontId="3" fillId="0" borderId="0" xfId="1" applyNumberFormat="1" applyFont="1" applyFill="1" applyBorder="1"/>
    <xf numFmtId="40" fontId="10" fillId="0" borderId="0" xfId="1" quotePrefix="1" applyNumberFormat="1" applyFont="1" applyFill="1" applyBorder="1" applyAlignment="1">
      <alignment horizontal="right"/>
    </xf>
    <xf numFmtId="167" fontId="1" fillId="0" borderId="2" xfId="2" quotePrefix="1" applyBorder="1" applyAlignment="1">
      <alignment horizontal="left"/>
    </xf>
    <xf numFmtId="40" fontId="0" fillId="0" borderId="2" xfId="1" applyNumberFormat="1" applyFont="1" applyFill="1" applyBorder="1"/>
    <xf numFmtId="40" fontId="10" fillId="0" borderId="2" xfId="1" applyNumberFormat="1" applyFont="1" applyFill="1" applyBorder="1" applyAlignment="1">
      <alignment horizontal="right"/>
    </xf>
    <xf numFmtId="40" fontId="1" fillId="0" borderId="2" xfId="1" applyNumberFormat="1" applyFont="1" applyFill="1" applyBorder="1"/>
    <xf numFmtId="40" fontId="0" fillId="10" borderId="5" xfId="1" applyNumberFormat="1" applyFont="1" applyFill="1" applyBorder="1"/>
    <xf numFmtId="40" fontId="1" fillId="0" borderId="0" xfId="1" applyNumberFormat="1" applyFont="1" applyAlignment="1">
      <alignment horizontal="right"/>
    </xf>
    <xf numFmtId="40" fontId="3" fillId="0" borderId="0" xfId="2" quotePrefix="1" applyNumberFormat="1" applyFont="1" applyAlignment="1">
      <alignment horizontal="left"/>
    </xf>
    <xf numFmtId="40" fontId="3" fillId="14" borderId="10" xfId="1" applyNumberFormat="1" applyFont="1" applyFill="1" applyBorder="1"/>
    <xf numFmtId="40" fontId="3" fillId="14" borderId="2" xfId="1" applyNumberFormat="1" applyFont="1" applyFill="1" applyBorder="1"/>
    <xf numFmtId="168" fontId="1" fillId="0" borderId="0" xfId="2" applyNumberFormat="1" applyAlignment="1">
      <alignment horizontal="right"/>
    </xf>
    <xf numFmtId="40" fontId="1" fillId="0" borderId="0" xfId="1" applyNumberFormat="1" applyFont="1" applyBorder="1" applyAlignment="1">
      <alignment horizontal="right"/>
    </xf>
    <xf numFmtId="40" fontId="1" fillId="0" borderId="0" xfId="1" applyNumberFormat="1" applyFont="1" applyAlignment="1">
      <alignment horizontal="left"/>
    </xf>
    <xf numFmtId="40" fontId="0" fillId="0" borderId="0" xfId="1" applyNumberFormat="1" applyFont="1" applyAlignment="1">
      <alignment horizontal="center"/>
    </xf>
    <xf numFmtId="40" fontId="0" fillId="15" borderId="0" xfId="1" applyNumberFormat="1" applyFont="1" applyFill="1" applyAlignment="1">
      <alignment horizontal="right"/>
    </xf>
    <xf numFmtId="40" fontId="1" fillId="0" borderId="0" xfId="1" applyNumberFormat="1" applyFont="1" applyBorder="1" applyAlignment="1">
      <alignment horizontal="center"/>
    </xf>
    <xf numFmtId="40" fontId="12" fillId="0" borderId="0" xfId="1" applyNumberFormat="1" applyFont="1"/>
    <xf numFmtId="0" fontId="1" fillId="0" borderId="0" xfId="0" applyFont="1" applyAlignment="1">
      <alignment horizontal="center"/>
    </xf>
    <xf numFmtId="40" fontId="0" fillId="0" borderId="0" xfId="1" applyNumberFormat="1" applyFont="1" applyBorder="1"/>
    <xf numFmtId="169" fontId="1" fillId="0" borderId="0" xfId="2" applyNumberFormat="1" applyAlignment="1">
      <alignment horizontal="center"/>
    </xf>
    <xf numFmtId="40" fontId="1" fillId="0" borderId="0" xfId="1" applyNumberFormat="1" applyFont="1" applyFill="1" applyBorder="1" applyAlignment="1">
      <alignment horizontal="left"/>
    </xf>
    <xf numFmtId="40" fontId="1" fillId="0" borderId="0" xfId="1" applyNumberFormat="1" applyFont="1" applyBorder="1" applyAlignment="1">
      <alignment horizontal="left"/>
    </xf>
    <xf numFmtId="40" fontId="0" fillId="0" borderId="0" xfId="1" applyNumberFormat="1" applyFont="1" applyBorder="1" applyAlignment="1">
      <alignment horizontal="right"/>
    </xf>
    <xf numFmtId="40" fontId="1" fillId="0" borderId="0" xfId="1" applyNumberFormat="1" applyFont="1" applyAlignment="1">
      <alignment horizontal="center"/>
    </xf>
    <xf numFmtId="40" fontId="0" fillId="0" borderId="0" xfId="1" applyNumberFormat="1" applyFont="1" applyAlignment="1">
      <alignment horizontal="left"/>
    </xf>
    <xf numFmtId="168" fontId="0" fillId="0" borderId="0" xfId="1" applyNumberFormat="1" applyFont="1" applyAlignment="1">
      <alignment horizontal="right"/>
    </xf>
    <xf numFmtId="40" fontId="0" fillId="0" borderId="0" xfId="1" applyNumberFormat="1" applyFont="1" applyAlignment="1"/>
    <xf numFmtId="40" fontId="1" fillId="0" borderId="0" xfId="1" applyNumberFormat="1" applyFont="1" applyAlignment="1"/>
    <xf numFmtId="40" fontId="0" fillId="0" borderId="0" xfId="1" applyNumberFormat="1" applyFont="1" applyFill="1" applyAlignment="1">
      <alignment horizontal="center"/>
    </xf>
    <xf numFmtId="40" fontId="1" fillId="0" borderId="0" xfId="1" applyNumberFormat="1" applyFont="1" applyFill="1" applyAlignment="1">
      <alignment horizontal="right"/>
    </xf>
    <xf numFmtId="40" fontId="1" fillId="0" borderId="0" xfId="1" applyNumberFormat="1" applyFont="1" applyFill="1" applyAlignment="1">
      <alignment horizontal="center"/>
    </xf>
    <xf numFmtId="40" fontId="0" fillId="0" borderId="0" xfId="1" applyNumberFormat="1" applyFont="1" applyAlignment="1">
      <alignment horizontal="center" vertical="center"/>
    </xf>
    <xf numFmtId="4" fontId="1" fillId="0" borderId="0" xfId="0" applyNumberFormat="1" applyFont="1"/>
    <xf numFmtId="4" fontId="1" fillId="0" borderId="0" xfId="1" applyNumberFormat="1" applyFont="1" applyFill="1" applyBorder="1"/>
    <xf numFmtId="43" fontId="7" fillId="0" borderId="0" xfId="1"/>
    <xf numFmtId="40" fontId="3" fillId="0" borderId="0" xfId="1" applyNumberFormat="1" applyFont="1" applyAlignment="1">
      <alignment horizontal="center"/>
    </xf>
    <xf numFmtId="0" fontId="14" fillId="0" borderId="0" xfId="0" applyFont="1" applyAlignment="1">
      <alignment vertical="center"/>
    </xf>
    <xf numFmtId="167" fontId="1" fillId="0" borderId="18" xfId="2" applyBorder="1"/>
    <xf numFmtId="40" fontId="0" fillId="0" borderId="19" xfId="1" applyNumberFormat="1" applyFont="1" applyBorder="1"/>
    <xf numFmtId="40" fontId="1" fillId="0" borderId="16" xfId="1" applyNumberFormat="1" applyFont="1" applyBorder="1" applyAlignment="1">
      <alignment horizontal="left"/>
    </xf>
    <xf numFmtId="40" fontId="1" fillId="0" borderId="20" xfId="2" applyNumberFormat="1" applyBorder="1"/>
    <xf numFmtId="40" fontId="0" fillId="0" borderId="20" xfId="1" applyNumberFormat="1" applyFont="1" applyFill="1" applyBorder="1"/>
    <xf numFmtId="40" fontId="0" fillId="0" borderId="20" xfId="1" applyNumberFormat="1" applyFont="1" applyBorder="1"/>
    <xf numFmtId="167" fontId="1" fillId="0" borderId="16" xfId="2" applyBorder="1"/>
    <xf numFmtId="40" fontId="1" fillId="0" borderId="20" xfId="1" applyNumberFormat="1" applyFont="1" applyBorder="1"/>
    <xf numFmtId="167" fontId="1" fillId="0" borderId="21" xfId="2" applyBorder="1"/>
    <xf numFmtId="40" fontId="0" fillId="0" borderId="22" xfId="1" applyNumberFormat="1" applyFont="1" applyBorder="1"/>
    <xf numFmtId="165" fontId="2" fillId="0" borderId="5" xfId="0" applyNumberFormat="1" applyFont="1" applyBorder="1"/>
    <xf numFmtId="165" fontId="2" fillId="0" borderId="3" xfId="0" applyNumberFormat="1" applyFont="1" applyBorder="1" applyAlignment="1">
      <alignment horizontal="right"/>
    </xf>
    <xf numFmtId="40" fontId="2" fillId="0" borderId="0" xfId="1" applyNumberFormat="1" applyFont="1" applyAlignment="1">
      <alignment horizontal="right"/>
    </xf>
    <xf numFmtId="40" fontId="2" fillId="0" borderId="0" xfId="1" applyNumberFormat="1" applyFont="1" applyAlignment="1">
      <alignment horizontal="left"/>
    </xf>
    <xf numFmtId="40" fontId="1" fillId="0" borderId="0" xfId="1" applyNumberFormat="1" applyFont="1" applyAlignment="1">
      <alignment horizontal="left" vertical="center"/>
    </xf>
    <xf numFmtId="40" fontId="3" fillId="10" borderId="5" xfId="1" applyNumberFormat="1" applyFont="1" applyFill="1" applyBorder="1"/>
    <xf numFmtId="40" fontId="3" fillId="14" borderId="23" xfId="1" applyNumberFormat="1" applyFont="1" applyFill="1" applyBorder="1"/>
    <xf numFmtId="167" fontId="1" fillId="0" borderId="0" xfId="2" quotePrefix="1"/>
    <xf numFmtId="165" fontId="0" fillId="0" borderId="2" xfId="0" applyNumberFormat="1" applyBorder="1" applyAlignment="1">
      <alignment horizontal="right"/>
    </xf>
    <xf numFmtId="165" fontId="0" fillId="0" borderId="9" xfId="0" applyNumberFormat="1" applyBorder="1"/>
    <xf numFmtId="0" fontId="2" fillId="0" borderId="0" xfId="0" applyFont="1"/>
    <xf numFmtId="165" fontId="0" fillId="0" borderId="7" xfId="0" quotePrefix="1" applyNumberFormat="1" applyBorder="1" applyAlignment="1">
      <alignment horizontal="right"/>
    </xf>
    <xf numFmtId="165" fontId="0" fillId="0" borderId="11" xfId="0" applyNumberFormat="1" applyBorder="1" applyAlignment="1">
      <alignment horizontal="right"/>
    </xf>
    <xf numFmtId="40" fontId="1" fillId="0" borderId="0" xfId="1" applyNumberFormat="1" applyFont="1" applyBorder="1"/>
    <xf numFmtId="38" fontId="0" fillId="0" borderId="0" xfId="1" applyNumberFormat="1" applyFont="1" applyAlignment="1">
      <alignment horizontal="right"/>
    </xf>
    <xf numFmtId="38" fontId="0" fillId="0" borderId="0" xfId="1" applyNumberFormat="1" applyFont="1"/>
    <xf numFmtId="0" fontId="1" fillId="0" borderId="0" xfId="0" quotePrefix="1" applyFont="1" applyAlignment="1">
      <alignment horizontal="center"/>
    </xf>
    <xf numFmtId="164" fontId="1" fillId="0" borderId="0" xfId="0" applyNumberFormat="1" applyFont="1" applyAlignment="1">
      <alignment horizontal="center"/>
    </xf>
    <xf numFmtId="165" fontId="1" fillId="0" borderId="3" xfId="0" applyNumberFormat="1" applyFont="1" applyBorder="1" applyAlignment="1">
      <alignment horizontal="right"/>
    </xf>
    <xf numFmtId="10" fontId="0" fillId="0" borderId="0" xfId="0" quotePrefix="1" applyNumberFormat="1" applyAlignment="1">
      <alignment horizontal="left"/>
    </xf>
    <xf numFmtId="43" fontId="0" fillId="0" borderId="0" xfId="1" applyFont="1"/>
    <xf numFmtId="167" fontId="1" fillId="0" borderId="0" xfId="2" quotePrefix="1" applyAlignment="1">
      <alignment horizontal="right"/>
    </xf>
    <xf numFmtId="43" fontId="3" fillId="0" borderId="0" xfId="1" applyFont="1"/>
    <xf numFmtId="40" fontId="1" fillId="4" borderId="0" xfId="1" applyNumberFormat="1" applyFont="1" applyFill="1" applyAlignment="1">
      <alignment horizontal="center"/>
    </xf>
    <xf numFmtId="40" fontId="1" fillId="4" borderId="0" xfId="1" applyNumberFormat="1" applyFont="1" applyFill="1"/>
    <xf numFmtId="165" fontId="1" fillId="0" borderId="7" xfId="0" applyNumberFormat="1" applyFont="1" applyBorder="1" applyAlignment="1">
      <alignment horizontal="right"/>
    </xf>
    <xf numFmtId="165" fontId="1" fillId="0" borderId="4" xfId="0" quotePrefix="1" applyNumberFormat="1" applyFont="1" applyBorder="1" applyAlignment="1">
      <alignment horizontal="right"/>
    </xf>
    <xf numFmtId="165" fontId="1" fillId="0" borderId="7" xfId="0" applyNumberFormat="1" applyFont="1" applyBorder="1" applyAlignment="1">
      <alignment horizontal="left"/>
    </xf>
    <xf numFmtId="165" fontId="1" fillId="0" borderId="24" xfId="0" quotePrefix="1" applyNumberFormat="1" applyFont="1" applyBorder="1" applyAlignment="1">
      <alignment horizontal="right"/>
    </xf>
    <xf numFmtId="165" fontId="0" fillId="6" borderId="2" xfId="0" applyNumberFormat="1" applyFill="1" applyBorder="1"/>
    <xf numFmtId="165" fontId="0" fillId="6" borderId="4" xfId="0" quotePrefix="1" applyNumberFormat="1" applyFill="1" applyBorder="1" applyAlignment="1">
      <alignment horizontal="right"/>
    </xf>
    <xf numFmtId="38" fontId="1" fillId="0" borderId="0" xfId="0" applyNumberFormat="1" applyFont="1" applyAlignment="1">
      <alignment horizontal="right"/>
    </xf>
    <xf numFmtId="165" fontId="0" fillId="6" borderId="7" xfId="0" applyNumberFormat="1" applyFill="1" applyBorder="1"/>
    <xf numFmtId="165" fontId="0" fillId="0" borderId="4" xfId="0" quotePrefix="1" applyNumberFormat="1" applyBorder="1" applyAlignment="1">
      <alignment horizontal="center"/>
    </xf>
    <xf numFmtId="166" fontId="0" fillId="0" borderId="2" xfId="0" applyNumberFormat="1" applyBorder="1" applyAlignment="1">
      <alignment horizontal="center"/>
    </xf>
    <xf numFmtId="165" fontId="0" fillId="0" borderId="3" xfId="0" applyNumberFormat="1" applyBorder="1" applyAlignment="1">
      <alignment horizontal="center"/>
    </xf>
    <xf numFmtId="165" fontId="0" fillId="6" borderId="4" xfId="0" quotePrefix="1" applyNumberFormat="1" applyFill="1" applyBorder="1" applyAlignment="1">
      <alignment horizontal="center"/>
    </xf>
    <xf numFmtId="165" fontId="16" fillId="0" borderId="2" xfId="0" applyNumberFormat="1" applyFont="1" applyBorder="1" applyAlignment="1">
      <alignment horizontal="center"/>
    </xf>
    <xf numFmtId="165" fontId="16" fillId="0" borderId="7" xfId="0" quotePrefix="1" applyNumberFormat="1" applyFont="1" applyBorder="1"/>
    <xf numFmtId="165" fontId="16" fillId="3" borderId="5" xfId="0" applyNumberFormat="1" applyFont="1" applyFill="1" applyBorder="1"/>
    <xf numFmtId="165" fontId="16" fillId="3" borderId="7" xfId="0" quotePrefix="1" applyNumberFormat="1" applyFont="1" applyFill="1" applyBorder="1"/>
    <xf numFmtId="165" fontId="17" fillId="4" borderId="7" xfId="0" quotePrefix="1" applyNumberFormat="1" applyFont="1" applyFill="1" applyBorder="1"/>
    <xf numFmtId="165" fontId="17" fillId="4" borderId="2" xfId="0" applyNumberFormat="1" applyFont="1" applyFill="1" applyBorder="1"/>
    <xf numFmtId="165" fontId="18" fillId="8" borderId="2" xfId="0" applyNumberFormat="1" applyFont="1" applyFill="1" applyBorder="1"/>
    <xf numFmtId="165" fontId="19" fillId="9" borderId="2" xfId="0" applyNumberFormat="1" applyFont="1" applyFill="1" applyBorder="1"/>
    <xf numFmtId="165" fontId="16" fillId="0" borderId="7" xfId="0" quotePrefix="1" applyNumberFormat="1" applyFont="1" applyBorder="1" applyAlignment="1">
      <alignment horizontal="center"/>
    </xf>
    <xf numFmtId="165" fontId="16" fillId="0" borderId="11" xfId="0" quotePrefix="1" applyNumberFormat="1" applyFont="1" applyBorder="1" applyAlignment="1">
      <alignment horizontal="center"/>
    </xf>
    <xf numFmtId="38" fontId="0" fillId="2" borderId="5" xfId="0" applyNumberFormat="1" applyFill="1" applyBorder="1" applyAlignment="1">
      <alignment horizontal="center"/>
    </xf>
    <xf numFmtId="38" fontId="0" fillId="2" borderId="11" xfId="0" applyNumberFormat="1" applyFill="1" applyBorder="1" applyAlignment="1">
      <alignment horizontal="center"/>
    </xf>
    <xf numFmtId="38" fontId="1" fillId="8" borderId="7" xfId="0" applyNumberFormat="1" applyFont="1" applyFill="1" applyBorder="1" applyAlignment="1">
      <alignment horizontal="center"/>
    </xf>
    <xf numFmtId="38" fontId="1" fillId="8" borderId="5" xfId="0" applyNumberFormat="1" applyFont="1" applyFill="1" applyBorder="1" applyAlignment="1">
      <alignment horizontal="center"/>
    </xf>
    <xf numFmtId="38" fontId="1" fillId="8" borderId="11" xfId="0" applyNumberFormat="1" applyFont="1" applyFill="1" applyBorder="1" applyAlignment="1">
      <alignment horizontal="center"/>
    </xf>
    <xf numFmtId="167" fontId="1" fillId="10" borderId="0" xfId="2" applyFill="1" applyAlignment="1">
      <alignment horizontal="center"/>
    </xf>
    <xf numFmtId="167" fontId="1" fillId="10" borderId="16" xfId="2" applyFill="1" applyBorder="1" applyAlignment="1">
      <alignment horizontal="center"/>
    </xf>
  </cellXfs>
  <cellStyles count="4">
    <cellStyle name="Comma" xfId="1" builtinId="3"/>
    <cellStyle name="Normal" xfId="0" builtinId="0"/>
    <cellStyle name="Normal 2" xfId="2" xr:uid="{1A265DE3-2C02-4998-B2B5-AF43DE7BE553}"/>
    <cellStyle name="Normal 4" xfId="3" xr:uid="{B9B02C25-C261-499D-A383-1663CF3D02C9}"/>
  </cellStyles>
  <dxfs count="89">
    <dxf>
      <fill>
        <patternFill>
          <bgColor rgb="FFFF99CC"/>
        </patternFill>
      </fill>
    </dxf>
    <dxf>
      <font>
        <color rgb="FF9C0006"/>
      </font>
      <fill>
        <patternFill>
          <bgColor rgb="FFFFC7CE"/>
        </patternFill>
      </fill>
    </dxf>
    <dxf>
      <fill>
        <patternFill>
          <bgColor rgb="FFFF99CC"/>
        </patternFill>
      </fill>
    </dxf>
    <dxf>
      <fill>
        <patternFill>
          <bgColor rgb="FFFF99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99CC"/>
        </patternFill>
      </fill>
    </dxf>
    <dxf>
      <fill>
        <patternFill>
          <bgColor rgb="FFFF99CC"/>
        </patternFill>
      </fill>
    </dxf>
    <dxf>
      <font>
        <color rgb="FF9C0006"/>
      </font>
      <fill>
        <patternFill>
          <bgColor rgb="FFFFC7CE"/>
        </patternFill>
      </fill>
    </dxf>
    <dxf>
      <fill>
        <patternFill>
          <bgColor rgb="FFFF99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FinAff/GCL/Reconcile/FY2024/Bond2022A%208-14-23.xlsx" TargetMode="External"/><Relationship Id="rId2" Type="http://schemas.openxmlformats.org/officeDocument/2006/relationships/externalLinkPath" Target="file:///P:\FinAff\GCL\Reconcile\FY2024\Bond2022A%208-14-23.xlsx" TargetMode="External"/><Relationship Id="rId1" Type="http://schemas.openxmlformats.org/officeDocument/2006/relationships/externalLinkPath" Target="/FinAff/GCL/Reconcile/FY2024/Bond2022A%208-14-23.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FinAff/4ichun/Bond2021A%20CHECK%2020230420.xlsx" TargetMode="External"/><Relationship Id="rId2" Type="http://schemas.openxmlformats.org/officeDocument/2006/relationships/externalLinkPath" Target="file:///P:\FinAff\4ichun\Bond2021A%20CHECK%2020230420.xlsx" TargetMode="External"/><Relationship Id="rId1" Type="http://schemas.openxmlformats.org/officeDocument/2006/relationships/externalLinkPath" Target="/FinAff/4ichun/Bond2021A%20CHECK%2020230420.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FinAff/GCL/Reconcile/FY2023/Bond2022A%20-%2012-2022%20revised.xlsx" TargetMode="External"/><Relationship Id="rId2" Type="http://schemas.openxmlformats.org/officeDocument/2006/relationships/externalLinkPath" Target="file:///P:\FinAff\GCL\Reconcile\FY2023\Bond2022A%20-%2012-2022%20revised.xlsx" TargetMode="External"/><Relationship Id="rId1" Type="http://schemas.openxmlformats.org/officeDocument/2006/relationships/externalLinkPath" Target="/FinAff/GCL/Reconcile/FY2023/Bond2022A%20-%2012-2022%20revised.xlsx"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FinAff/GCL/Reconcile/FY2024/Bond2022A%202-14-24%20(FY14%202nd%20Debt).xlsx" TargetMode="External"/><Relationship Id="rId2" Type="http://schemas.openxmlformats.org/officeDocument/2006/relationships/externalLinkPath" Target="file:///P:\FinAff\GCL\Reconcile\FY2024\Bond2022A%202-14-24%20(FY14%202nd%20Debt).xlsx" TargetMode="External"/><Relationship Id="rId1" Type="http://schemas.openxmlformats.org/officeDocument/2006/relationships/externalLinkPath" Target="/FinAff/GCL/Reconcile/FY2024/Bond2022A%202-14-24%20(FY14%202nd%20Debt).xlsx" TargetMode="External"/></Relationships>
</file>

<file path=xl/externalLinks/_rels/externalLink5.xml.rels><?xml version="1.0" encoding="UTF-8" standalone="yes"?>
<Relationships xmlns="http://schemas.openxmlformats.org/package/2006/relationships"><Relationship Id="rId3" Type="http://schemas.openxmlformats.org/officeDocument/2006/relationships/externalLinkPath" Target="../../../../../../../../Cindy/Cindy's%20Schedule/Bond2022A%20Final%20Percentage.xlsx" TargetMode="External"/><Relationship Id="rId2" Type="http://schemas.openxmlformats.org/officeDocument/2006/relationships/externalLinkPath" Target="file:///P:\Cindy\Cindy's%20Schedule\Bond2022A%20Final%20Percentage.xlsx" TargetMode="External"/><Relationship Id="rId1" Type="http://schemas.openxmlformats.org/officeDocument/2006/relationships/externalLinkPath" Target="/Cindy/Cindy's%20Schedule/Bond2022A%20Final%20Percenta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ummary 2022A"/>
      <sheetName val="UMCP"/>
      <sheetName val="UMB"/>
      <sheetName val="UMES"/>
      <sheetName val="UMBI"/>
      <sheetName val="UMBC"/>
      <sheetName val="UMBC-UMBI"/>
      <sheetName val="UMCES"/>
      <sheetName val="BSU"/>
      <sheetName val="CSU"/>
      <sheetName val="FSU"/>
      <sheetName val="SU"/>
      <sheetName val="TU"/>
      <sheetName val="UB"/>
      <sheetName val="USM &amp; COI"/>
      <sheetName val="FR using 20-yr Bond"/>
      <sheetName val="Emergency Funds"/>
      <sheetName val="FR using 10-yr Bond"/>
      <sheetName val="Payment Activities"/>
      <sheetName val="acct balance"/>
      <sheetName val="ck"/>
      <sheetName val="Sheet3"/>
      <sheetName val="Sheet1"/>
      <sheetName val="Sheet2"/>
    </sheetNames>
    <sheetDataSet>
      <sheetData sheetId="0"/>
      <sheetData sheetId="1">
        <row r="7">
          <cell r="F7">
            <v>130000</v>
          </cell>
          <cell r="H7">
            <v>0</v>
          </cell>
          <cell r="J7">
            <v>0</v>
          </cell>
          <cell r="K7">
            <v>0</v>
          </cell>
        </row>
        <row r="15">
          <cell r="F15">
            <v>0</v>
          </cell>
          <cell r="H15">
            <v>0</v>
          </cell>
          <cell r="K15">
            <v>0</v>
          </cell>
        </row>
        <row r="30">
          <cell r="F30">
            <v>9391988</v>
          </cell>
          <cell r="H30">
            <v>0</v>
          </cell>
        </row>
        <row r="64">
          <cell r="F64">
            <v>7265970.1899999995</v>
          </cell>
          <cell r="H64">
            <v>5213380.0100000016</v>
          </cell>
        </row>
        <row r="90">
          <cell r="F90">
            <v>7300000</v>
          </cell>
          <cell r="H90">
            <v>7300000</v>
          </cell>
          <cell r="J90">
            <v>0</v>
          </cell>
          <cell r="K90">
            <v>0</v>
          </cell>
        </row>
        <row r="108">
          <cell r="F108">
            <v>0</v>
          </cell>
          <cell r="H108">
            <v>0</v>
          </cell>
          <cell r="K108">
            <v>0</v>
          </cell>
        </row>
        <row r="126">
          <cell r="F126">
            <v>0</v>
          </cell>
          <cell r="H126">
            <v>0</v>
          </cell>
          <cell r="I126">
            <v>0</v>
          </cell>
          <cell r="J126">
            <v>0</v>
          </cell>
          <cell r="K126">
            <v>0</v>
          </cell>
        </row>
        <row r="130">
          <cell r="F130">
            <v>5000000</v>
          </cell>
          <cell r="H130">
            <v>0</v>
          </cell>
        </row>
        <row r="140">
          <cell r="F140">
            <v>2152130.31</v>
          </cell>
          <cell r="H140">
            <v>309701.17000000004</v>
          </cell>
        </row>
        <row r="164">
          <cell r="F164">
            <v>4377245.3600000003</v>
          </cell>
          <cell r="H164">
            <v>1280379.5999999999</v>
          </cell>
          <cell r="J164">
            <v>0</v>
          </cell>
          <cell r="K164">
            <v>0</v>
          </cell>
        </row>
        <row r="177">
          <cell r="F177">
            <v>3454592.8500000006</v>
          </cell>
          <cell r="H177">
            <v>30672.97</v>
          </cell>
          <cell r="K177">
            <v>0</v>
          </cell>
        </row>
        <row r="191">
          <cell r="F191">
            <v>0</v>
          </cell>
          <cell r="H191">
            <v>0</v>
          </cell>
          <cell r="I191">
            <v>0</v>
          </cell>
          <cell r="J191">
            <v>0</v>
          </cell>
          <cell r="K191">
            <v>0</v>
          </cell>
        </row>
        <row r="196">
          <cell r="F196">
            <v>0</v>
          </cell>
          <cell r="H196">
            <v>0</v>
          </cell>
          <cell r="J196">
            <v>0</v>
          </cell>
          <cell r="K196">
            <v>0</v>
          </cell>
        </row>
        <row r="201">
          <cell r="F201">
            <v>0</v>
          </cell>
          <cell r="H201">
            <v>0</v>
          </cell>
          <cell r="J201">
            <v>0</v>
          </cell>
          <cell r="K201">
            <v>0</v>
          </cell>
        </row>
        <row r="209">
          <cell r="F209">
            <v>0</v>
          </cell>
          <cell r="H209">
            <v>0</v>
          </cell>
          <cell r="J209">
            <v>0</v>
          </cell>
          <cell r="K209">
            <v>0</v>
          </cell>
        </row>
        <row r="216">
          <cell r="F216">
            <v>8000000</v>
          </cell>
          <cell r="H216">
            <v>0</v>
          </cell>
        </row>
        <row r="231">
          <cell r="F231">
            <v>-3.2596290111541748E-9</v>
          </cell>
          <cell r="H231">
            <v>0</v>
          </cell>
          <cell r="I231">
            <v>0</v>
          </cell>
          <cell r="J231">
            <v>0</v>
          </cell>
          <cell r="K231">
            <v>0</v>
          </cell>
        </row>
        <row r="236">
          <cell r="F236">
            <v>6850000</v>
          </cell>
          <cell r="H236">
            <v>0</v>
          </cell>
        </row>
        <row r="241">
          <cell r="F241">
            <v>1500000</v>
          </cell>
          <cell r="H241">
            <v>0</v>
          </cell>
          <cell r="I241">
            <v>0</v>
          </cell>
          <cell r="J241">
            <v>0</v>
          </cell>
          <cell r="K241">
            <v>0</v>
          </cell>
        </row>
        <row r="274">
          <cell r="F274">
            <v>25000000</v>
          </cell>
          <cell r="H274">
            <v>24648776.460000008</v>
          </cell>
          <cell r="J274">
            <v>0</v>
          </cell>
          <cell r="K274">
            <v>0</v>
          </cell>
        </row>
        <row r="285">
          <cell r="F285">
            <v>467976.91999999993</v>
          </cell>
          <cell r="H285">
            <v>467976.92</v>
          </cell>
          <cell r="K285">
            <v>0</v>
          </cell>
        </row>
        <row r="295">
          <cell r="F295">
            <v>0</v>
          </cell>
          <cell r="H295">
            <v>0</v>
          </cell>
          <cell r="I295">
            <v>0</v>
          </cell>
          <cell r="J295">
            <v>0</v>
          </cell>
          <cell r="K295">
            <v>0</v>
          </cell>
        </row>
        <row r="301">
          <cell r="F301">
            <v>1528244.52</v>
          </cell>
          <cell r="H301">
            <v>0</v>
          </cell>
          <cell r="I301">
            <v>0</v>
          </cell>
          <cell r="J301">
            <v>0</v>
          </cell>
          <cell r="K301">
            <v>0</v>
          </cell>
        </row>
        <row r="309">
          <cell r="F309">
            <v>15000000</v>
          </cell>
          <cell r="H309">
            <v>15000000</v>
          </cell>
          <cell r="J309">
            <v>0</v>
          </cell>
          <cell r="K309">
            <v>0</v>
          </cell>
        </row>
        <row r="317">
          <cell r="F317">
            <v>4000000</v>
          </cell>
          <cell r="H317">
            <v>4000000</v>
          </cell>
          <cell r="K317">
            <v>0</v>
          </cell>
        </row>
        <row r="326">
          <cell r="F326">
            <v>5671525.9100000001</v>
          </cell>
          <cell r="H326">
            <v>5671525.9100000001</v>
          </cell>
          <cell r="I326">
            <v>0</v>
          </cell>
          <cell r="J326">
            <v>0</v>
          </cell>
          <cell r="K326">
            <v>0</v>
          </cell>
        </row>
        <row r="334">
          <cell r="F334">
            <v>0</v>
          </cell>
          <cell r="H334">
            <v>0</v>
          </cell>
          <cell r="I334">
            <v>0</v>
          </cell>
          <cell r="J334">
            <v>0</v>
          </cell>
          <cell r="K334">
            <v>0</v>
          </cell>
        </row>
        <row r="344">
          <cell r="F344">
            <v>0</v>
          </cell>
          <cell r="H344">
            <v>0</v>
          </cell>
          <cell r="K344">
            <v>0</v>
          </cell>
        </row>
      </sheetData>
      <sheetData sheetId="2">
        <row r="13">
          <cell r="F13">
            <v>4912729</v>
          </cell>
          <cell r="H13">
            <v>40614.199999999997</v>
          </cell>
        </row>
        <row r="22">
          <cell r="F22">
            <v>4996400</v>
          </cell>
          <cell r="H22">
            <v>0</v>
          </cell>
        </row>
        <row r="45">
          <cell r="F45">
            <v>3789633.93</v>
          </cell>
          <cell r="H45">
            <v>1639383.8299999998</v>
          </cell>
          <cell r="J45">
            <v>0</v>
          </cell>
          <cell r="K45">
            <v>0</v>
          </cell>
        </row>
        <row r="98">
          <cell r="F98">
            <v>4756197.12</v>
          </cell>
          <cell r="H98">
            <v>2253783.9700000002</v>
          </cell>
          <cell r="J98">
            <v>0</v>
          </cell>
          <cell r="K98">
            <v>0</v>
          </cell>
        </row>
        <row r="117">
          <cell r="F117">
            <v>1359955.46</v>
          </cell>
          <cell r="H117">
            <v>719427.3600000001</v>
          </cell>
        </row>
        <row r="140">
          <cell r="F140">
            <v>2160425.39</v>
          </cell>
          <cell r="H140">
            <v>1456842.43</v>
          </cell>
          <cell r="I140">
            <v>0</v>
          </cell>
          <cell r="J140">
            <v>0</v>
          </cell>
          <cell r="K140">
            <v>0</v>
          </cell>
        </row>
        <row r="160">
          <cell r="F160">
            <v>1826886.38</v>
          </cell>
          <cell r="H160">
            <v>1014428.9500000001</v>
          </cell>
          <cell r="I160">
            <v>0</v>
          </cell>
          <cell r="J160">
            <v>0</v>
          </cell>
          <cell r="K160">
            <v>0</v>
          </cell>
        </row>
        <row r="182">
          <cell r="F182">
            <v>1934853.7800000003</v>
          </cell>
          <cell r="H182">
            <v>945312.5199999999</v>
          </cell>
          <cell r="I182">
            <v>0</v>
          </cell>
          <cell r="J182">
            <v>0</v>
          </cell>
          <cell r="K182">
            <v>0</v>
          </cell>
        </row>
        <row r="211">
          <cell r="F211">
            <v>1592261.0099999995</v>
          </cell>
          <cell r="H211">
            <v>1142422.08</v>
          </cell>
          <cell r="I211">
            <v>0</v>
          </cell>
          <cell r="J211">
            <v>0</v>
          </cell>
          <cell r="K211">
            <v>0</v>
          </cell>
        </row>
        <row r="228">
          <cell r="F228">
            <v>89533.010000000111</v>
          </cell>
          <cell r="H228">
            <v>89533.01</v>
          </cell>
          <cell r="I228">
            <v>0</v>
          </cell>
          <cell r="J228">
            <v>0</v>
          </cell>
          <cell r="K228">
            <v>0</v>
          </cell>
        </row>
        <row r="248">
          <cell r="F248">
            <v>16004.889999999719</v>
          </cell>
          <cell r="H248">
            <v>16004.89</v>
          </cell>
          <cell r="I248">
            <v>0</v>
          </cell>
          <cell r="J248">
            <v>0</v>
          </cell>
          <cell r="K248">
            <v>0</v>
          </cell>
        </row>
        <row r="266">
          <cell r="F266">
            <v>65342.709999999992</v>
          </cell>
          <cell r="H266">
            <v>65342.71</v>
          </cell>
          <cell r="I266">
            <v>0</v>
          </cell>
          <cell r="J266">
            <v>0</v>
          </cell>
          <cell r="K266">
            <v>0</v>
          </cell>
        </row>
        <row r="289">
          <cell r="F289">
            <v>87837.970000000059</v>
          </cell>
          <cell r="H289">
            <v>87837.97</v>
          </cell>
          <cell r="I289">
            <v>0</v>
          </cell>
          <cell r="J289">
            <v>0</v>
          </cell>
          <cell r="K289">
            <v>0</v>
          </cell>
        </row>
        <row r="310">
          <cell r="F310">
            <v>11117.15999999992</v>
          </cell>
          <cell r="H310">
            <v>11117.16</v>
          </cell>
        </row>
        <row r="333">
          <cell r="F333">
            <v>14969.809999999772</v>
          </cell>
          <cell r="H333">
            <v>14969.81</v>
          </cell>
        </row>
        <row r="365">
          <cell r="F365">
            <v>13859.099999999868</v>
          </cell>
          <cell r="H365">
            <v>13859.1</v>
          </cell>
          <cell r="I365">
            <v>0</v>
          </cell>
          <cell r="J365">
            <v>0</v>
          </cell>
          <cell r="K365">
            <v>0</v>
          </cell>
        </row>
        <row r="384">
          <cell r="F384">
            <v>2700000</v>
          </cell>
          <cell r="H384">
            <v>0</v>
          </cell>
          <cell r="J384">
            <v>0</v>
          </cell>
          <cell r="K384">
            <v>0</v>
          </cell>
        </row>
      </sheetData>
      <sheetData sheetId="3">
        <row r="10">
          <cell r="F10">
            <v>0</v>
          </cell>
          <cell r="H10">
            <v>0</v>
          </cell>
          <cell r="I10">
            <v>0</v>
          </cell>
          <cell r="J10">
            <v>0</v>
          </cell>
          <cell r="K10">
            <v>0</v>
          </cell>
        </row>
        <row r="19">
          <cell r="F19">
            <v>91304.389999999985</v>
          </cell>
          <cell r="H19">
            <v>0</v>
          </cell>
          <cell r="J19">
            <v>0</v>
          </cell>
          <cell r="K19">
            <v>0</v>
          </cell>
        </row>
        <row r="24">
          <cell r="F24">
            <v>200000</v>
          </cell>
          <cell r="H24">
            <v>0</v>
          </cell>
        </row>
        <row r="31">
          <cell r="F31">
            <v>0</v>
          </cell>
          <cell r="H31">
            <v>0</v>
          </cell>
        </row>
        <row r="36">
          <cell r="F36">
            <v>700000</v>
          </cell>
          <cell r="H36">
            <v>0</v>
          </cell>
          <cell r="J36">
            <v>0</v>
          </cell>
          <cell r="K36">
            <v>0</v>
          </cell>
        </row>
        <row r="41">
          <cell r="F41">
            <v>1244579</v>
          </cell>
          <cell r="H41">
            <v>0</v>
          </cell>
        </row>
        <row r="54">
          <cell r="F54">
            <v>893375</v>
          </cell>
          <cell r="H54">
            <v>404147</v>
          </cell>
        </row>
        <row r="61">
          <cell r="F61">
            <v>988163.04</v>
          </cell>
          <cell r="H61">
            <v>21886.49</v>
          </cell>
          <cell r="J61">
            <v>0</v>
          </cell>
          <cell r="K61">
            <v>0</v>
          </cell>
        </row>
        <row r="71">
          <cell r="F71">
            <v>563795</v>
          </cell>
          <cell r="H71">
            <v>424374.56</v>
          </cell>
          <cell r="K71">
            <v>0</v>
          </cell>
        </row>
        <row r="78">
          <cell r="F78">
            <v>2200</v>
          </cell>
          <cell r="H78">
            <v>0</v>
          </cell>
          <cell r="I78">
            <v>0</v>
          </cell>
          <cell r="J78">
            <v>0</v>
          </cell>
          <cell r="K78">
            <v>0</v>
          </cell>
        </row>
        <row r="99">
          <cell r="F99">
            <v>641167.72</v>
          </cell>
          <cell r="H99">
            <v>480467.08000000007</v>
          </cell>
          <cell r="I99">
            <v>0</v>
          </cell>
          <cell r="J99">
            <v>0</v>
          </cell>
          <cell r="K99">
            <v>0</v>
          </cell>
        </row>
        <row r="109">
          <cell r="F109">
            <v>279656.52</v>
          </cell>
          <cell r="H109">
            <v>1473.29</v>
          </cell>
          <cell r="I109">
            <v>0</v>
          </cell>
          <cell r="J109">
            <v>0</v>
          </cell>
          <cell r="K109">
            <v>0</v>
          </cell>
        </row>
        <row r="117">
          <cell r="F117">
            <v>-4.1836756281554699E-11</v>
          </cell>
          <cell r="H117">
            <v>0</v>
          </cell>
          <cell r="I117">
            <v>0</v>
          </cell>
          <cell r="J117">
            <v>0</v>
          </cell>
          <cell r="K117">
            <v>0</v>
          </cell>
        </row>
        <row r="124">
          <cell r="F124">
            <v>-1.8644641386345029E-11</v>
          </cell>
          <cell r="H124">
            <v>0</v>
          </cell>
          <cell r="I124">
            <v>0</v>
          </cell>
          <cell r="J124">
            <v>0</v>
          </cell>
          <cell r="K124">
            <v>0</v>
          </cell>
        </row>
        <row r="129">
          <cell r="F129">
            <v>2192000</v>
          </cell>
          <cell r="H129">
            <v>0</v>
          </cell>
        </row>
        <row r="144">
          <cell r="F144">
            <v>7458270.3500000006</v>
          </cell>
          <cell r="H144">
            <v>1399881.2299999997</v>
          </cell>
        </row>
        <row r="151">
          <cell r="F151">
            <v>0</v>
          </cell>
          <cell r="H151">
            <v>0</v>
          </cell>
          <cell r="I151">
            <v>0</v>
          </cell>
          <cell r="J151">
            <v>0</v>
          </cell>
          <cell r="K151">
            <v>0</v>
          </cell>
        </row>
        <row r="161">
          <cell r="F161">
            <v>3867248.6600000006</v>
          </cell>
          <cell r="H161">
            <v>802730.79</v>
          </cell>
          <cell r="I161">
            <v>0</v>
          </cell>
          <cell r="J161">
            <v>0</v>
          </cell>
          <cell r="K161">
            <v>0</v>
          </cell>
        </row>
        <row r="171">
          <cell r="F171">
            <v>367810.92000000004</v>
          </cell>
          <cell r="H171">
            <v>285393.71999999997</v>
          </cell>
          <cell r="J171">
            <v>0</v>
          </cell>
          <cell r="K171">
            <v>0</v>
          </cell>
        </row>
        <row r="176">
          <cell r="F176">
            <v>800000</v>
          </cell>
          <cell r="H176">
            <v>0</v>
          </cell>
          <cell r="I176">
            <v>0</v>
          </cell>
          <cell r="J176">
            <v>0</v>
          </cell>
          <cell r="K176">
            <v>0</v>
          </cell>
        </row>
      </sheetData>
      <sheetData sheetId="4">
        <row r="65">
          <cell r="F65">
            <v>0</v>
          </cell>
          <cell r="H65">
            <v>0</v>
          </cell>
          <cell r="I65">
            <v>0</v>
          </cell>
          <cell r="J65">
            <v>0</v>
          </cell>
          <cell r="K65">
            <v>0</v>
          </cell>
        </row>
      </sheetData>
      <sheetData sheetId="5">
        <row r="8">
          <cell r="F8">
            <v>2283810</v>
          </cell>
          <cell r="H8">
            <v>0</v>
          </cell>
        </row>
        <row r="13">
          <cell r="F13">
            <v>2341242</v>
          </cell>
          <cell r="H13">
            <v>0</v>
          </cell>
        </row>
        <row r="36">
          <cell r="F36">
            <v>1758802.88</v>
          </cell>
          <cell r="H36">
            <v>266790</v>
          </cell>
          <cell r="J36">
            <v>0</v>
          </cell>
          <cell r="K36">
            <v>0</v>
          </cell>
        </row>
        <row r="42">
          <cell r="F42">
            <v>1081882</v>
          </cell>
          <cell r="H42">
            <v>0</v>
          </cell>
        </row>
        <row r="57">
          <cell r="F57">
            <v>1376135.75</v>
          </cell>
          <cell r="H57">
            <v>134506.43000000002</v>
          </cell>
          <cell r="I57">
            <v>0</v>
          </cell>
          <cell r="J57">
            <v>0</v>
          </cell>
          <cell r="K57">
            <v>0</v>
          </cell>
        </row>
        <row r="73">
          <cell r="F73">
            <v>1018734.72</v>
          </cell>
          <cell r="H73">
            <v>155222.82999999999</v>
          </cell>
          <cell r="I73">
            <v>0</v>
          </cell>
          <cell r="J73">
            <v>0</v>
          </cell>
          <cell r="K73">
            <v>0</v>
          </cell>
        </row>
        <row r="82">
          <cell r="F82">
            <v>1443819.8700000003</v>
          </cell>
          <cell r="H82">
            <v>2814.5699999999997</v>
          </cell>
          <cell r="I82">
            <v>0</v>
          </cell>
          <cell r="J82">
            <v>0</v>
          </cell>
          <cell r="K82">
            <v>0</v>
          </cell>
        </row>
        <row r="88">
          <cell r="F88">
            <v>0</v>
          </cell>
          <cell r="H88">
            <v>0</v>
          </cell>
          <cell r="I88">
            <v>0</v>
          </cell>
          <cell r="J88">
            <v>0</v>
          </cell>
          <cell r="K88">
            <v>0</v>
          </cell>
        </row>
        <row r="102">
          <cell r="F102">
            <v>0</v>
          </cell>
          <cell r="H102">
            <v>0</v>
          </cell>
          <cell r="K102">
            <v>0</v>
          </cell>
        </row>
        <row r="129">
          <cell r="F129">
            <v>0</v>
          </cell>
          <cell r="H129">
            <v>0</v>
          </cell>
          <cell r="I129">
            <v>0</v>
          </cell>
          <cell r="J129">
            <v>0</v>
          </cell>
          <cell r="K129">
            <v>0</v>
          </cell>
        </row>
        <row r="135">
          <cell r="F135">
            <v>0</v>
          </cell>
          <cell r="H135">
            <v>0</v>
          </cell>
        </row>
        <row r="142">
          <cell r="F142">
            <v>0</v>
          </cell>
          <cell r="H142">
            <v>0</v>
          </cell>
        </row>
      </sheetData>
      <sheetData sheetId="6"/>
      <sheetData sheetId="7">
        <row r="8">
          <cell r="F8">
            <v>284107</v>
          </cell>
          <cell r="H8">
            <v>0</v>
          </cell>
        </row>
        <row r="13">
          <cell r="F13">
            <v>358037</v>
          </cell>
          <cell r="H13">
            <v>0</v>
          </cell>
        </row>
        <row r="20">
          <cell r="F20">
            <v>317000</v>
          </cell>
          <cell r="H20">
            <v>216168.12</v>
          </cell>
          <cell r="J20">
            <v>0</v>
          </cell>
          <cell r="K20">
            <v>0</v>
          </cell>
        </row>
        <row r="26">
          <cell r="F26">
            <v>206031</v>
          </cell>
          <cell r="H26">
            <v>0</v>
          </cell>
        </row>
      </sheetData>
      <sheetData sheetId="8">
        <row r="8">
          <cell r="F8">
            <v>936895</v>
          </cell>
          <cell r="H8">
            <v>0</v>
          </cell>
        </row>
        <row r="17">
          <cell r="F17">
            <v>857383</v>
          </cell>
          <cell r="H17">
            <v>309815.93</v>
          </cell>
        </row>
        <row r="36">
          <cell r="F36">
            <v>1508994</v>
          </cell>
          <cell r="H36">
            <v>1508994</v>
          </cell>
          <cell r="J36">
            <v>0</v>
          </cell>
          <cell r="K36">
            <v>0</v>
          </cell>
        </row>
        <row r="51">
          <cell r="F51">
            <v>19525.149999999965</v>
          </cell>
          <cell r="H51">
            <v>19525.150000000001</v>
          </cell>
          <cell r="K51">
            <v>0</v>
          </cell>
        </row>
        <row r="60">
          <cell r="F60">
            <v>160452.45999999996</v>
          </cell>
          <cell r="H60">
            <v>160452.46</v>
          </cell>
          <cell r="I60">
            <v>0</v>
          </cell>
          <cell r="J60">
            <v>0</v>
          </cell>
          <cell r="K60">
            <v>0</v>
          </cell>
        </row>
        <row r="76">
          <cell r="F76">
            <v>351872.02</v>
          </cell>
          <cell r="H76">
            <v>351872.02</v>
          </cell>
          <cell r="I76">
            <v>0</v>
          </cell>
          <cell r="J76">
            <v>0</v>
          </cell>
          <cell r="K76">
            <v>0</v>
          </cell>
        </row>
        <row r="88">
          <cell r="F88">
            <v>73984.890000000014</v>
          </cell>
          <cell r="H88">
            <v>73984.89</v>
          </cell>
          <cell r="I88">
            <v>0</v>
          </cell>
          <cell r="J88">
            <v>0</v>
          </cell>
          <cell r="K88">
            <v>0</v>
          </cell>
        </row>
      </sheetData>
      <sheetData sheetId="9">
        <row r="8">
          <cell r="F8">
            <v>664609</v>
          </cell>
          <cell r="H8">
            <v>0</v>
          </cell>
        </row>
        <row r="16">
          <cell r="F16">
            <v>564649</v>
          </cell>
          <cell r="H16">
            <v>161371.20000000001</v>
          </cell>
        </row>
        <row r="32">
          <cell r="F32">
            <v>429133</v>
          </cell>
          <cell r="H32">
            <v>405926.88</v>
          </cell>
          <cell r="J32">
            <v>0</v>
          </cell>
          <cell r="K32">
            <v>0</v>
          </cell>
        </row>
        <row r="47">
          <cell r="F47">
            <v>258086.28999999998</v>
          </cell>
          <cell r="H47">
            <v>258086.28999999998</v>
          </cell>
          <cell r="K47">
            <v>0</v>
          </cell>
        </row>
        <row r="56">
          <cell r="F56">
            <v>0</v>
          </cell>
          <cell r="H56">
            <v>0</v>
          </cell>
          <cell r="I56">
            <v>0</v>
          </cell>
          <cell r="J56">
            <v>0</v>
          </cell>
          <cell r="K56">
            <v>0</v>
          </cell>
        </row>
        <row r="66">
          <cell r="F66">
            <v>0</v>
          </cell>
          <cell r="H66">
            <v>0</v>
          </cell>
          <cell r="I66">
            <v>0</v>
          </cell>
          <cell r="J66">
            <v>0</v>
          </cell>
          <cell r="K66">
            <v>0</v>
          </cell>
        </row>
      </sheetData>
      <sheetData sheetId="10">
        <row r="8">
          <cell r="F8">
            <v>551730</v>
          </cell>
          <cell r="H8">
            <v>0</v>
          </cell>
        </row>
        <row r="32">
          <cell r="F32">
            <v>512710</v>
          </cell>
          <cell r="H32">
            <v>377295.20999999996</v>
          </cell>
        </row>
        <row r="58">
          <cell r="F58">
            <v>623915</v>
          </cell>
          <cell r="H58">
            <v>623399.90000000014</v>
          </cell>
          <cell r="J58">
            <v>0</v>
          </cell>
          <cell r="K58">
            <v>0</v>
          </cell>
        </row>
        <row r="76">
          <cell r="F76">
            <v>282959.27</v>
          </cell>
          <cell r="H76">
            <v>282959.26999999996</v>
          </cell>
          <cell r="K76">
            <v>0</v>
          </cell>
        </row>
        <row r="91">
          <cell r="F91">
            <v>212943.80000000005</v>
          </cell>
          <cell r="H91">
            <v>212943.8</v>
          </cell>
          <cell r="I91">
            <v>0</v>
          </cell>
          <cell r="J91">
            <v>0</v>
          </cell>
          <cell r="K91">
            <v>0</v>
          </cell>
        </row>
        <row r="104">
          <cell r="F104">
            <v>64230.809999999969</v>
          </cell>
          <cell r="H104">
            <v>64230.810000000005</v>
          </cell>
          <cell r="I104">
            <v>0</v>
          </cell>
          <cell r="J104">
            <v>0</v>
          </cell>
          <cell r="K104">
            <v>0</v>
          </cell>
        </row>
        <row r="118">
          <cell r="F118">
            <v>33258.359999999986</v>
          </cell>
          <cell r="H118">
            <v>33258.36</v>
          </cell>
          <cell r="I118">
            <v>0</v>
          </cell>
          <cell r="J118">
            <v>0</v>
          </cell>
          <cell r="K118">
            <v>0</v>
          </cell>
        </row>
        <row r="131">
          <cell r="F131">
            <v>44154.119999999995</v>
          </cell>
          <cell r="H131">
            <v>44154.12</v>
          </cell>
          <cell r="I131">
            <v>0</v>
          </cell>
          <cell r="J131">
            <v>0</v>
          </cell>
          <cell r="K131">
            <v>0</v>
          </cell>
        </row>
        <row r="143">
          <cell r="F143">
            <v>9878.9700000000448</v>
          </cell>
          <cell r="H143">
            <v>9878.9699999999993</v>
          </cell>
          <cell r="I143">
            <v>0</v>
          </cell>
          <cell r="J143">
            <v>0</v>
          </cell>
          <cell r="K143">
            <v>0</v>
          </cell>
        </row>
        <row r="166">
          <cell r="F166">
            <v>3895949.43</v>
          </cell>
          <cell r="H166">
            <v>282946.76</v>
          </cell>
        </row>
        <row r="183">
          <cell r="F183">
            <v>3653846.1400000011</v>
          </cell>
          <cell r="H183">
            <v>90028.61</v>
          </cell>
          <cell r="I183">
            <v>0</v>
          </cell>
          <cell r="J183">
            <v>0</v>
          </cell>
          <cell r="K183">
            <v>0</v>
          </cell>
        </row>
        <row r="190">
          <cell r="F190">
            <v>-2.1827872842550278E-10</v>
          </cell>
          <cell r="H190">
            <v>0</v>
          </cell>
        </row>
        <row r="196">
          <cell r="F196">
            <v>12667.419999999925</v>
          </cell>
          <cell r="H196">
            <v>0</v>
          </cell>
          <cell r="I196">
            <v>0</v>
          </cell>
          <cell r="J196">
            <v>0</v>
          </cell>
          <cell r="K196">
            <v>0</v>
          </cell>
        </row>
        <row r="201">
          <cell r="F201">
            <v>1000000</v>
          </cell>
          <cell r="H201">
            <v>0</v>
          </cell>
          <cell r="J201">
            <v>0</v>
          </cell>
          <cell r="K201">
            <v>0</v>
          </cell>
        </row>
      </sheetData>
      <sheetData sheetId="11">
        <row r="8">
          <cell r="F8">
            <v>961364</v>
          </cell>
          <cell r="H8">
            <v>0</v>
          </cell>
        </row>
        <row r="17">
          <cell r="F17">
            <v>943287</v>
          </cell>
          <cell r="H17">
            <v>0</v>
          </cell>
        </row>
        <row r="38">
          <cell r="F38">
            <v>1516531.81</v>
          </cell>
          <cell r="H38">
            <v>526290.68999999994</v>
          </cell>
          <cell r="J38">
            <v>0</v>
          </cell>
          <cell r="K38">
            <v>0</v>
          </cell>
        </row>
        <row r="53">
          <cell r="F53">
            <v>373823.63</v>
          </cell>
          <cell r="H53">
            <v>338653.17000000004</v>
          </cell>
          <cell r="K53">
            <v>0</v>
          </cell>
        </row>
        <row r="60">
          <cell r="F60">
            <v>0</v>
          </cell>
          <cell r="H60">
            <v>0</v>
          </cell>
          <cell r="I60">
            <v>0</v>
          </cell>
          <cell r="J60">
            <v>0</v>
          </cell>
          <cell r="K60">
            <v>0</v>
          </cell>
        </row>
        <row r="71">
          <cell r="F71">
            <v>207104.75</v>
          </cell>
          <cell r="H71">
            <v>206747.25</v>
          </cell>
          <cell r="I71">
            <v>0</v>
          </cell>
          <cell r="J71">
            <v>0</v>
          </cell>
          <cell r="K71">
            <v>0</v>
          </cell>
        </row>
        <row r="81">
          <cell r="F81">
            <v>0</v>
          </cell>
          <cell r="H81">
            <v>0</v>
          </cell>
        </row>
        <row r="86">
          <cell r="F86">
            <v>6000000</v>
          </cell>
          <cell r="H86">
            <v>0</v>
          </cell>
        </row>
        <row r="94">
          <cell r="F94">
            <v>86491803.379999995</v>
          </cell>
          <cell r="H94">
            <v>0</v>
          </cell>
          <cell r="K94">
            <v>0</v>
          </cell>
        </row>
      </sheetData>
      <sheetData sheetId="12">
        <row r="8">
          <cell r="F8">
            <v>1250000</v>
          </cell>
          <cell r="H8">
            <v>0</v>
          </cell>
        </row>
        <row r="13">
          <cell r="F13">
            <v>425791</v>
          </cell>
          <cell r="H13">
            <v>0</v>
          </cell>
        </row>
        <row r="18">
          <cell r="F18">
            <v>400000</v>
          </cell>
          <cell r="H18">
            <v>0</v>
          </cell>
        </row>
        <row r="23">
          <cell r="F23">
            <v>850000</v>
          </cell>
          <cell r="H23">
            <v>0</v>
          </cell>
        </row>
        <row r="28">
          <cell r="F28">
            <v>537131</v>
          </cell>
          <cell r="H28">
            <v>0</v>
          </cell>
        </row>
        <row r="33">
          <cell r="F33">
            <v>950000</v>
          </cell>
          <cell r="H33">
            <v>0</v>
          </cell>
        </row>
        <row r="40">
          <cell r="F40">
            <v>425000</v>
          </cell>
          <cell r="H40">
            <v>176690.7</v>
          </cell>
          <cell r="J40">
            <v>0</v>
          </cell>
          <cell r="K40">
            <v>0</v>
          </cell>
        </row>
        <row r="45">
          <cell r="F45">
            <v>465000</v>
          </cell>
          <cell r="H45">
            <v>0</v>
          </cell>
          <cell r="J45">
            <v>0</v>
          </cell>
          <cell r="K45">
            <v>0</v>
          </cell>
        </row>
        <row r="67">
          <cell r="F67">
            <v>848153.93</v>
          </cell>
          <cell r="H67">
            <v>282146.05999999994</v>
          </cell>
          <cell r="J67">
            <v>0</v>
          </cell>
          <cell r="K67">
            <v>0</v>
          </cell>
        </row>
        <row r="73">
          <cell r="F73">
            <v>500000</v>
          </cell>
          <cell r="H73">
            <v>487932.67</v>
          </cell>
        </row>
        <row r="80">
          <cell r="F80">
            <v>544456</v>
          </cell>
          <cell r="H80">
            <v>16737.8</v>
          </cell>
        </row>
        <row r="87">
          <cell r="F87">
            <v>525000</v>
          </cell>
          <cell r="H87">
            <v>525000</v>
          </cell>
          <cell r="I87">
            <v>0</v>
          </cell>
          <cell r="J87">
            <v>0</v>
          </cell>
          <cell r="K87">
            <v>0</v>
          </cell>
        </row>
        <row r="103">
          <cell r="F103">
            <v>214061.21999999997</v>
          </cell>
          <cell r="H103">
            <v>214061.21999999997</v>
          </cell>
          <cell r="I103">
            <v>0</v>
          </cell>
          <cell r="J103">
            <v>0</v>
          </cell>
          <cell r="K103">
            <v>0</v>
          </cell>
        </row>
        <row r="112">
          <cell r="F112">
            <v>445267.07</v>
          </cell>
          <cell r="H112">
            <v>21261.75</v>
          </cell>
          <cell r="I112">
            <v>0</v>
          </cell>
          <cell r="J112">
            <v>0</v>
          </cell>
          <cell r="K112">
            <v>0</v>
          </cell>
        </row>
        <row r="121">
          <cell r="F121">
            <v>0</v>
          </cell>
          <cell r="H121">
            <v>0</v>
          </cell>
          <cell r="I121">
            <v>0</v>
          </cell>
          <cell r="J121">
            <v>0</v>
          </cell>
          <cell r="K121">
            <v>0</v>
          </cell>
        </row>
        <row r="134">
          <cell r="F134">
            <v>167731.66999999998</v>
          </cell>
          <cell r="H134">
            <v>167731.07</v>
          </cell>
          <cell r="I134">
            <v>0</v>
          </cell>
          <cell r="J134">
            <v>0</v>
          </cell>
          <cell r="K134">
            <v>0</v>
          </cell>
        </row>
        <row r="142">
          <cell r="F142">
            <v>0</v>
          </cell>
          <cell r="H142">
            <v>0</v>
          </cell>
          <cell r="I142">
            <v>0</v>
          </cell>
          <cell r="J142">
            <v>0</v>
          </cell>
          <cell r="K142">
            <v>0</v>
          </cell>
        </row>
        <row r="157">
          <cell r="F157">
            <v>29094.266999999949</v>
          </cell>
          <cell r="H157">
            <v>29094.27</v>
          </cell>
          <cell r="I157">
            <v>0</v>
          </cell>
          <cell r="J157">
            <v>0</v>
          </cell>
          <cell r="K157">
            <v>0</v>
          </cell>
        </row>
        <row r="163">
          <cell r="F163">
            <v>0</v>
          </cell>
          <cell r="H163">
            <v>0</v>
          </cell>
          <cell r="I163">
            <v>0</v>
          </cell>
          <cell r="J163">
            <v>0</v>
          </cell>
          <cell r="K163">
            <v>0</v>
          </cell>
        </row>
        <row r="171">
          <cell r="F171">
            <v>-1.0913936421275139E-11</v>
          </cell>
          <cell r="H171">
            <v>0</v>
          </cell>
          <cell r="I171">
            <v>0</v>
          </cell>
          <cell r="J171">
            <v>0</v>
          </cell>
          <cell r="K171">
            <v>0</v>
          </cell>
        </row>
        <row r="184">
          <cell r="F184">
            <v>33572.510000000024</v>
          </cell>
          <cell r="H184">
            <v>33572.51</v>
          </cell>
        </row>
        <row r="191">
          <cell r="F191">
            <v>0</v>
          </cell>
          <cell r="H191">
            <v>0</v>
          </cell>
          <cell r="I191">
            <v>0</v>
          </cell>
          <cell r="J191">
            <v>0</v>
          </cell>
          <cell r="K191">
            <v>0</v>
          </cell>
        </row>
        <row r="198">
          <cell r="F198">
            <v>0</v>
          </cell>
          <cell r="H198">
            <v>0</v>
          </cell>
          <cell r="I198">
            <v>0</v>
          </cell>
          <cell r="J198">
            <v>0</v>
          </cell>
          <cell r="K198">
            <v>0</v>
          </cell>
        </row>
        <row r="204">
          <cell r="F204">
            <v>0</v>
          </cell>
          <cell r="H204">
            <v>0</v>
          </cell>
          <cell r="I204">
            <v>0</v>
          </cell>
          <cell r="J204">
            <v>0</v>
          </cell>
          <cell r="K204">
            <v>0</v>
          </cell>
        </row>
        <row r="212">
          <cell r="F212">
            <v>0</v>
          </cell>
          <cell r="H212">
            <v>0</v>
          </cell>
          <cell r="I212">
            <v>0</v>
          </cell>
          <cell r="J212">
            <v>0</v>
          </cell>
          <cell r="K212">
            <v>0</v>
          </cell>
        </row>
        <row r="226">
          <cell r="F226">
            <v>0</v>
          </cell>
          <cell r="H226">
            <v>0</v>
          </cell>
          <cell r="I226">
            <v>0</v>
          </cell>
          <cell r="J226">
            <v>0</v>
          </cell>
          <cell r="K226">
            <v>0</v>
          </cell>
        </row>
        <row r="234">
          <cell r="F234">
            <v>0</v>
          </cell>
          <cell r="H234">
            <v>0</v>
          </cell>
          <cell r="I234">
            <v>0</v>
          </cell>
          <cell r="J234">
            <v>0</v>
          </cell>
          <cell r="K234">
            <v>0</v>
          </cell>
        </row>
        <row r="365">
          <cell r="F365">
            <v>10000000</v>
          </cell>
          <cell r="H365">
            <v>0</v>
          </cell>
        </row>
        <row r="370">
          <cell r="F370">
            <v>5000000</v>
          </cell>
          <cell r="H370">
            <v>0</v>
          </cell>
        </row>
        <row r="375">
          <cell r="F375">
            <v>9046000</v>
          </cell>
          <cell r="H375">
            <v>0</v>
          </cell>
        </row>
        <row r="384">
          <cell r="F384">
            <v>16338266.16</v>
          </cell>
          <cell r="H384">
            <v>1852361.7999999998</v>
          </cell>
          <cell r="J384">
            <v>0</v>
          </cell>
          <cell r="K384">
            <v>0</v>
          </cell>
        </row>
        <row r="389">
          <cell r="F389">
            <v>0</v>
          </cell>
          <cell r="H389">
            <v>0</v>
          </cell>
        </row>
        <row r="401">
          <cell r="F401">
            <v>1045458.3399999999</v>
          </cell>
          <cell r="H401">
            <v>33104.050000000003</v>
          </cell>
          <cell r="I401">
            <v>0</v>
          </cell>
          <cell r="J401">
            <v>0</v>
          </cell>
          <cell r="K401">
            <v>0</v>
          </cell>
        </row>
        <row r="413">
          <cell r="F413">
            <v>6.3300831243395805E-10</v>
          </cell>
          <cell r="H413">
            <v>0</v>
          </cell>
          <cell r="I413">
            <v>0</v>
          </cell>
          <cell r="J413">
            <v>0</v>
          </cell>
          <cell r="K413">
            <v>0</v>
          </cell>
        </row>
        <row r="489">
          <cell r="F489">
            <v>0</v>
          </cell>
          <cell r="H489">
            <v>0</v>
          </cell>
          <cell r="K489">
            <v>0</v>
          </cell>
        </row>
        <row r="500">
          <cell r="F500">
            <v>2.5333974917884916E-9</v>
          </cell>
          <cell r="H500">
            <v>0</v>
          </cell>
          <cell r="I500">
            <v>0</v>
          </cell>
          <cell r="J500">
            <v>0</v>
          </cell>
          <cell r="K500">
            <v>0</v>
          </cell>
        </row>
        <row r="514">
          <cell r="F514">
            <v>2.4192559067159891E-10</v>
          </cell>
          <cell r="H514">
            <v>0</v>
          </cell>
          <cell r="I514">
            <v>0</v>
          </cell>
          <cell r="J514">
            <v>0</v>
          </cell>
          <cell r="K514">
            <v>0</v>
          </cell>
        </row>
        <row r="570">
          <cell r="F570">
            <v>2909334.04</v>
          </cell>
          <cell r="H570">
            <v>288185.09000000003</v>
          </cell>
          <cell r="J570">
            <v>0</v>
          </cell>
          <cell r="K570">
            <v>0</v>
          </cell>
        </row>
        <row r="577">
          <cell r="F577">
            <v>45908.550000000745</v>
          </cell>
          <cell r="H577">
            <v>0</v>
          </cell>
        </row>
        <row r="586">
          <cell r="F586">
            <v>15880.5</v>
          </cell>
          <cell r="H586">
            <v>0</v>
          </cell>
          <cell r="I586">
            <v>0</v>
          </cell>
          <cell r="J586">
            <v>0</v>
          </cell>
          <cell r="K586">
            <v>0</v>
          </cell>
        </row>
        <row r="596">
          <cell r="F596">
            <v>0</v>
          </cell>
          <cell r="H596">
            <v>0</v>
          </cell>
          <cell r="I596">
            <v>0</v>
          </cell>
          <cell r="J596">
            <v>0</v>
          </cell>
          <cell r="K596">
            <v>0</v>
          </cell>
        </row>
        <row r="607">
          <cell r="F607">
            <v>90049.61999999074</v>
          </cell>
          <cell r="H607">
            <v>0</v>
          </cell>
          <cell r="K607">
            <v>0</v>
          </cell>
        </row>
        <row r="620">
          <cell r="F620">
            <v>0</v>
          </cell>
          <cell r="H620">
            <v>0</v>
          </cell>
          <cell r="I620">
            <v>0</v>
          </cell>
          <cell r="J620">
            <v>0</v>
          </cell>
          <cell r="K620">
            <v>0</v>
          </cell>
        </row>
      </sheetData>
      <sheetData sheetId="13">
        <row r="42">
          <cell r="F42">
            <v>654937</v>
          </cell>
          <cell r="H42">
            <v>0</v>
          </cell>
        </row>
        <row r="49">
          <cell r="F49">
            <v>890113</v>
          </cell>
          <cell r="H49">
            <v>49478.57</v>
          </cell>
        </row>
        <row r="58">
          <cell r="F58">
            <v>634020.4</v>
          </cell>
          <cell r="H58">
            <v>5661.55</v>
          </cell>
          <cell r="J58">
            <v>0</v>
          </cell>
          <cell r="K58">
            <v>0</v>
          </cell>
        </row>
        <row r="63">
          <cell r="F63">
            <v>453076</v>
          </cell>
          <cell r="H63">
            <v>0</v>
          </cell>
        </row>
        <row r="76">
          <cell r="F76">
            <v>57048.739999999991</v>
          </cell>
          <cell r="H76">
            <v>37409.100000000006</v>
          </cell>
          <cell r="I76">
            <v>0</v>
          </cell>
          <cell r="J76">
            <v>0</v>
          </cell>
          <cell r="K76">
            <v>0</v>
          </cell>
        </row>
        <row r="84">
          <cell r="F84">
            <v>85773.230000000025</v>
          </cell>
          <cell r="H84">
            <v>0</v>
          </cell>
          <cell r="I84">
            <v>0</v>
          </cell>
          <cell r="J84">
            <v>0</v>
          </cell>
          <cell r="K84">
            <v>0</v>
          </cell>
        </row>
        <row r="100">
          <cell r="F100">
            <v>318080</v>
          </cell>
          <cell r="H100">
            <v>179611.54</v>
          </cell>
          <cell r="I100">
            <v>0</v>
          </cell>
          <cell r="J100">
            <v>0</v>
          </cell>
          <cell r="K100">
            <v>0</v>
          </cell>
        </row>
        <row r="109">
          <cell r="F109">
            <v>1.0459189070388675E-11</v>
          </cell>
          <cell r="H109">
            <v>0</v>
          </cell>
          <cell r="I109">
            <v>0</v>
          </cell>
          <cell r="J109">
            <v>0</v>
          </cell>
          <cell r="K109">
            <v>0</v>
          </cell>
        </row>
        <row r="118">
          <cell r="F118">
            <v>0</v>
          </cell>
          <cell r="H118">
            <v>0</v>
          </cell>
          <cell r="I118">
            <v>0</v>
          </cell>
          <cell r="J118">
            <v>0</v>
          </cell>
          <cell r="K118">
            <v>0</v>
          </cell>
        </row>
        <row r="129">
          <cell r="F129">
            <v>2521.6900000000387</v>
          </cell>
          <cell r="H129">
            <v>0</v>
          </cell>
          <cell r="I129">
            <v>0</v>
          </cell>
          <cell r="J129">
            <v>0</v>
          </cell>
          <cell r="K129">
            <v>0</v>
          </cell>
        </row>
      </sheetData>
      <sheetData sheetId="14">
        <row r="7">
          <cell r="G7">
            <v>335990</v>
          </cell>
          <cell r="H7">
            <v>0</v>
          </cell>
        </row>
        <row r="11">
          <cell r="G11">
            <v>35489</v>
          </cell>
          <cell r="H11">
            <v>0</v>
          </cell>
        </row>
        <row r="15">
          <cell r="G15">
            <v>46558</v>
          </cell>
          <cell r="H15">
            <v>0</v>
          </cell>
        </row>
        <row r="45">
          <cell r="G45">
            <v>1374259.93</v>
          </cell>
          <cell r="H45">
            <v>1374259.93</v>
          </cell>
          <cell r="K45">
            <v>0</v>
          </cell>
        </row>
        <row r="49">
          <cell r="G49">
            <v>315000</v>
          </cell>
          <cell r="H49">
            <v>0</v>
          </cell>
        </row>
        <row r="57">
          <cell r="G57">
            <v>0</v>
          </cell>
          <cell r="H57">
            <v>0</v>
          </cell>
          <cell r="K57">
            <v>0</v>
          </cell>
        </row>
        <row r="62">
          <cell r="G62">
            <v>431976</v>
          </cell>
          <cell r="H62">
            <v>0</v>
          </cell>
        </row>
        <row r="67">
          <cell r="G67">
            <v>45627</v>
          </cell>
          <cell r="H67">
            <v>0</v>
          </cell>
        </row>
        <row r="72">
          <cell r="G72">
            <v>59858</v>
          </cell>
          <cell r="H72">
            <v>0</v>
          </cell>
        </row>
        <row r="78">
          <cell r="G78">
            <v>0</v>
          </cell>
          <cell r="H78">
            <v>0</v>
          </cell>
          <cell r="J78">
            <v>0</v>
          </cell>
          <cell r="K78">
            <v>0</v>
          </cell>
        </row>
        <row r="87">
          <cell r="G87">
            <v>0</v>
          </cell>
          <cell r="H87">
            <v>0</v>
          </cell>
          <cell r="I87">
            <v>0</v>
          </cell>
          <cell r="J87">
            <v>0</v>
          </cell>
          <cell r="K87">
            <v>0</v>
          </cell>
        </row>
        <row r="92">
          <cell r="G92">
            <v>88000</v>
          </cell>
          <cell r="H92">
            <v>0</v>
          </cell>
        </row>
        <row r="110">
          <cell r="H110">
            <v>337504.25</v>
          </cell>
          <cell r="J110">
            <v>30500</v>
          </cell>
        </row>
      </sheetData>
      <sheetData sheetId="15">
        <row r="2">
          <cell r="H2">
            <v>6446000.9399999995</v>
          </cell>
        </row>
      </sheetData>
      <sheetData sheetId="16">
        <row r="8">
          <cell r="G8">
            <v>500000</v>
          </cell>
          <cell r="H8">
            <v>0</v>
          </cell>
        </row>
        <row r="15">
          <cell r="G15">
            <v>307998</v>
          </cell>
          <cell r="H15">
            <v>0</v>
          </cell>
        </row>
        <row r="22">
          <cell r="G22">
            <v>3484974.75</v>
          </cell>
          <cell r="H22">
            <v>0</v>
          </cell>
        </row>
        <row r="37">
          <cell r="G37">
            <v>547668.09000000032</v>
          </cell>
        </row>
        <row r="62">
          <cell r="G62">
            <v>556719.89999999991</v>
          </cell>
          <cell r="H62">
            <v>0</v>
          </cell>
        </row>
        <row r="69">
          <cell r="G69">
            <v>0</v>
          </cell>
        </row>
        <row r="74">
          <cell r="G74">
            <v>0</v>
          </cell>
        </row>
        <row r="85">
          <cell r="G85">
            <v>0</v>
          </cell>
        </row>
        <row r="93">
          <cell r="G93">
            <v>0</v>
          </cell>
        </row>
        <row r="102">
          <cell r="G102">
            <v>0</v>
          </cell>
        </row>
        <row r="150">
          <cell r="G150">
            <v>0</v>
          </cell>
        </row>
      </sheetData>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ummary 2021A"/>
      <sheetName val="CHECK"/>
      <sheetName val="UMCP"/>
      <sheetName val="UMB"/>
      <sheetName val="UMBI"/>
      <sheetName val="UMES"/>
      <sheetName val="UMBC"/>
      <sheetName val="UMBC-UMBI"/>
      <sheetName val="UMCES"/>
      <sheetName val="BSU"/>
      <sheetName val="CSU"/>
      <sheetName val="FSU"/>
      <sheetName val="SU"/>
      <sheetName val="TU"/>
      <sheetName val="UB"/>
      <sheetName val="USM &amp; COI"/>
      <sheetName val="Emergency Funds"/>
      <sheetName val="FR used 10 or 20 yr debt"/>
      <sheetName val="ck"/>
      <sheetName val="rqst"/>
      <sheetName val="Payment Activities"/>
      <sheetName val="Sheet1"/>
      <sheetName val="Sheet2"/>
    </sheetNames>
    <sheetDataSet>
      <sheetData sheetId="0">
        <row r="791">
          <cell r="C791">
            <v>242000000</v>
          </cell>
        </row>
      </sheetData>
      <sheetData sheetId="1" refreshError="1"/>
      <sheetData sheetId="2">
        <row r="65">
          <cell r="J65"/>
          <cell r="K65"/>
        </row>
        <row r="261">
          <cell r="I261"/>
          <cell r="J261"/>
        </row>
        <row r="471">
          <cell r="J471"/>
          <cell r="K471"/>
        </row>
        <row r="631">
          <cell r="K631"/>
        </row>
      </sheetData>
      <sheetData sheetId="3">
        <row r="32">
          <cell r="J32">
            <v>0</v>
          </cell>
        </row>
        <row r="88">
          <cell r="J88"/>
          <cell r="K88"/>
        </row>
        <row r="346">
          <cell r="I346"/>
          <cell r="J346"/>
        </row>
      </sheetData>
      <sheetData sheetId="4" refreshError="1"/>
      <sheetData sheetId="5">
        <row r="58">
          <cell r="J58"/>
          <cell r="K58"/>
        </row>
        <row r="137">
          <cell r="J137"/>
        </row>
        <row r="242">
          <cell r="J242"/>
          <cell r="K242"/>
        </row>
      </sheetData>
      <sheetData sheetId="6">
        <row r="8">
          <cell r="J8">
            <v>0</v>
          </cell>
        </row>
        <row r="27">
          <cell r="J27"/>
          <cell r="K27"/>
        </row>
        <row r="128">
          <cell r="J128"/>
        </row>
        <row r="269">
          <cell r="F269"/>
          <cell r="I269"/>
          <cell r="J269"/>
          <cell r="K269"/>
        </row>
      </sheetData>
      <sheetData sheetId="7" refreshError="1"/>
      <sheetData sheetId="8">
        <row r="32">
          <cell r="J32">
            <v>0</v>
          </cell>
        </row>
        <row r="38">
          <cell r="J38">
            <v>0</v>
          </cell>
        </row>
        <row r="67">
          <cell r="J67">
            <v>0</v>
          </cell>
          <cell r="K67">
            <v>0</v>
          </cell>
        </row>
        <row r="143">
          <cell r="J143"/>
        </row>
      </sheetData>
      <sheetData sheetId="9">
        <row r="30">
          <cell r="J30">
            <v>0</v>
          </cell>
          <cell r="K30">
            <v>0</v>
          </cell>
        </row>
        <row r="130">
          <cell r="J130"/>
        </row>
      </sheetData>
      <sheetData sheetId="10">
        <row r="29">
          <cell r="J29">
            <v>0</v>
          </cell>
        </row>
        <row r="74">
          <cell r="J74">
            <v>0</v>
          </cell>
          <cell r="K74">
            <v>0</v>
          </cell>
        </row>
        <row r="187">
          <cell r="J187"/>
        </row>
      </sheetData>
      <sheetData sheetId="11">
        <row r="40">
          <cell r="J40"/>
          <cell r="K40"/>
        </row>
        <row r="160">
          <cell r="J160"/>
        </row>
        <row r="170">
          <cell r="K170"/>
        </row>
      </sheetData>
      <sheetData sheetId="12">
        <row r="25">
          <cell r="J25">
            <v>0</v>
          </cell>
          <cell r="K25">
            <v>0</v>
          </cell>
        </row>
        <row r="143">
          <cell r="J143">
            <v>0</v>
          </cell>
        </row>
        <row r="151">
          <cell r="K151"/>
        </row>
      </sheetData>
      <sheetData sheetId="13">
        <row r="47">
          <cell r="J47"/>
          <cell r="K47"/>
        </row>
        <row r="52">
          <cell r="J52"/>
          <cell r="K52"/>
        </row>
        <row r="57">
          <cell r="J57"/>
          <cell r="K57"/>
        </row>
        <row r="315">
          <cell r="J315">
            <v>0</v>
          </cell>
        </row>
        <row r="321">
          <cell r="J321"/>
        </row>
        <row r="328">
          <cell r="J328"/>
        </row>
        <row r="445">
          <cell r="K445"/>
        </row>
        <row r="494">
          <cell r="K494"/>
        </row>
      </sheetData>
      <sheetData sheetId="14">
        <row r="42">
          <cell r="J42">
            <v>0</v>
          </cell>
          <cell r="K42">
            <v>0</v>
          </cell>
        </row>
        <row r="145">
          <cell r="J145"/>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ummary 2022A"/>
      <sheetName val="UMCP"/>
      <sheetName val="UMB"/>
      <sheetName val="UMBI"/>
      <sheetName val="UMES"/>
      <sheetName val="UMBC"/>
      <sheetName val="UMBC-UMBI"/>
      <sheetName val="UMCES"/>
      <sheetName val="BSU"/>
      <sheetName val="CSU"/>
      <sheetName val="FSU"/>
      <sheetName val="SU"/>
      <sheetName val="TU"/>
      <sheetName val="UB"/>
      <sheetName val="USM &amp; COI"/>
      <sheetName val="Emergency Funds"/>
      <sheetName val="ck"/>
      <sheetName val="Payment Activities"/>
      <sheetName val="Sheet1"/>
      <sheetName val="Sheet2"/>
    </sheetNames>
    <sheetDataSet>
      <sheetData sheetId="0">
        <row r="408">
          <cell r="N408">
            <v>60490443.120000005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ummary 2022A"/>
      <sheetName val="UMCP"/>
      <sheetName val="UMB"/>
      <sheetName val="UMES"/>
      <sheetName val="UMBI"/>
      <sheetName val="UMBC"/>
      <sheetName val="UMBC-UMBI"/>
      <sheetName val="UMCES"/>
      <sheetName val="BSU"/>
      <sheetName val="CSU"/>
      <sheetName val="FSU"/>
      <sheetName val="SU"/>
      <sheetName val="TU"/>
      <sheetName val="UB"/>
      <sheetName val="USM &amp; COI"/>
      <sheetName val="FR using 20-yr Bond"/>
      <sheetName val="Emergency Funds"/>
      <sheetName val="FR using 10-yr Bond"/>
      <sheetName val="2022A from #89 "/>
      <sheetName val="Payment Activities"/>
      <sheetName val="acct balance"/>
      <sheetName val="ck"/>
      <sheetName val="Sheet1"/>
      <sheetName val="Sheet2"/>
    </sheetNames>
    <sheetDataSet>
      <sheetData sheetId="0" refreshError="1"/>
      <sheetData sheetId="1">
        <row r="7">
          <cell r="J7">
            <v>0</v>
          </cell>
          <cell r="K7">
            <v>0</v>
          </cell>
        </row>
        <row r="15">
          <cell r="K15">
            <v>0</v>
          </cell>
        </row>
        <row r="118">
          <cell r="J118">
            <v>0</v>
          </cell>
          <cell r="K118">
            <v>0</v>
          </cell>
        </row>
        <row r="136">
          <cell r="K136">
            <v>0</v>
          </cell>
        </row>
        <row r="154">
          <cell r="I154">
            <v>0</v>
          </cell>
          <cell r="J154">
            <v>0</v>
          </cell>
          <cell r="K154">
            <v>0</v>
          </cell>
        </row>
        <row r="247">
          <cell r="J247">
            <v>0</v>
          </cell>
          <cell r="K247">
            <v>0</v>
          </cell>
        </row>
        <row r="274">
          <cell r="K274">
            <v>0</v>
          </cell>
        </row>
        <row r="288">
          <cell r="F288">
            <v>0</v>
          </cell>
          <cell r="I288">
            <v>0</v>
          </cell>
          <cell r="J288">
            <v>0</v>
          </cell>
          <cell r="K288">
            <v>0</v>
          </cell>
        </row>
        <row r="293">
          <cell r="J293">
            <v>0</v>
          </cell>
          <cell r="K293">
            <v>0</v>
          </cell>
        </row>
        <row r="298">
          <cell r="J298">
            <v>0</v>
          </cell>
          <cell r="K298">
            <v>0</v>
          </cell>
        </row>
        <row r="306">
          <cell r="J306">
            <v>0</v>
          </cell>
          <cell r="K306">
            <v>0</v>
          </cell>
        </row>
        <row r="328">
          <cell r="I328">
            <v>0</v>
          </cell>
          <cell r="J328">
            <v>0</v>
          </cell>
          <cell r="K328">
            <v>0</v>
          </cell>
        </row>
        <row r="341">
          <cell r="I341">
            <v>0</v>
          </cell>
          <cell r="J341">
            <v>0</v>
          </cell>
          <cell r="K341">
            <v>0</v>
          </cell>
        </row>
        <row r="378">
          <cell r="J378">
            <v>0</v>
          </cell>
          <cell r="K378">
            <v>0</v>
          </cell>
        </row>
        <row r="389">
          <cell r="K389">
            <v>0</v>
          </cell>
        </row>
        <row r="399">
          <cell r="I399">
            <v>0</v>
          </cell>
          <cell r="J399">
            <v>0</v>
          </cell>
          <cell r="K399">
            <v>0</v>
          </cell>
        </row>
        <row r="405">
          <cell r="I405">
            <v>0</v>
          </cell>
          <cell r="J405">
            <v>0</v>
          </cell>
          <cell r="K405">
            <v>0</v>
          </cell>
        </row>
        <row r="413">
          <cell r="J413">
            <v>0</v>
          </cell>
          <cell r="K413">
            <v>0</v>
          </cell>
        </row>
        <row r="421">
          <cell r="K421">
            <v>0</v>
          </cell>
        </row>
        <row r="430">
          <cell r="I430">
            <v>0</v>
          </cell>
          <cell r="J430">
            <v>0</v>
          </cell>
          <cell r="K430">
            <v>0</v>
          </cell>
        </row>
        <row r="438">
          <cell r="F438">
            <v>0</v>
          </cell>
          <cell r="I438">
            <v>0</v>
          </cell>
          <cell r="J438">
            <v>0</v>
          </cell>
          <cell r="K438">
            <v>0</v>
          </cell>
        </row>
        <row r="448">
          <cell r="F448">
            <v>0</v>
          </cell>
          <cell r="K448">
            <v>0</v>
          </cell>
        </row>
      </sheetData>
      <sheetData sheetId="2">
        <row r="60">
          <cell r="J60">
            <v>0</v>
          </cell>
          <cell r="K60">
            <v>0</v>
          </cell>
        </row>
        <row r="117">
          <cell r="J117">
            <v>0</v>
          </cell>
          <cell r="K117">
            <v>0</v>
          </cell>
        </row>
        <row r="172">
          <cell r="I172">
            <v>0</v>
          </cell>
          <cell r="J172">
            <v>0</v>
          </cell>
          <cell r="K172">
            <v>0</v>
          </cell>
        </row>
        <row r="195">
          <cell r="I195">
            <v>0</v>
          </cell>
          <cell r="J195">
            <v>0</v>
          </cell>
          <cell r="K195">
            <v>0</v>
          </cell>
        </row>
        <row r="222">
          <cell r="I222">
            <v>0</v>
          </cell>
          <cell r="J222">
            <v>0</v>
          </cell>
          <cell r="K222">
            <v>0</v>
          </cell>
        </row>
        <row r="253">
          <cell r="I253">
            <v>0</v>
          </cell>
          <cell r="J253">
            <v>0</v>
          </cell>
          <cell r="K253">
            <v>0</v>
          </cell>
        </row>
        <row r="270">
          <cell r="I270">
            <v>0</v>
          </cell>
          <cell r="J270">
            <v>0</v>
          </cell>
          <cell r="K270">
            <v>0</v>
          </cell>
        </row>
        <row r="290">
          <cell r="I290">
            <v>0</v>
          </cell>
          <cell r="J290">
            <v>0</v>
          </cell>
          <cell r="K290">
            <v>0</v>
          </cell>
        </row>
        <row r="308">
          <cell r="I308">
            <v>0</v>
          </cell>
          <cell r="J308">
            <v>0</v>
          </cell>
          <cell r="K308">
            <v>0</v>
          </cell>
        </row>
        <row r="331">
          <cell r="I331">
            <v>0</v>
          </cell>
          <cell r="J331">
            <v>0</v>
          </cell>
          <cell r="K331">
            <v>0</v>
          </cell>
        </row>
        <row r="407">
          <cell r="I407">
            <v>0</v>
          </cell>
          <cell r="J407">
            <v>0</v>
          </cell>
          <cell r="K407">
            <v>0</v>
          </cell>
        </row>
        <row r="426">
          <cell r="J426">
            <v>0</v>
          </cell>
          <cell r="K426">
            <v>0</v>
          </cell>
        </row>
      </sheetData>
      <sheetData sheetId="3">
        <row r="10">
          <cell r="I10">
            <v>0</v>
          </cell>
          <cell r="J10">
            <v>0</v>
          </cell>
          <cell r="K10">
            <v>0</v>
          </cell>
        </row>
        <row r="19">
          <cell r="J19">
            <v>0</v>
          </cell>
          <cell r="K19">
            <v>0</v>
          </cell>
        </row>
        <row r="47">
          <cell r="J47">
            <v>0</v>
          </cell>
          <cell r="K47">
            <v>0</v>
          </cell>
        </row>
        <row r="78">
          <cell r="J78">
            <v>0</v>
          </cell>
          <cell r="K78">
            <v>0</v>
          </cell>
        </row>
        <row r="88">
          <cell r="K88">
            <v>0</v>
          </cell>
        </row>
        <row r="95">
          <cell r="I95">
            <v>0</v>
          </cell>
          <cell r="J95">
            <v>0</v>
          </cell>
          <cell r="K95">
            <v>0</v>
          </cell>
        </row>
        <row r="118">
          <cell r="I118">
            <v>0</v>
          </cell>
          <cell r="J118">
            <v>0</v>
          </cell>
          <cell r="K118">
            <v>0</v>
          </cell>
        </row>
        <row r="128">
          <cell r="I128">
            <v>0</v>
          </cell>
          <cell r="J128">
            <v>0</v>
          </cell>
          <cell r="K128">
            <v>0</v>
          </cell>
        </row>
        <row r="136">
          <cell r="I136">
            <v>0</v>
          </cell>
          <cell r="J136">
            <v>0</v>
          </cell>
          <cell r="K136">
            <v>0</v>
          </cell>
        </row>
        <row r="143">
          <cell r="I143">
            <v>0</v>
          </cell>
          <cell r="J143">
            <v>0</v>
          </cell>
          <cell r="K143">
            <v>0</v>
          </cell>
        </row>
        <row r="184">
          <cell r="I184">
            <v>0</v>
          </cell>
          <cell r="J184">
            <v>0</v>
          </cell>
          <cell r="K184">
            <v>0</v>
          </cell>
        </row>
        <row r="203">
          <cell r="I203">
            <v>0</v>
          </cell>
          <cell r="J203">
            <v>0</v>
          </cell>
          <cell r="K203">
            <v>0</v>
          </cell>
        </row>
        <row r="214">
          <cell r="J214">
            <v>0</v>
          </cell>
          <cell r="K214">
            <v>0</v>
          </cell>
        </row>
        <row r="219">
          <cell r="F219">
            <v>800000</v>
          </cell>
          <cell r="I219">
            <v>0</v>
          </cell>
          <cell r="J219">
            <v>0</v>
          </cell>
          <cell r="K219">
            <v>0</v>
          </cell>
        </row>
      </sheetData>
      <sheetData sheetId="4">
        <row r="65">
          <cell r="F65">
            <v>0</v>
          </cell>
          <cell r="I65">
            <v>0</v>
          </cell>
          <cell r="J65">
            <v>0</v>
          </cell>
          <cell r="K65">
            <v>0</v>
          </cell>
        </row>
      </sheetData>
      <sheetData sheetId="5">
        <row r="53">
          <cell r="J53">
            <v>0</v>
          </cell>
          <cell r="K53">
            <v>0</v>
          </cell>
        </row>
        <row r="82">
          <cell r="I82">
            <v>0</v>
          </cell>
          <cell r="J82">
            <v>0</v>
          </cell>
          <cell r="K82">
            <v>0</v>
          </cell>
        </row>
        <row r="108">
          <cell r="I108">
            <v>0</v>
          </cell>
          <cell r="J108">
            <v>0</v>
          </cell>
          <cell r="K108">
            <v>0</v>
          </cell>
        </row>
        <row r="120">
          <cell r="I120">
            <v>0</v>
          </cell>
          <cell r="J120">
            <v>0</v>
          </cell>
          <cell r="K120">
            <v>0</v>
          </cell>
        </row>
        <row r="126">
          <cell r="I126">
            <v>0</v>
          </cell>
          <cell r="J126">
            <v>0</v>
          </cell>
          <cell r="K126">
            <v>0</v>
          </cell>
        </row>
        <row r="140">
          <cell r="F140">
            <v>0</v>
          </cell>
          <cell r="K140">
            <v>0</v>
          </cell>
        </row>
        <row r="170">
          <cell r="I170">
            <v>0</v>
          </cell>
          <cell r="J170">
            <v>0</v>
          </cell>
          <cell r="K170">
            <v>0</v>
          </cell>
        </row>
      </sheetData>
      <sheetData sheetId="6" refreshError="1"/>
      <sheetData sheetId="7">
        <row r="20">
          <cell r="J20">
            <v>0</v>
          </cell>
          <cell r="K20">
            <v>0</v>
          </cell>
        </row>
      </sheetData>
      <sheetData sheetId="8">
        <row r="40">
          <cell r="J40">
            <v>0</v>
          </cell>
          <cell r="K40">
            <v>0</v>
          </cell>
        </row>
        <row r="55">
          <cell r="K55">
            <v>0</v>
          </cell>
        </row>
        <row r="64">
          <cell r="I64">
            <v>0</v>
          </cell>
          <cell r="J64">
            <v>0</v>
          </cell>
          <cell r="K64">
            <v>0</v>
          </cell>
        </row>
        <row r="80">
          <cell r="I80">
            <v>0</v>
          </cell>
          <cell r="J80">
            <v>0</v>
          </cell>
          <cell r="K80">
            <v>0</v>
          </cell>
        </row>
        <row r="92">
          <cell r="I92">
            <v>0</v>
          </cell>
          <cell r="J92">
            <v>0</v>
          </cell>
          <cell r="K92">
            <v>0</v>
          </cell>
        </row>
      </sheetData>
      <sheetData sheetId="9">
        <row r="34">
          <cell r="J34">
            <v>0</v>
          </cell>
          <cell r="K34">
            <v>0</v>
          </cell>
        </row>
        <row r="49">
          <cell r="K49">
            <v>0</v>
          </cell>
        </row>
        <row r="58">
          <cell r="I58">
            <v>0</v>
          </cell>
          <cell r="J58">
            <v>0</v>
          </cell>
          <cell r="K58">
            <v>0</v>
          </cell>
        </row>
        <row r="68">
          <cell r="I68">
            <v>0</v>
          </cell>
          <cell r="J68">
            <v>0</v>
          </cell>
          <cell r="K68">
            <v>0</v>
          </cell>
        </row>
      </sheetData>
      <sheetData sheetId="10">
        <row r="74">
          <cell r="J74">
            <v>0</v>
          </cell>
          <cell r="K74">
            <v>0</v>
          </cell>
        </row>
        <row r="92">
          <cell r="K92">
            <v>0</v>
          </cell>
        </row>
        <row r="109">
          <cell r="I109">
            <v>0</v>
          </cell>
          <cell r="J109">
            <v>0</v>
          </cell>
          <cell r="K109">
            <v>0</v>
          </cell>
        </row>
        <row r="122">
          <cell r="I122">
            <v>0</v>
          </cell>
          <cell r="J122">
            <v>0</v>
          </cell>
          <cell r="K122">
            <v>0</v>
          </cell>
        </row>
        <row r="136">
          <cell r="I136">
            <v>0</v>
          </cell>
          <cell r="J136">
            <v>0</v>
          </cell>
          <cell r="K136">
            <v>0</v>
          </cell>
        </row>
        <row r="149">
          <cell r="I149">
            <v>0</v>
          </cell>
          <cell r="J149">
            <v>0</v>
          </cell>
          <cell r="K149">
            <v>0</v>
          </cell>
        </row>
        <row r="161">
          <cell r="I161">
            <v>0</v>
          </cell>
          <cell r="J161">
            <v>0</v>
          </cell>
          <cell r="K161">
            <v>0</v>
          </cell>
        </row>
        <row r="219">
          <cell r="I219">
            <v>0</v>
          </cell>
          <cell r="J219">
            <v>0</v>
          </cell>
          <cell r="K219">
            <v>0</v>
          </cell>
        </row>
        <row r="232">
          <cell r="I232">
            <v>0</v>
          </cell>
          <cell r="J232">
            <v>0</v>
          </cell>
          <cell r="K232">
            <v>0</v>
          </cell>
        </row>
        <row r="237">
          <cell r="J237">
            <v>0</v>
          </cell>
          <cell r="K237">
            <v>0</v>
          </cell>
        </row>
      </sheetData>
      <sheetData sheetId="11">
        <row r="39">
          <cell r="J39">
            <v>0</v>
          </cell>
          <cell r="K39">
            <v>0</v>
          </cell>
        </row>
        <row r="54">
          <cell r="K54">
            <v>0</v>
          </cell>
        </row>
        <row r="61">
          <cell r="I61">
            <v>0</v>
          </cell>
          <cell r="J61">
            <v>0</v>
          </cell>
          <cell r="K61">
            <v>0</v>
          </cell>
        </row>
        <row r="72">
          <cell r="I72">
            <v>0</v>
          </cell>
          <cell r="J72">
            <v>0</v>
          </cell>
          <cell r="K72">
            <v>0</v>
          </cell>
        </row>
        <row r="97">
          <cell r="K97">
            <v>0</v>
          </cell>
        </row>
      </sheetData>
      <sheetData sheetId="12">
        <row r="43">
          <cell r="J43">
            <v>0</v>
          </cell>
          <cell r="K43">
            <v>0</v>
          </cell>
        </row>
        <row r="48">
          <cell r="J48">
            <v>0</v>
          </cell>
          <cell r="K48">
            <v>0</v>
          </cell>
        </row>
        <row r="76">
          <cell r="J76">
            <v>0</v>
          </cell>
          <cell r="K76">
            <v>0</v>
          </cell>
        </row>
        <row r="96">
          <cell r="I96">
            <v>0</v>
          </cell>
          <cell r="J96">
            <v>0</v>
          </cell>
          <cell r="K96">
            <v>0</v>
          </cell>
        </row>
        <row r="112">
          <cell r="I112">
            <v>0</v>
          </cell>
          <cell r="J112">
            <v>0</v>
          </cell>
          <cell r="K112">
            <v>0</v>
          </cell>
        </row>
        <row r="124">
          <cell r="I124">
            <v>0</v>
          </cell>
          <cell r="J124">
            <v>0</v>
          </cell>
          <cell r="K124">
            <v>0</v>
          </cell>
        </row>
        <row r="133">
          <cell r="I133">
            <v>0</v>
          </cell>
          <cell r="J133">
            <v>0</v>
          </cell>
          <cell r="K133">
            <v>0</v>
          </cell>
        </row>
        <row r="146">
          <cell r="I146">
            <v>0</v>
          </cell>
          <cell r="J146">
            <v>0</v>
          </cell>
          <cell r="K146">
            <v>0</v>
          </cell>
        </row>
        <row r="154">
          <cell r="I154">
            <v>0</v>
          </cell>
          <cell r="J154">
            <v>0</v>
          </cell>
          <cell r="K154">
            <v>0</v>
          </cell>
        </row>
        <row r="169">
          <cell r="I169">
            <v>0</v>
          </cell>
          <cell r="J169">
            <v>0</v>
          </cell>
          <cell r="K169">
            <v>0</v>
          </cell>
        </row>
        <row r="175">
          <cell r="I175">
            <v>0</v>
          </cell>
          <cell r="J175">
            <v>0</v>
          </cell>
          <cell r="K175">
            <v>0</v>
          </cell>
        </row>
        <row r="183">
          <cell r="I183">
            <v>0</v>
          </cell>
          <cell r="J183">
            <v>0</v>
          </cell>
          <cell r="K183">
            <v>0</v>
          </cell>
        </row>
        <row r="203">
          <cell r="I203">
            <v>0</v>
          </cell>
          <cell r="J203">
            <v>0</v>
          </cell>
          <cell r="K203">
            <v>0</v>
          </cell>
        </row>
        <row r="210">
          <cell r="I210">
            <v>0</v>
          </cell>
          <cell r="J210">
            <v>0</v>
          </cell>
          <cell r="K210">
            <v>0</v>
          </cell>
        </row>
        <row r="216">
          <cell r="I216">
            <v>0</v>
          </cell>
          <cell r="J216">
            <v>0</v>
          </cell>
          <cell r="K216">
            <v>0</v>
          </cell>
        </row>
        <row r="224">
          <cell r="I224">
            <v>0</v>
          </cell>
          <cell r="J224">
            <v>0</v>
          </cell>
          <cell r="K224">
            <v>0</v>
          </cell>
        </row>
        <row r="238">
          <cell r="I238">
            <v>0</v>
          </cell>
          <cell r="J238">
            <v>0</v>
          </cell>
          <cell r="K238">
            <v>0</v>
          </cell>
        </row>
        <row r="246">
          <cell r="I246">
            <v>0</v>
          </cell>
          <cell r="J246">
            <v>0</v>
          </cell>
          <cell r="K246">
            <v>0</v>
          </cell>
        </row>
        <row r="402">
          <cell r="J402">
            <v>0</v>
          </cell>
          <cell r="K402">
            <v>0</v>
          </cell>
        </row>
        <row r="435">
          <cell r="I435">
            <v>0</v>
          </cell>
          <cell r="J435">
            <v>0</v>
          </cell>
          <cell r="K435">
            <v>0</v>
          </cell>
        </row>
        <row r="447">
          <cell r="I447">
            <v>0</v>
          </cell>
          <cell r="J447">
            <v>0</v>
          </cell>
          <cell r="K447">
            <v>0</v>
          </cell>
        </row>
        <row r="523">
          <cell r="F523">
            <v>0</v>
          </cell>
          <cell r="K523">
            <v>0</v>
          </cell>
        </row>
        <row r="534">
          <cell r="I534">
            <v>0</v>
          </cell>
          <cell r="J534">
            <v>0</v>
          </cell>
          <cell r="K534">
            <v>0</v>
          </cell>
        </row>
        <row r="548">
          <cell r="I548">
            <v>0</v>
          </cell>
          <cell r="J548">
            <v>0</v>
          </cell>
          <cell r="K548">
            <v>0</v>
          </cell>
        </row>
        <row r="623">
          <cell r="J623">
            <v>0</v>
          </cell>
          <cell r="K623">
            <v>0</v>
          </cell>
        </row>
        <row r="640">
          <cell r="I640">
            <v>0</v>
          </cell>
          <cell r="J640">
            <v>0</v>
          </cell>
          <cell r="K640">
            <v>0</v>
          </cell>
        </row>
        <row r="650">
          <cell r="I650">
            <v>0</v>
          </cell>
          <cell r="J650">
            <v>0</v>
          </cell>
          <cell r="K650">
            <v>0</v>
          </cell>
        </row>
        <row r="666">
          <cell r="K666">
            <v>0</v>
          </cell>
        </row>
        <row r="679">
          <cell r="I679">
            <v>0</v>
          </cell>
          <cell r="J679">
            <v>0</v>
          </cell>
          <cell r="K679">
            <v>0</v>
          </cell>
        </row>
      </sheetData>
      <sheetData sheetId="13">
        <row r="60">
          <cell r="J60">
            <v>0</v>
          </cell>
          <cell r="K60">
            <v>0</v>
          </cell>
        </row>
        <row r="88">
          <cell r="I88">
            <v>0</v>
          </cell>
          <cell r="J88">
            <v>0</v>
          </cell>
          <cell r="K88">
            <v>0</v>
          </cell>
        </row>
        <row r="105">
          <cell r="I105">
            <v>0</v>
          </cell>
          <cell r="J105">
            <v>0</v>
          </cell>
          <cell r="K105">
            <v>0</v>
          </cell>
        </row>
        <row r="128">
          <cell r="I128">
            <v>0</v>
          </cell>
          <cell r="J128">
            <v>0</v>
          </cell>
          <cell r="K128">
            <v>0</v>
          </cell>
        </row>
        <row r="137">
          <cell r="I137">
            <v>0</v>
          </cell>
          <cell r="J137">
            <v>0</v>
          </cell>
          <cell r="K137">
            <v>0</v>
          </cell>
        </row>
        <row r="146">
          <cell r="I146">
            <v>0</v>
          </cell>
          <cell r="J146">
            <v>0</v>
          </cell>
          <cell r="K146">
            <v>0</v>
          </cell>
        </row>
        <row r="159">
          <cell r="I159">
            <v>0</v>
          </cell>
          <cell r="J159">
            <v>0</v>
          </cell>
          <cell r="K159">
            <v>0</v>
          </cell>
        </row>
      </sheetData>
      <sheetData sheetId="14">
        <row r="15">
          <cell r="G15">
            <v>46558</v>
          </cell>
        </row>
        <row r="19">
          <cell r="J19">
            <v>0</v>
          </cell>
          <cell r="K19">
            <v>0</v>
          </cell>
          <cell r="L19">
            <v>600000</v>
          </cell>
        </row>
        <row r="49">
          <cell r="K49">
            <v>0</v>
          </cell>
        </row>
        <row r="83">
          <cell r="K83">
            <v>0</v>
          </cell>
        </row>
        <row r="104">
          <cell r="J104">
            <v>0</v>
          </cell>
          <cell r="K104">
            <v>0</v>
          </cell>
        </row>
        <row r="113">
          <cell r="I113">
            <v>0</v>
          </cell>
          <cell r="J113">
            <v>0</v>
          </cell>
          <cell r="K113">
            <v>0</v>
          </cell>
        </row>
        <row r="134">
          <cell r="J134">
            <v>62000</v>
          </cell>
        </row>
      </sheetData>
      <sheetData sheetId="15">
        <row r="2">
          <cell r="H2">
            <v>17480284.489999991</v>
          </cell>
        </row>
      </sheetData>
      <sheetData sheetId="16">
        <row r="104">
          <cell r="G104">
            <v>0</v>
          </cell>
        </row>
        <row r="152">
          <cell r="G152">
            <v>0</v>
          </cell>
        </row>
      </sheetData>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ummary 2022A"/>
      <sheetName val="UMCP"/>
      <sheetName val="UMB"/>
      <sheetName val="UMES"/>
      <sheetName val="UMBI"/>
      <sheetName val="UMBC"/>
      <sheetName val="UMBC-UMBI"/>
      <sheetName val="UMCES"/>
      <sheetName val="BSU"/>
      <sheetName val="CSU"/>
      <sheetName val="FSU"/>
      <sheetName val="SU"/>
      <sheetName val="TU"/>
      <sheetName val="UBalt"/>
      <sheetName val="USM &amp; COI"/>
      <sheetName val="FR using 20-yr Bond"/>
      <sheetName val="Emergency Funds"/>
      <sheetName val="FR using 10-yr Bond"/>
      <sheetName val="2022A from #89 "/>
      <sheetName val="Payment Activities"/>
      <sheetName val="acct balance"/>
      <sheetName val="ck"/>
      <sheetName val="Sheet1"/>
      <sheetName val="Sheet2"/>
    </sheetNames>
    <sheetDataSet>
      <sheetData sheetId="0" refreshError="1"/>
      <sheetData sheetId="1">
        <row r="7">
          <cell r="J7">
            <v>0</v>
          </cell>
          <cell r="K7">
            <v>0</v>
          </cell>
        </row>
        <row r="15">
          <cell r="K15">
            <v>0</v>
          </cell>
        </row>
        <row r="126">
          <cell r="J126">
            <v>0</v>
          </cell>
          <cell r="K126">
            <v>0</v>
          </cell>
        </row>
        <row r="144">
          <cell r="K144">
            <v>0</v>
          </cell>
        </row>
        <row r="162">
          <cell r="I162">
            <v>0</v>
          </cell>
          <cell r="J162">
            <v>0</v>
          </cell>
          <cell r="K162">
            <v>0</v>
          </cell>
        </row>
        <row r="275">
          <cell r="J275">
            <v>0</v>
          </cell>
          <cell r="K275">
            <v>0</v>
          </cell>
        </row>
        <row r="302">
          <cell r="K302">
            <v>0</v>
          </cell>
        </row>
        <row r="316">
          <cell r="I316">
            <v>0</v>
          </cell>
          <cell r="J316">
            <v>0</v>
          </cell>
          <cell r="K316">
            <v>0</v>
          </cell>
        </row>
        <row r="321">
          <cell r="J321">
            <v>0</v>
          </cell>
          <cell r="K321">
            <v>0</v>
          </cell>
        </row>
        <row r="326">
          <cell r="J326">
            <v>0</v>
          </cell>
          <cell r="K326">
            <v>0</v>
          </cell>
        </row>
        <row r="334">
          <cell r="J334">
            <v>0</v>
          </cell>
          <cell r="K334">
            <v>0</v>
          </cell>
        </row>
        <row r="356">
          <cell r="I356">
            <v>0</v>
          </cell>
          <cell r="J356">
            <v>0</v>
          </cell>
          <cell r="K356">
            <v>0</v>
          </cell>
        </row>
        <row r="369">
          <cell r="I369">
            <v>0</v>
          </cell>
          <cell r="J369">
            <v>0</v>
          </cell>
          <cell r="K369">
            <v>0</v>
          </cell>
        </row>
        <row r="406">
          <cell r="J406">
            <v>0</v>
          </cell>
          <cell r="K406">
            <v>0</v>
          </cell>
        </row>
        <row r="417">
          <cell r="K417">
            <v>0</v>
          </cell>
        </row>
        <row r="427">
          <cell r="I427">
            <v>0</v>
          </cell>
          <cell r="J427">
            <v>0</v>
          </cell>
          <cell r="K427">
            <v>0</v>
          </cell>
        </row>
        <row r="433">
          <cell r="I433">
            <v>0</v>
          </cell>
          <cell r="J433">
            <v>0</v>
          </cell>
          <cell r="K433">
            <v>0</v>
          </cell>
        </row>
        <row r="441">
          <cell r="J441">
            <v>0</v>
          </cell>
          <cell r="K441">
            <v>0</v>
          </cell>
        </row>
        <row r="449">
          <cell r="K449">
            <v>0</v>
          </cell>
        </row>
        <row r="458">
          <cell r="I458">
            <v>0</v>
          </cell>
          <cell r="J458">
            <v>0</v>
          </cell>
          <cell r="K458">
            <v>0</v>
          </cell>
        </row>
        <row r="466">
          <cell r="I466">
            <v>0</v>
          </cell>
          <cell r="J466">
            <v>0</v>
          </cell>
          <cell r="K466">
            <v>0</v>
          </cell>
        </row>
        <row r="476">
          <cell r="K476">
            <v>0</v>
          </cell>
        </row>
      </sheetData>
      <sheetData sheetId="2">
        <row r="63">
          <cell r="J63">
            <v>0</v>
          </cell>
          <cell r="K63">
            <v>0</v>
          </cell>
        </row>
        <row r="121">
          <cell r="J121">
            <v>0</v>
          </cell>
          <cell r="K121">
            <v>0</v>
          </cell>
        </row>
        <row r="176">
          <cell r="I176">
            <v>0</v>
          </cell>
          <cell r="J176">
            <v>0</v>
          </cell>
          <cell r="K176">
            <v>0</v>
          </cell>
        </row>
        <row r="199">
          <cell r="I199">
            <v>0</v>
          </cell>
          <cell r="J199">
            <v>0</v>
          </cell>
          <cell r="K199">
            <v>0</v>
          </cell>
        </row>
        <row r="227">
          <cell r="I227">
            <v>0</v>
          </cell>
          <cell r="J227">
            <v>0</v>
          </cell>
          <cell r="K227">
            <v>0</v>
          </cell>
        </row>
        <row r="258">
          <cell r="I258">
            <v>0</v>
          </cell>
          <cell r="J258">
            <v>0</v>
          </cell>
          <cell r="K258">
            <v>0</v>
          </cell>
        </row>
        <row r="275">
          <cell r="I275">
            <v>0</v>
          </cell>
          <cell r="J275">
            <v>0</v>
          </cell>
          <cell r="K275">
            <v>0</v>
          </cell>
        </row>
        <row r="295">
          <cell r="I295">
            <v>0</v>
          </cell>
          <cell r="J295">
            <v>0</v>
          </cell>
          <cell r="K295">
            <v>0</v>
          </cell>
        </row>
        <row r="313">
          <cell r="I313">
            <v>0</v>
          </cell>
          <cell r="J313">
            <v>0</v>
          </cell>
          <cell r="K313">
            <v>0</v>
          </cell>
        </row>
        <row r="336">
          <cell r="I336">
            <v>0</v>
          </cell>
          <cell r="J336">
            <v>0</v>
          </cell>
          <cell r="K336">
            <v>0</v>
          </cell>
        </row>
        <row r="412">
          <cell r="I412">
            <v>0</v>
          </cell>
          <cell r="J412">
            <v>0</v>
          </cell>
          <cell r="K412">
            <v>0</v>
          </cell>
        </row>
        <row r="431">
          <cell r="J431">
            <v>0</v>
          </cell>
          <cell r="K431">
            <v>0</v>
          </cell>
        </row>
      </sheetData>
      <sheetData sheetId="3">
        <row r="10">
          <cell r="I10">
            <v>0</v>
          </cell>
          <cell r="J10">
            <v>0</v>
          </cell>
          <cell r="K10">
            <v>0</v>
          </cell>
        </row>
        <row r="19">
          <cell r="J19">
            <v>0</v>
          </cell>
          <cell r="K19">
            <v>0</v>
          </cell>
        </row>
        <row r="47">
          <cell r="J47">
            <v>0</v>
          </cell>
          <cell r="K47">
            <v>0</v>
          </cell>
        </row>
        <row r="78">
          <cell r="J78">
            <v>0</v>
          </cell>
          <cell r="K78">
            <v>0</v>
          </cell>
        </row>
        <row r="88">
          <cell r="K88">
            <v>0</v>
          </cell>
        </row>
        <row r="95">
          <cell r="I95">
            <v>0</v>
          </cell>
          <cell r="J95">
            <v>0</v>
          </cell>
          <cell r="K95">
            <v>0</v>
          </cell>
        </row>
        <row r="118">
          <cell r="I118">
            <v>0</v>
          </cell>
          <cell r="J118">
            <v>0</v>
          </cell>
          <cell r="K118">
            <v>0</v>
          </cell>
        </row>
        <row r="128">
          <cell r="I128">
            <v>0</v>
          </cell>
          <cell r="J128">
            <v>0</v>
          </cell>
          <cell r="K128">
            <v>0</v>
          </cell>
        </row>
        <row r="136">
          <cell r="I136">
            <v>0</v>
          </cell>
          <cell r="J136">
            <v>0</v>
          </cell>
          <cell r="K136">
            <v>0</v>
          </cell>
        </row>
        <row r="143">
          <cell r="I143">
            <v>0</v>
          </cell>
          <cell r="J143">
            <v>0</v>
          </cell>
          <cell r="K143">
            <v>0</v>
          </cell>
        </row>
        <row r="184">
          <cell r="I184">
            <v>0</v>
          </cell>
          <cell r="J184">
            <v>0</v>
          </cell>
          <cell r="K184">
            <v>0</v>
          </cell>
        </row>
        <row r="203">
          <cell r="I203">
            <v>0</v>
          </cell>
          <cell r="J203">
            <v>0</v>
          </cell>
          <cell r="K203">
            <v>0</v>
          </cell>
        </row>
        <row r="214">
          <cell r="J214">
            <v>0</v>
          </cell>
          <cell r="K214">
            <v>0</v>
          </cell>
        </row>
        <row r="219">
          <cell r="I219">
            <v>0</v>
          </cell>
          <cell r="J219">
            <v>0</v>
          </cell>
          <cell r="K219">
            <v>0</v>
          </cell>
        </row>
      </sheetData>
      <sheetData sheetId="4">
        <row r="65">
          <cell r="I65">
            <v>0</v>
          </cell>
          <cell r="J65">
            <v>0</v>
          </cell>
          <cell r="K65">
            <v>0</v>
          </cell>
        </row>
      </sheetData>
      <sheetData sheetId="5">
        <row r="56">
          <cell r="J56">
            <v>0</v>
          </cell>
          <cell r="K56">
            <v>0</v>
          </cell>
        </row>
        <row r="89">
          <cell r="I89">
            <v>0</v>
          </cell>
          <cell r="J89">
            <v>0</v>
          </cell>
          <cell r="K89">
            <v>0</v>
          </cell>
        </row>
        <row r="118">
          <cell r="I118">
            <v>0</v>
          </cell>
          <cell r="J118">
            <v>0</v>
          </cell>
          <cell r="K118">
            <v>0</v>
          </cell>
        </row>
        <row r="130">
          <cell r="I130">
            <v>0</v>
          </cell>
          <cell r="J130">
            <v>0</v>
          </cell>
          <cell r="K130">
            <v>0</v>
          </cell>
        </row>
        <row r="136">
          <cell r="I136">
            <v>0</v>
          </cell>
          <cell r="J136">
            <v>0</v>
          </cell>
          <cell r="K136">
            <v>0</v>
          </cell>
        </row>
        <row r="150">
          <cell r="K150">
            <v>0</v>
          </cell>
        </row>
        <row r="180">
          <cell r="I180">
            <v>0</v>
          </cell>
          <cell r="J180">
            <v>0</v>
          </cell>
          <cell r="K180">
            <v>0</v>
          </cell>
        </row>
      </sheetData>
      <sheetData sheetId="6" refreshError="1"/>
      <sheetData sheetId="7">
        <row r="20">
          <cell r="J20">
            <v>0</v>
          </cell>
          <cell r="K20">
            <v>0</v>
          </cell>
        </row>
      </sheetData>
      <sheetData sheetId="8">
        <row r="40">
          <cell r="J40">
            <v>0</v>
          </cell>
          <cell r="K40">
            <v>0</v>
          </cell>
        </row>
        <row r="55">
          <cell r="K55">
            <v>0</v>
          </cell>
        </row>
        <row r="64">
          <cell r="I64">
            <v>0</v>
          </cell>
          <cell r="J64">
            <v>0</v>
          </cell>
          <cell r="K64">
            <v>0</v>
          </cell>
        </row>
        <row r="80">
          <cell r="I80">
            <v>0</v>
          </cell>
          <cell r="J80">
            <v>0</v>
          </cell>
          <cell r="K80">
            <v>0</v>
          </cell>
        </row>
        <row r="92">
          <cell r="I92">
            <v>0</v>
          </cell>
          <cell r="J92">
            <v>0</v>
          </cell>
          <cell r="K92">
            <v>0</v>
          </cell>
        </row>
      </sheetData>
      <sheetData sheetId="9">
        <row r="35">
          <cell r="J35">
            <v>0</v>
          </cell>
          <cell r="K35">
            <v>0</v>
          </cell>
        </row>
        <row r="50">
          <cell r="K50">
            <v>0</v>
          </cell>
        </row>
        <row r="59">
          <cell r="I59">
            <v>0</v>
          </cell>
          <cell r="J59">
            <v>0</v>
          </cell>
          <cell r="K59">
            <v>0</v>
          </cell>
        </row>
        <row r="69">
          <cell r="I69">
            <v>0</v>
          </cell>
          <cell r="J69">
            <v>0</v>
          </cell>
          <cell r="K69">
            <v>0</v>
          </cell>
        </row>
      </sheetData>
      <sheetData sheetId="10">
        <row r="79">
          <cell r="J79">
            <v>0</v>
          </cell>
          <cell r="K79">
            <v>0</v>
          </cell>
        </row>
        <row r="97">
          <cell r="K97">
            <v>0</v>
          </cell>
        </row>
        <row r="114">
          <cell r="I114">
            <v>0</v>
          </cell>
          <cell r="J114">
            <v>0</v>
          </cell>
          <cell r="K114">
            <v>0</v>
          </cell>
        </row>
        <row r="127">
          <cell r="I127">
            <v>0</v>
          </cell>
          <cell r="J127">
            <v>0</v>
          </cell>
          <cell r="K127">
            <v>0</v>
          </cell>
        </row>
        <row r="141">
          <cell r="I141">
            <v>0</v>
          </cell>
          <cell r="J141">
            <v>0</v>
          </cell>
          <cell r="K141">
            <v>0</v>
          </cell>
        </row>
        <row r="154">
          <cell r="I154">
            <v>0</v>
          </cell>
          <cell r="J154">
            <v>0</v>
          </cell>
          <cell r="K154">
            <v>0</v>
          </cell>
        </row>
        <row r="166">
          <cell r="I166">
            <v>0</v>
          </cell>
          <cell r="J166">
            <v>0</v>
          </cell>
          <cell r="K166">
            <v>0</v>
          </cell>
        </row>
        <row r="225">
          <cell r="I225">
            <v>0</v>
          </cell>
          <cell r="J225">
            <v>0</v>
          </cell>
          <cell r="K225">
            <v>0</v>
          </cell>
        </row>
        <row r="238">
          <cell r="I238">
            <v>0</v>
          </cell>
          <cell r="J238">
            <v>0</v>
          </cell>
          <cell r="K238">
            <v>0</v>
          </cell>
        </row>
        <row r="243">
          <cell r="J243">
            <v>0</v>
          </cell>
          <cell r="K243">
            <v>0</v>
          </cell>
        </row>
      </sheetData>
      <sheetData sheetId="11">
        <row r="40">
          <cell r="J40">
            <v>0</v>
          </cell>
          <cell r="K40">
            <v>0</v>
          </cell>
        </row>
        <row r="55">
          <cell r="K55">
            <v>0</v>
          </cell>
        </row>
        <row r="62">
          <cell r="I62">
            <v>0</v>
          </cell>
          <cell r="J62">
            <v>0</v>
          </cell>
          <cell r="K62">
            <v>0</v>
          </cell>
        </row>
        <row r="73">
          <cell r="I73">
            <v>0</v>
          </cell>
          <cell r="J73">
            <v>0</v>
          </cell>
          <cell r="K73">
            <v>0</v>
          </cell>
        </row>
        <row r="98">
          <cell r="K98">
            <v>0</v>
          </cell>
        </row>
      </sheetData>
      <sheetData sheetId="12">
        <row r="44">
          <cell r="J44">
            <v>0</v>
          </cell>
          <cell r="K44">
            <v>0</v>
          </cell>
        </row>
        <row r="49">
          <cell r="J49">
            <v>0</v>
          </cell>
          <cell r="K49">
            <v>0</v>
          </cell>
        </row>
        <row r="81">
          <cell r="J81">
            <v>0</v>
          </cell>
          <cell r="K81">
            <v>0</v>
          </cell>
        </row>
        <row r="101">
          <cell r="I101">
            <v>0</v>
          </cell>
          <cell r="J101">
            <v>0</v>
          </cell>
          <cell r="K101">
            <v>0</v>
          </cell>
        </row>
        <row r="117">
          <cell r="I117">
            <v>0</v>
          </cell>
          <cell r="J117">
            <v>0</v>
          </cell>
          <cell r="K117">
            <v>0</v>
          </cell>
        </row>
        <row r="129">
          <cell r="I129">
            <v>0</v>
          </cell>
          <cell r="J129">
            <v>0</v>
          </cell>
          <cell r="K129">
            <v>0</v>
          </cell>
        </row>
        <row r="138">
          <cell r="I138">
            <v>0</v>
          </cell>
          <cell r="J138">
            <v>0</v>
          </cell>
          <cell r="K138">
            <v>0</v>
          </cell>
        </row>
        <row r="151">
          <cell r="I151">
            <v>0</v>
          </cell>
          <cell r="J151">
            <v>0</v>
          </cell>
          <cell r="K151">
            <v>0</v>
          </cell>
        </row>
        <row r="159">
          <cell r="I159">
            <v>0</v>
          </cell>
          <cell r="J159">
            <v>0</v>
          </cell>
          <cell r="K159">
            <v>0</v>
          </cell>
        </row>
        <row r="174">
          <cell r="I174">
            <v>0</v>
          </cell>
          <cell r="J174">
            <v>0</v>
          </cell>
          <cell r="K174">
            <v>0</v>
          </cell>
        </row>
        <row r="180">
          <cell r="I180">
            <v>0</v>
          </cell>
          <cell r="J180">
            <v>0</v>
          </cell>
          <cell r="K180">
            <v>0</v>
          </cell>
        </row>
        <row r="188">
          <cell r="I188">
            <v>0</v>
          </cell>
          <cell r="J188">
            <v>0</v>
          </cell>
          <cell r="K188">
            <v>0</v>
          </cell>
        </row>
        <row r="208">
          <cell r="I208">
            <v>0</v>
          </cell>
          <cell r="J208">
            <v>0</v>
          </cell>
          <cell r="K208">
            <v>0</v>
          </cell>
        </row>
        <row r="215">
          <cell r="I215">
            <v>0</v>
          </cell>
          <cell r="J215">
            <v>0</v>
          </cell>
          <cell r="K215">
            <v>0</v>
          </cell>
        </row>
        <row r="221">
          <cell r="I221">
            <v>0</v>
          </cell>
          <cell r="J221">
            <v>0</v>
          </cell>
          <cell r="K221">
            <v>0</v>
          </cell>
        </row>
        <row r="229">
          <cell r="I229">
            <v>0</v>
          </cell>
          <cell r="J229">
            <v>0</v>
          </cell>
          <cell r="K229">
            <v>0</v>
          </cell>
        </row>
        <row r="243">
          <cell r="I243">
            <v>0</v>
          </cell>
          <cell r="J243">
            <v>0</v>
          </cell>
          <cell r="K243">
            <v>0</v>
          </cell>
        </row>
        <row r="251">
          <cell r="I251">
            <v>0</v>
          </cell>
          <cell r="J251">
            <v>0</v>
          </cell>
          <cell r="K251">
            <v>0</v>
          </cell>
        </row>
        <row r="409">
          <cell r="J409">
            <v>0</v>
          </cell>
          <cell r="K409">
            <v>0</v>
          </cell>
        </row>
        <row r="448">
          <cell r="I448">
            <v>0</v>
          </cell>
          <cell r="J448">
            <v>0</v>
          </cell>
          <cell r="K448">
            <v>0</v>
          </cell>
        </row>
        <row r="460">
          <cell r="I460">
            <v>0</v>
          </cell>
          <cell r="J460">
            <v>0</v>
          </cell>
          <cell r="K460">
            <v>0</v>
          </cell>
        </row>
        <row r="536">
          <cell r="K536">
            <v>0</v>
          </cell>
        </row>
        <row r="547">
          <cell r="I547">
            <v>0</v>
          </cell>
          <cell r="J547">
            <v>0</v>
          </cell>
          <cell r="K547">
            <v>0</v>
          </cell>
        </row>
        <row r="561">
          <cell r="I561">
            <v>0</v>
          </cell>
          <cell r="J561">
            <v>0</v>
          </cell>
          <cell r="K561">
            <v>0</v>
          </cell>
        </row>
        <row r="638">
          <cell r="J638">
            <v>0</v>
          </cell>
          <cell r="K638">
            <v>0</v>
          </cell>
        </row>
        <row r="655">
          <cell r="I655">
            <v>0</v>
          </cell>
          <cell r="J655">
            <v>0</v>
          </cell>
          <cell r="K655">
            <v>0</v>
          </cell>
        </row>
        <row r="665">
          <cell r="I665">
            <v>0</v>
          </cell>
          <cell r="J665">
            <v>0</v>
          </cell>
          <cell r="K665">
            <v>0</v>
          </cell>
        </row>
        <row r="681">
          <cell r="K681">
            <v>0</v>
          </cell>
        </row>
        <row r="694">
          <cell r="I694">
            <v>0</v>
          </cell>
          <cell r="J694">
            <v>0</v>
          </cell>
          <cell r="K694">
            <v>0</v>
          </cell>
        </row>
      </sheetData>
      <sheetData sheetId="13">
        <row r="62">
          <cell r="J62">
            <v>0</v>
          </cell>
          <cell r="K62">
            <v>0</v>
          </cell>
        </row>
        <row r="90">
          <cell r="I90">
            <v>0</v>
          </cell>
          <cell r="J90">
            <v>0</v>
          </cell>
          <cell r="K90">
            <v>0</v>
          </cell>
        </row>
        <row r="107">
          <cell r="I107">
            <v>0</v>
          </cell>
          <cell r="J107">
            <v>0</v>
          </cell>
          <cell r="K107">
            <v>0</v>
          </cell>
        </row>
        <row r="130">
          <cell r="I130">
            <v>0</v>
          </cell>
          <cell r="J130">
            <v>0</v>
          </cell>
          <cell r="K130">
            <v>0</v>
          </cell>
        </row>
        <row r="139">
          <cell r="I139">
            <v>0</v>
          </cell>
          <cell r="J139">
            <v>0</v>
          </cell>
          <cell r="K139">
            <v>0</v>
          </cell>
        </row>
        <row r="148">
          <cell r="I148">
            <v>0</v>
          </cell>
          <cell r="J148">
            <v>0</v>
          </cell>
          <cell r="K148">
            <v>0</v>
          </cell>
        </row>
        <row r="161">
          <cell r="I161">
            <v>0</v>
          </cell>
          <cell r="J161">
            <v>0</v>
          </cell>
          <cell r="K161">
            <v>0</v>
          </cell>
        </row>
      </sheetData>
      <sheetData sheetId="14">
        <row r="19">
          <cell r="J19">
            <v>0</v>
          </cell>
          <cell r="K19">
            <v>0</v>
          </cell>
          <cell r="L19">
            <v>600000</v>
          </cell>
        </row>
        <row r="49">
          <cell r="K49">
            <v>0</v>
          </cell>
        </row>
        <row r="84">
          <cell r="K84">
            <v>0</v>
          </cell>
        </row>
        <row r="105">
          <cell r="J105">
            <v>0</v>
          </cell>
          <cell r="K105">
            <v>0</v>
          </cell>
        </row>
        <row r="114">
          <cell r="I114">
            <v>0</v>
          </cell>
          <cell r="J114">
            <v>0</v>
          </cell>
          <cell r="K114">
            <v>0</v>
          </cell>
        </row>
        <row r="135">
          <cell r="H135">
            <v>337504.25</v>
          </cell>
          <cell r="J135">
            <v>62000</v>
          </cell>
        </row>
      </sheetData>
      <sheetData sheetId="15">
        <row r="2">
          <cell r="H2">
            <v>19277885.759999994</v>
          </cell>
        </row>
      </sheetData>
      <sheetData sheetId="16">
        <row r="104">
          <cell r="G104">
            <v>0</v>
          </cell>
        </row>
      </sheetData>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persons/person.xml><?xml version="1.0" encoding="utf-8"?>
<personList xmlns="http://schemas.microsoft.com/office/spreadsheetml/2018/threadedcomments" xmlns:x="http://schemas.openxmlformats.org/spreadsheetml/2006/main">
  <person displayName="Ichun Yeh" id="{3DC21537-3383-4B40-977C-1758960A559B}" userId="S::iyeh@usmd.edu::6bff8d0e-2c09-4584-a741-3839e896ea2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47" dT="2023-04-14T16:39:41.05" personId="{3DC21537-3383-4B40-977C-1758960A559B}" id="{13DF9AA1-CE8F-4BE5-93D1-65423CCED8B1}">
    <text>UMCP 42nd amnd North Campus Dining Hall
UMCP 42nd amnd New Residence Hall
UMCP 42nd Two New Residence Halls
UMCP 42nd North Campus Dining Hall Replacement
UMCP 41st Two New Residence Halls</text>
  </threadedComment>
</ThreadedComments>
</file>

<file path=xl/threadedComments/threadedComment2.xml><?xml version="1.0" encoding="utf-8"?>
<ThreadedComments xmlns="http://schemas.microsoft.com/office/spreadsheetml/2018/threadedcomments" xmlns:x="http://schemas.openxmlformats.org/spreadsheetml/2006/main">
  <threadedComment ref="B449" dT="2023-04-14T16:39:41.05" personId="{3DC21537-3383-4B40-977C-1758960A559B}" id="{842D598C-17EC-4175-9230-3D4FF03AF13E}">
    <text>UMCP 42nd amnd North Campus Dining Hall
UMCP 42nd amnd New Residence Hall
UMCP 42nd Two New Residence Halls
UMCP 42nd North Campus Dining Hall Replacement
UMCP 41st Two New Residence Halls</text>
  </threadedComment>
</ThreadedComments>
</file>

<file path=xl/threadedComments/threadedComment3.xml><?xml version="1.0" encoding="utf-8"?>
<ThreadedComments xmlns="http://schemas.microsoft.com/office/spreadsheetml/2018/threadedcomments" xmlns:x="http://schemas.openxmlformats.org/spreadsheetml/2006/main">
  <threadedComment ref="B449" dT="2023-04-14T16:39:41.05" personId="{3DC21537-3383-4B40-977C-1758960A559B}" id="{50F17AC3-1382-48BB-A10F-97603147A9F2}">
    <text>UMCP 42nd amnd North Campus Dining Hall
UMCP 42nd amnd New Residence Hall
UMCP 42nd Two New Residence Halls
UMCP 42nd North Campus Dining Hall Replacement
UMCP 41st Two New Residence Halls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A1:BX601"/>
  <sheetViews>
    <sheetView tabSelected="1" zoomScaleNormal="100" workbookViewId="0">
      <pane xSplit="2" ySplit="9" topLeftCell="C61" activePane="bottomRight" state="frozen"/>
      <selection pane="topRight" activeCell="C1" sqref="C1"/>
      <selection pane="bottomLeft" activeCell="A10" sqref="A10"/>
      <selection pane="bottomRight" activeCell="G82" sqref="G82"/>
    </sheetView>
  </sheetViews>
  <sheetFormatPr defaultColWidth="13.7109375" defaultRowHeight="12.75" x14ac:dyDescent="0.2"/>
  <cols>
    <col min="1" max="1" width="9.7109375" style="25" customWidth="1"/>
    <col min="2" max="2" width="3.7109375" customWidth="1"/>
    <col min="3" max="4" width="13.7109375" style="3" customWidth="1"/>
    <col min="5" max="6" width="13.7109375" style="3"/>
    <col min="7" max="11" width="13.7109375" style="3" customWidth="1"/>
    <col min="12" max="12" width="3.7109375" style="5" customWidth="1"/>
    <col min="13" max="15" width="13.7109375" style="5" customWidth="1"/>
    <col min="16" max="16" width="3.7109375" style="5" customWidth="1"/>
    <col min="17" max="19" width="13.7109375" style="5" customWidth="1"/>
    <col min="20" max="20" width="3.7109375" style="5" customWidth="1"/>
    <col min="21" max="21" width="13.7109375" customWidth="1"/>
    <col min="22" max="22" width="15.42578125" customWidth="1"/>
    <col min="23" max="23" width="13.7109375" customWidth="1"/>
    <col min="24" max="24" width="3.7109375" style="5" customWidth="1"/>
    <col min="25" max="27" width="13.7109375" style="5" customWidth="1"/>
    <col min="28" max="28" width="3.7109375" style="5" customWidth="1"/>
    <col min="29" max="31" width="13.7109375" style="5" customWidth="1"/>
    <col min="32" max="32" width="3.7109375" style="5" customWidth="1"/>
    <col min="33" max="35" width="13.7109375" customWidth="1"/>
    <col min="36" max="36" width="3.7109375" customWidth="1"/>
    <col min="37" max="39" width="13.7109375" customWidth="1"/>
    <col min="40" max="40" width="3.7109375" style="5" customWidth="1"/>
    <col min="41" max="43" width="13.7109375" style="5" customWidth="1"/>
    <col min="44" max="44" width="3.7109375" style="5" customWidth="1"/>
    <col min="45" max="45" width="13.28515625" customWidth="1"/>
    <col min="46" max="46" width="12.7109375" customWidth="1"/>
    <col min="47" max="47" width="15.7109375" customWidth="1"/>
    <col min="48" max="48" width="3.7109375" customWidth="1"/>
    <col min="49" max="49" width="3.7109375" style="5" customWidth="1"/>
    <col min="50" max="52" width="13.7109375" style="5" customWidth="1"/>
    <col min="53" max="53" width="3.7109375" style="5" customWidth="1"/>
    <col min="54" max="56" width="13.7109375" style="5"/>
    <col min="57" max="57" width="3.7109375" style="5" customWidth="1"/>
    <col min="58" max="60" width="13.7109375" style="5"/>
    <col min="61" max="61" width="3.7109375" style="5" customWidth="1"/>
    <col min="62" max="64" width="13.7109375" style="5"/>
    <col min="65" max="65" width="3.7109375" style="5" customWidth="1"/>
    <col min="66" max="68" width="13.7109375" style="6"/>
    <col min="69" max="69" width="3.7109375" style="6" customWidth="1"/>
    <col min="70" max="70" width="16.42578125" style="5" customWidth="1"/>
    <col min="71" max="72" width="13.7109375" style="5"/>
    <col min="73" max="73" width="3.7109375" style="5" customWidth="1"/>
    <col min="74" max="76" width="13.7109375" style="5" customWidth="1"/>
  </cols>
  <sheetData>
    <row r="1" spans="1:76" ht="12" customHeight="1" x14ac:dyDescent="0.2">
      <c r="A1" s="1"/>
      <c r="B1" s="2"/>
      <c r="D1" s="4"/>
      <c r="G1" s="4" t="s">
        <v>20</v>
      </c>
      <c r="H1" s="4"/>
      <c r="I1" s="4"/>
      <c r="J1" s="4"/>
      <c r="W1" s="4" t="s">
        <v>20</v>
      </c>
      <c r="AC1" s="4"/>
      <c r="AD1" s="4"/>
      <c r="AG1" s="4"/>
      <c r="AK1" s="4"/>
      <c r="AM1" s="4" t="s">
        <v>20</v>
      </c>
      <c r="AX1" s="4"/>
      <c r="BD1" s="4" t="s">
        <v>20</v>
      </c>
      <c r="BI1" s="4"/>
      <c r="BL1" s="4"/>
      <c r="BR1" s="5" t="s">
        <v>20</v>
      </c>
      <c r="BU1" s="4"/>
    </row>
    <row r="2" spans="1:76" ht="12" customHeight="1" x14ac:dyDescent="0.2">
      <c r="A2" s="1"/>
      <c r="B2" s="2"/>
      <c r="C2" s="282"/>
      <c r="D2" s="4"/>
      <c r="G2" s="4" t="s">
        <v>19</v>
      </c>
      <c r="H2" s="4"/>
      <c r="I2" s="4"/>
      <c r="J2" s="4"/>
      <c r="V2" s="5"/>
      <c r="W2" s="4" t="s">
        <v>19</v>
      </c>
      <c r="AC2" s="37"/>
      <c r="AD2" s="37"/>
      <c r="AG2" s="4"/>
      <c r="AH2" s="5"/>
      <c r="AI2" s="270"/>
      <c r="AK2" s="4"/>
      <c r="AL2" s="5"/>
      <c r="AM2" s="4" t="s">
        <v>19</v>
      </c>
      <c r="AX2" s="4"/>
      <c r="BD2" s="4" t="s">
        <v>19</v>
      </c>
      <c r="BI2" s="4"/>
      <c r="BL2" s="4"/>
      <c r="BR2" s="5" t="s">
        <v>19</v>
      </c>
      <c r="BU2" s="4"/>
    </row>
    <row r="3" spans="1:76" ht="12" customHeight="1" x14ac:dyDescent="0.2">
      <c r="A3" s="1"/>
      <c r="B3" s="2"/>
      <c r="D3" s="7"/>
      <c r="G3" s="37" t="s">
        <v>44</v>
      </c>
      <c r="H3" s="7"/>
      <c r="I3" s="7"/>
      <c r="J3" s="7"/>
      <c r="W3" s="37" t="s">
        <v>44</v>
      </c>
      <c r="AC3" s="39"/>
      <c r="AG3" s="270"/>
      <c r="AH3" s="8"/>
      <c r="AK3" s="37"/>
      <c r="AM3" s="37" t="s">
        <v>44</v>
      </c>
      <c r="AX3" s="37"/>
      <c r="BD3" s="37" t="s">
        <v>44</v>
      </c>
      <c r="BI3" s="37"/>
      <c r="BL3" s="37"/>
      <c r="BR3" s="5" t="s">
        <v>44</v>
      </c>
      <c r="BU3" s="37"/>
    </row>
    <row r="4" spans="1:76" ht="12" customHeight="1" x14ac:dyDescent="0.2">
      <c r="A4" s="1"/>
      <c r="B4" s="2"/>
      <c r="C4" s="7"/>
      <c r="D4" s="4"/>
      <c r="E4" s="4"/>
      <c r="F4" s="4"/>
      <c r="G4" s="4"/>
      <c r="H4" s="4"/>
      <c r="I4" s="4"/>
      <c r="J4" s="4"/>
      <c r="M4" s="39"/>
      <c r="Q4" s="39"/>
      <c r="AG4" s="8"/>
      <c r="AH4" s="8"/>
      <c r="AI4" s="102"/>
      <c r="AK4" s="261"/>
      <c r="BT4" s="39"/>
    </row>
    <row r="5" spans="1:76" ht="12" customHeight="1" x14ac:dyDescent="0.2">
      <c r="A5" s="9" t="s">
        <v>0</v>
      </c>
      <c r="C5" s="40" t="s">
        <v>45</v>
      </c>
      <c r="D5" s="41"/>
      <c r="E5" s="10"/>
      <c r="F5" s="10"/>
      <c r="G5" s="10"/>
      <c r="H5" s="10"/>
      <c r="I5" s="10"/>
      <c r="J5" s="10"/>
      <c r="K5" s="11"/>
      <c r="M5" s="94" t="s">
        <v>46</v>
      </c>
      <c r="N5" s="95"/>
      <c r="O5" s="96"/>
      <c r="Q5" s="50" t="s">
        <v>47</v>
      </c>
      <c r="R5" s="42"/>
      <c r="S5" s="51"/>
      <c r="U5" s="124" t="s">
        <v>22</v>
      </c>
      <c r="V5" s="48"/>
      <c r="W5" s="49"/>
      <c r="Y5" s="124" t="s">
        <v>23</v>
      </c>
      <c r="Z5" s="48"/>
      <c r="AA5" s="49"/>
      <c r="AB5" s="53"/>
      <c r="AC5" s="109" t="s">
        <v>48</v>
      </c>
      <c r="AD5" s="110"/>
      <c r="AE5" s="106"/>
      <c r="AG5" s="111" t="s">
        <v>49</v>
      </c>
      <c r="AH5" s="112"/>
      <c r="AI5" s="106"/>
      <c r="AJ5" s="3"/>
      <c r="AK5" s="300" t="s">
        <v>385</v>
      </c>
      <c r="AL5" s="301"/>
      <c r="AM5" s="302"/>
      <c r="AO5" s="300" t="s">
        <v>43</v>
      </c>
      <c r="AP5" s="301"/>
      <c r="AQ5" s="302"/>
      <c r="AS5" s="300" t="s">
        <v>71</v>
      </c>
      <c r="AT5" s="301"/>
      <c r="AU5" s="302"/>
      <c r="AV5" s="3"/>
      <c r="AW5" s="6"/>
      <c r="AX5" s="300" t="s">
        <v>28</v>
      </c>
      <c r="AY5" s="301"/>
      <c r="AZ5" s="302"/>
      <c r="BA5" s="6"/>
      <c r="BB5" s="300" t="s">
        <v>34</v>
      </c>
      <c r="BC5" s="301"/>
      <c r="BD5" s="302"/>
      <c r="BE5" s="6"/>
      <c r="BF5" s="300" t="s">
        <v>21</v>
      </c>
      <c r="BG5" s="301"/>
      <c r="BH5" s="302"/>
      <c r="BI5" s="6"/>
      <c r="BJ5" s="300" t="s">
        <v>437</v>
      </c>
      <c r="BK5" s="301"/>
      <c r="BL5" s="302"/>
      <c r="BM5" s="6"/>
      <c r="BN5" s="47" t="s">
        <v>29</v>
      </c>
      <c r="BO5" s="48"/>
      <c r="BP5" s="49"/>
      <c r="BQ5"/>
      <c r="BR5" s="113" t="s">
        <v>29</v>
      </c>
      <c r="BS5" s="114"/>
      <c r="BT5" s="115"/>
      <c r="BV5" s="120" t="s">
        <v>29</v>
      </c>
      <c r="BW5" s="121"/>
      <c r="BX5" s="122"/>
    </row>
    <row r="6" spans="1:76" s="8" customFormat="1" ht="12" customHeight="1" x14ac:dyDescent="0.2">
      <c r="A6" s="15" t="s">
        <v>1</v>
      </c>
      <c r="C6" s="103" t="s">
        <v>77</v>
      </c>
      <c r="D6" s="104"/>
      <c r="E6" s="105" t="s">
        <v>78</v>
      </c>
      <c r="F6" s="106"/>
      <c r="G6" s="107" t="s">
        <v>79</v>
      </c>
      <c r="H6" s="108"/>
      <c r="I6" s="298" t="s">
        <v>80</v>
      </c>
      <c r="J6" s="298"/>
      <c r="K6" s="299"/>
      <c r="L6" s="5"/>
      <c r="M6" s="97" t="s">
        <v>72</v>
      </c>
      <c r="N6" s="98"/>
      <c r="O6" s="99"/>
      <c r="P6" s="5"/>
      <c r="Q6" s="292" t="s">
        <v>73</v>
      </c>
      <c r="R6" s="100"/>
      <c r="S6" s="101"/>
      <c r="T6" s="5"/>
      <c r="U6" s="44"/>
      <c r="V6" s="288" t="s">
        <v>75</v>
      </c>
      <c r="W6" s="18"/>
      <c r="X6" s="5"/>
      <c r="Y6" s="19"/>
      <c r="Z6" s="288" t="s">
        <v>75</v>
      </c>
      <c r="AA6" s="18"/>
      <c r="AB6" s="33"/>
      <c r="AC6" s="289" t="s">
        <v>476</v>
      </c>
      <c r="AD6" s="251"/>
      <c r="AE6" s="252"/>
      <c r="AF6" s="5"/>
      <c r="AG6" s="296"/>
      <c r="AH6" s="296" t="s">
        <v>475</v>
      </c>
      <c r="AI6" s="297"/>
      <c r="AJ6" s="33"/>
      <c r="AK6" s="45"/>
      <c r="AL6" s="290" t="s">
        <v>74</v>
      </c>
      <c r="AM6" s="46"/>
      <c r="AN6" s="5"/>
      <c r="AO6" s="291" t="s">
        <v>39</v>
      </c>
      <c r="AP6" s="290" t="s">
        <v>74</v>
      </c>
      <c r="AQ6" s="18"/>
      <c r="AR6" s="5"/>
      <c r="AS6" s="52"/>
      <c r="AT6" s="290" t="s">
        <v>74</v>
      </c>
      <c r="AU6" s="46"/>
      <c r="AV6" s="33"/>
      <c r="AW6" s="33"/>
      <c r="AX6" s="19"/>
      <c r="AY6" s="290" t="s">
        <v>74</v>
      </c>
      <c r="AZ6" s="18"/>
      <c r="BA6" s="33"/>
      <c r="BB6" s="19"/>
      <c r="BC6" s="290" t="s">
        <v>74</v>
      </c>
      <c r="BD6" s="18"/>
      <c r="BE6" s="33"/>
      <c r="BF6" s="262"/>
      <c r="BG6" s="290" t="s">
        <v>74</v>
      </c>
      <c r="BH6" s="263"/>
      <c r="BI6" s="33"/>
      <c r="BJ6" s="19"/>
      <c r="BK6" s="290" t="s">
        <v>74</v>
      </c>
      <c r="BL6" s="18"/>
      <c r="BM6" s="33"/>
      <c r="BN6" s="118"/>
      <c r="BO6" s="293" t="s">
        <v>75</v>
      </c>
      <c r="BP6" s="119"/>
      <c r="BR6" s="116"/>
      <c r="BS6" s="294" t="s">
        <v>74</v>
      </c>
      <c r="BT6" s="117"/>
      <c r="BU6" s="5"/>
      <c r="BV6" s="123"/>
      <c r="BW6" s="295" t="s">
        <v>76</v>
      </c>
      <c r="BX6" s="99"/>
    </row>
    <row r="7" spans="1:76" s="8" customFormat="1" ht="12" customHeight="1" x14ac:dyDescent="0.2">
      <c r="A7" s="15"/>
      <c r="C7" s="29"/>
      <c r="D7" s="14"/>
      <c r="E7" s="14"/>
      <c r="F7" s="14"/>
      <c r="G7" s="14"/>
      <c r="H7" s="14"/>
      <c r="I7" s="14"/>
      <c r="J7" s="14"/>
      <c r="K7" s="13"/>
      <c r="L7" s="5"/>
      <c r="M7" s="16"/>
      <c r="N7" s="17"/>
      <c r="O7" s="18"/>
      <c r="P7" s="5"/>
      <c r="Q7" s="16">
        <f>U7+Y7+BN7</f>
        <v>0.99999996508601008</v>
      </c>
      <c r="R7" s="16">
        <f>V7+Z7+BO7</f>
        <v>1</v>
      </c>
      <c r="S7" s="16">
        <f>W7+AA7+BP7</f>
        <v>1</v>
      </c>
      <c r="T7" s="5"/>
      <c r="U7" s="284">
        <v>0.44263570000000002</v>
      </c>
      <c r="V7" s="285">
        <v>0.49710175547611635</v>
      </c>
      <c r="W7" s="286">
        <v>0.50093742213599546</v>
      </c>
      <c r="X7" s="5"/>
      <c r="Y7" s="19">
        <v>0.49205759999999998</v>
      </c>
      <c r="Z7" s="20">
        <v>0.49205764783907013</v>
      </c>
      <c r="AA7" s="18">
        <v>0.49205764783907013</v>
      </c>
      <c r="AB7" s="259"/>
      <c r="AC7" s="16"/>
      <c r="AD7" s="17"/>
      <c r="AE7" s="18" t="e">
        <f>#REF!+#REF!</f>
        <v>#REF!</v>
      </c>
      <c r="AF7" s="5"/>
      <c r="AG7" s="16">
        <f>+AS7+AX7+BB7+BF7+BR7+AK7+AO7+BJ7</f>
        <v>1</v>
      </c>
      <c r="AH7" s="16">
        <f>+AT7+AY7+BC7+BG7+BS7+AL7+AP7+BK7</f>
        <v>1</v>
      </c>
      <c r="AI7" s="16">
        <f>+AU7+AZ7+BD7+BH7+BT7+AM7+AQ7+BL7</f>
        <v>0.7361217992500001</v>
      </c>
      <c r="AJ7" s="33"/>
      <c r="AK7" s="19"/>
      <c r="AL7" s="20"/>
      <c r="AM7" s="18"/>
      <c r="AN7" s="5"/>
      <c r="AO7" s="19"/>
      <c r="AP7" s="20"/>
      <c r="AQ7" s="18">
        <v>7.134843000000001E-3</v>
      </c>
      <c r="AR7" s="5"/>
      <c r="AS7" s="30">
        <v>4.9299213750000001E-2</v>
      </c>
      <c r="AT7" s="20">
        <v>5.1766701750000005E-2</v>
      </c>
      <c r="AU7" s="18">
        <v>5.6344599250000016E-2</v>
      </c>
      <c r="AV7" s="33"/>
      <c r="AW7" s="33"/>
      <c r="AX7" s="19"/>
      <c r="AY7" s="20"/>
      <c r="AZ7" s="18">
        <v>2.2507152500000002E-3</v>
      </c>
      <c r="BA7" s="33"/>
      <c r="BB7" s="19"/>
      <c r="BC7" s="20"/>
      <c r="BD7" s="18">
        <v>4.7136646250000004E-2</v>
      </c>
      <c r="BE7" s="33"/>
      <c r="BF7" s="262"/>
      <c r="BG7" s="17"/>
      <c r="BH7" s="43">
        <v>7.2046272500000024E-3</v>
      </c>
      <c r="BI7" s="33"/>
      <c r="BJ7" s="19"/>
      <c r="BK7" s="20"/>
      <c r="BL7" s="18">
        <v>0</v>
      </c>
      <c r="BM7" s="33"/>
      <c r="BN7" s="19">
        <v>6.5306665086010129E-2</v>
      </c>
      <c r="BO7" s="20">
        <v>1.0840596684813474E-2</v>
      </c>
      <c r="BP7" s="18">
        <v>7.0049300249345001E-3</v>
      </c>
      <c r="BR7" s="19">
        <v>0.9507007862500001</v>
      </c>
      <c r="BS7" s="20">
        <v>0.94823329825000002</v>
      </c>
      <c r="BT7" s="18">
        <v>0.61605036825000004</v>
      </c>
      <c r="BU7" s="5"/>
      <c r="BV7" s="30">
        <v>0.50176832360000001</v>
      </c>
      <c r="BW7" s="260">
        <v>0.13472001</v>
      </c>
      <c r="BX7" s="269" t="s">
        <v>386</v>
      </c>
    </row>
    <row r="8" spans="1:76" s="8" customFormat="1" ht="12" customHeight="1" x14ac:dyDescent="0.2">
      <c r="A8" s="15"/>
      <c r="C8" s="29"/>
      <c r="D8" s="14"/>
      <c r="E8" s="14"/>
      <c r="F8" s="14"/>
      <c r="G8" s="14"/>
      <c r="H8" s="14"/>
      <c r="I8" s="14"/>
      <c r="J8" s="14"/>
      <c r="K8" s="13"/>
      <c r="L8" s="5"/>
      <c r="M8" s="16"/>
      <c r="N8" s="17"/>
      <c r="O8" s="18"/>
      <c r="P8" s="5"/>
      <c r="Q8" s="16">
        <f>U8+Y8</f>
        <v>1.0000000000000004</v>
      </c>
      <c r="R8" s="16"/>
      <c r="S8" s="18"/>
      <c r="T8" s="5"/>
      <c r="U8" s="287">
        <v>0.50794235049258896</v>
      </c>
      <c r="V8" s="285"/>
      <c r="W8" s="286"/>
      <c r="X8" s="5"/>
      <c r="Y8" s="281">
        <v>0.49205764950741138</v>
      </c>
      <c r="Z8" s="20"/>
      <c r="AA8" s="18"/>
      <c r="AB8" s="259"/>
      <c r="AC8" s="18" t="e">
        <f>#REF!+#REF!</f>
        <v>#REF!</v>
      </c>
      <c r="AD8" s="61" t="e">
        <f>#REF!+#REF!</f>
        <v>#REF!</v>
      </c>
      <c r="AE8" s="18"/>
      <c r="AF8" s="5"/>
      <c r="AG8" s="16">
        <f>+AX8+BB8+BF8+BR8+AK8+AO8+BJ8</f>
        <v>0.34466932950000001</v>
      </c>
      <c r="AH8" s="283">
        <f>+AY8+BC8+BG8+BS8+AL8+AP8+BK8</f>
        <v>0.2875053232735254</v>
      </c>
      <c r="AI8" s="16"/>
      <c r="AJ8" s="33"/>
      <c r="AK8" s="277">
        <v>1.9683175E-4</v>
      </c>
      <c r="AL8" s="280">
        <v>1.96570209306828E-4</v>
      </c>
      <c r="AM8" s="18"/>
      <c r="AN8" s="5"/>
      <c r="AO8" s="277">
        <v>9.1952730000000003E-3</v>
      </c>
      <c r="AP8" s="280">
        <v>9.1830547573926655E-3</v>
      </c>
      <c r="AQ8" s="18"/>
      <c r="AR8" s="5"/>
      <c r="AS8" s="278" t="s">
        <v>436</v>
      </c>
      <c r="AT8" s="20"/>
      <c r="AU8" s="18"/>
      <c r="AV8" s="33"/>
      <c r="AW8" s="33"/>
      <c r="AX8" s="277">
        <v>3.0216227499999999E-3</v>
      </c>
      <c r="AY8" s="280">
        <v>3.0550579327917327E-3</v>
      </c>
      <c r="AZ8" s="18"/>
      <c r="BA8" s="33"/>
      <c r="BB8" s="277">
        <v>0.20005960449999999</v>
      </c>
      <c r="BC8" s="280">
        <v>0.2126852636466702</v>
      </c>
      <c r="BD8" s="18"/>
      <c r="BE8" s="33"/>
      <c r="BF8" s="279">
        <v>5.6156897499999997E-2</v>
      </c>
      <c r="BG8" s="55">
        <v>5.6333435459285999E-2</v>
      </c>
      <c r="BI8" s="33"/>
      <c r="BJ8" s="277">
        <v>0</v>
      </c>
      <c r="BK8" s="280">
        <v>1.3640376199838403E-3</v>
      </c>
      <c r="BL8" s="18"/>
      <c r="BM8" s="33"/>
      <c r="BN8" s="277" t="s">
        <v>386</v>
      </c>
      <c r="BO8" s="20"/>
      <c r="BP8" s="18"/>
      <c r="BR8" s="277">
        <f>7.1345%+0.46941%</f>
        <v>7.6039099999999998E-2</v>
      </c>
      <c r="BS8" s="280">
        <v>4.6879036480941775E-3</v>
      </c>
      <c r="BT8" s="18"/>
      <c r="BU8" s="5"/>
      <c r="BV8" s="276"/>
      <c r="BW8" s="260"/>
      <c r="BX8" s="18"/>
    </row>
    <row r="9" spans="1:76" ht="12" customHeight="1" x14ac:dyDescent="0.2">
      <c r="A9" s="21"/>
      <c r="C9" s="35" t="s">
        <v>2</v>
      </c>
      <c r="D9" s="22" t="s">
        <v>3</v>
      </c>
      <c r="E9" s="35" t="s">
        <v>2</v>
      </c>
      <c r="F9" s="22" t="s">
        <v>3</v>
      </c>
      <c r="G9" s="35" t="s">
        <v>2</v>
      </c>
      <c r="H9" s="22" t="s">
        <v>3</v>
      </c>
      <c r="I9" s="22" t="s">
        <v>35</v>
      </c>
      <c r="J9" s="22" t="s">
        <v>36</v>
      </c>
      <c r="K9" s="22" t="s">
        <v>4</v>
      </c>
      <c r="M9" s="22" t="s">
        <v>2</v>
      </c>
      <c r="N9" s="35" t="s">
        <v>3</v>
      </c>
      <c r="O9" s="22" t="s">
        <v>4</v>
      </c>
      <c r="Q9" s="22" t="s">
        <v>2</v>
      </c>
      <c r="R9" s="35" t="s">
        <v>3</v>
      </c>
      <c r="S9" s="22" t="s">
        <v>4</v>
      </c>
      <c r="U9" s="23" t="s">
        <v>2</v>
      </c>
      <c r="V9" s="23" t="s">
        <v>3</v>
      </c>
      <c r="W9" s="23" t="s">
        <v>4</v>
      </c>
      <c r="Y9" s="23" t="s">
        <v>2</v>
      </c>
      <c r="Z9" s="23" t="s">
        <v>3</v>
      </c>
      <c r="AA9" s="23" t="s">
        <v>4</v>
      </c>
      <c r="AB9" s="23"/>
      <c r="AC9" s="22" t="s">
        <v>2</v>
      </c>
      <c r="AD9" s="35" t="s">
        <v>3</v>
      </c>
      <c r="AE9" s="22" t="s">
        <v>4</v>
      </c>
      <c r="AG9" s="22" t="s">
        <v>2</v>
      </c>
      <c r="AH9" s="22" t="s">
        <v>3</v>
      </c>
      <c r="AI9" s="22" t="s">
        <v>4</v>
      </c>
      <c r="AJ9" s="36"/>
      <c r="AK9" s="23" t="s">
        <v>2</v>
      </c>
      <c r="AL9" s="23" t="s">
        <v>3</v>
      </c>
      <c r="AM9" s="23" t="s">
        <v>4</v>
      </c>
      <c r="AO9" s="23" t="s">
        <v>2</v>
      </c>
      <c r="AP9" s="23" t="s">
        <v>3</v>
      </c>
      <c r="AQ9" s="23" t="s">
        <v>4</v>
      </c>
      <c r="AS9" s="23" t="s">
        <v>2</v>
      </c>
      <c r="AT9" s="23" t="s">
        <v>3</v>
      </c>
      <c r="AU9" s="23" t="s">
        <v>4</v>
      </c>
      <c r="AV9" s="36"/>
      <c r="AW9" s="24"/>
      <c r="AX9" s="23" t="s">
        <v>2</v>
      </c>
      <c r="AY9" s="23" t="s">
        <v>3</v>
      </c>
      <c r="AZ9" s="23" t="s">
        <v>4</v>
      </c>
      <c r="BA9" s="24"/>
      <c r="BB9" s="23" t="s">
        <v>2</v>
      </c>
      <c r="BC9" s="23" t="s">
        <v>3</v>
      </c>
      <c r="BD9" s="23" t="s">
        <v>4</v>
      </c>
      <c r="BE9" s="24"/>
      <c r="BF9" s="23" t="s">
        <v>2</v>
      </c>
      <c r="BG9" s="23" t="s">
        <v>3</v>
      </c>
      <c r="BH9" s="23" t="s">
        <v>4</v>
      </c>
      <c r="BI9" s="24"/>
      <c r="BJ9" s="23" t="s">
        <v>2</v>
      </c>
      <c r="BK9" s="23" t="s">
        <v>3</v>
      </c>
      <c r="BL9" s="23" t="s">
        <v>4</v>
      </c>
      <c r="BM9" s="24"/>
      <c r="BN9" s="23" t="s">
        <v>2</v>
      </c>
      <c r="BO9" s="23" t="s">
        <v>3</v>
      </c>
      <c r="BP9" s="23" t="s">
        <v>4</v>
      </c>
      <c r="BQ9"/>
      <c r="BR9" s="23" t="s">
        <v>2</v>
      </c>
      <c r="BS9" s="23" t="s">
        <v>3</v>
      </c>
      <c r="BT9" s="23" t="s">
        <v>4</v>
      </c>
      <c r="BV9" s="23" t="s">
        <v>2</v>
      </c>
      <c r="BW9" s="23" t="s">
        <v>3</v>
      </c>
      <c r="BX9" s="23" t="s">
        <v>4</v>
      </c>
    </row>
    <row r="10" spans="1:76" ht="12" customHeight="1" x14ac:dyDescent="0.2">
      <c r="A10" s="25">
        <v>44835</v>
      </c>
      <c r="B10" t="s">
        <v>5</v>
      </c>
      <c r="D10" s="3">
        <v>973637</v>
      </c>
      <c r="F10" s="3">
        <v>826499</v>
      </c>
      <c r="H10" s="3">
        <v>629300</v>
      </c>
      <c r="J10" s="3">
        <f t="shared" ref="J10:J41" si="0">D10+F10+H10</f>
        <v>2429436</v>
      </c>
      <c r="K10" s="3">
        <f>I10+J10</f>
        <v>2429436</v>
      </c>
      <c r="M10" s="38"/>
      <c r="N10" s="3">
        <v>629300</v>
      </c>
      <c r="O10" s="5">
        <f>M10+N10</f>
        <v>629300</v>
      </c>
      <c r="Q10" s="38"/>
      <c r="R10" s="3">
        <f t="shared" ref="R10:R41" si="1">V10+Z10+BO10</f>
        <v>973636.96600644756</v>
      </c>
      <c r="S10" s="38">
        <f>Q10+R10</f>
        <v>973636.96600644756</v>
      </c>
      <c r="U10" s="5"/>
      <c r="V10" s="5">
        <f>D10*U7</f>
        <v>430966.49504090002</v>
      </c>
      <c r="W10" s="5">
        <f>U10+V10</f>
        <v>430966.49504090002</v>
      </c>
      <c r="Y10" s="38"/>
      <c r="Z10" s="38">
        <f>D10*Y7</f>
        <v>479085.4854912</v>
      </c>
      <c r="AA10" s="38">
        <f>Y10+Z10</f>
        <v>479085.4854912</v>
      </c>
      <c r="AB10" s="38"/>
      <c r="AC10" s="38"/>
      <c r="AD10" s="5">
        <v>0</v>
      </c>
      <c r="AE10" s="38">
        <f>AC10+AD10</f>
        <v>0</v>
      </c>
      <c r="AG10" s="3"/>
      <c r="AH10" s="3">
        <f>+AT10+AY10+BC10+BG10+BS10+BK10+AL10+AP10</f>
        <v>826499.00000000012</v>
      </c>
      <c r="AI10" s="38">
        <f>AG10+AH10</f>
        <v>826499.00000000012</v>
      </c>
      <c r="AJ10" s="5"/>
      <c r="AK10" s="38"/>
      <c r="AL10" s="38"/>
      <c r="AM10" s="38">
        <f>AK10+AL10</f>
        <v>0</v>
      </c>
      <c r="AO10" s="38"/>
      <c r="AP10" s="38"/>
      <c r="AQ10" s="38">
        <f>AO10+AP10</f>
        <v>0</v>
      </c>
      <c r="AS10" s="5"/>
      <c r="AT10" s="5">
        <f>F10*AS7</f>
        <v>40745.750865161252</v>
      </c>
      <c r="AU10" s="5">
        <f>AS10+AT10</f>
        <v>40745.750865161252</v>
      </c>
      <c r="AV10" s="5"/>
      <c r="AX10" s="38"/>
      <c r="AY10" s="38"/>
      <c r="AZ10" s="38">
        <f>AX10+AY10</f>
        <v>0</v>
      </c>
      <c r="BB10" s="38"/>
      <c r="BC10" s="38"/>
      <c r="BD10" s="38">
        <f>BB10+BC10</f>
        <v>0</v>
      </c>
      <c r="BF10" s="38"/>
      <c r="BG10" s="38"/>
      <c r="BH10" s="38">
        <f>BF10+BG10</f>
        <v>0</v>
      </c>
      <c r="BJ10" s="38"/>
      <c r="BK10" s="38"/>
      <c r="BL10" s="38">
        <f>BJ10+BK10</f>
        <v>0</v>
      </c>
      <c r="BN10" s="38"/>
      <c r="BO10" s="38">
        <f>D10*BN7</f>
        <v>63584.985474347646</v>
      </c>
      <c r="BP10" s="38">
        <f>BN10+BO10</f>
        <v>63584.985474347646</v>
      </c>
      <c r="BQ10" s="5"/>
      <c r="BR10" s="38"/>
      <c r="BS10" s="38">
        <f>F10*BR7</f>
        <v>785753.24913483881</v>
      </c>
      <c r="BT10" s="38">
        <f>BR10+BS10</f>
        <v>785753.24913483881</v>
      </c>
      <c r="BW10" s="5">
        <v>315762.80604147998</v>
      </c>
      <c r="BX10" s="38">
        <f>BV10+BW10</f>
        <v>315762.80604147998</v>
      </c>
    </row>
    <row r="11" spans="1:76" ht="12" customHeight="1" x14ac:dyDescent="0.2">
      <c r="A11" s="25">
        <v>45017</v>
      </c>
      <c r="C11" s="3">
        <v>690000</v>
      </c>
      <c r="D11" s="3">
        <v>807625</v>
      </c>
      <c r="E11" s="3">
        <v>1005000</v>
      </c>
      <c r="F11" s="3">
        <v>685575</v>
      </c>
      <c r="G11" s="3">
        <v>1565000</v>
      </c>
      <c r="H11" s="3">
        <v>522000</v>
      </c>
      <c r="I11" s="3">
        <f>C11+E11+G11</f>
        <v>3260000</v>
      </c>
      <c r="J11" s="3">
        <f t="shared" si="0"/>
        <v>2015200</v>
      </c>
      <c r="K11" s="3">
        <f t="shared" ref="K11:K69" si="2">I11+J11</f>
        <v>5275200</v>
      </c>
      <c r="M11" s="3">
        <v>1565000</v>
      </c>
      <c r="N11" s="3">
        <v>522000</v>
      </c>
      <c r="O11" s="5">
        <f>M11+N11</f>
        <v>2087000</v>
      </c>
      <c r="Q11" s="3">
        <f>U11+Y11+BN11</f>
        <v>690000</v>
      </c>
      <c r="R11" s="3">
        <f t="shared" si="1"/>
        <v>807624.99999999988</v>
      </c>
      <c r="S11" s="5">
        <f>Q11+R11</f>
        <v>1497625</v>
      </c>
      <c r="U11" s="5">
        <f>C11*V7</f>
        <v>343000.21127852029</v>
      </c>
      <c r="V11" s="5">
        <f>D11*V7</f>
        <v>401471.80526639847</v>
      </c>
      <c r="W11" s="5">
        <f>U11+V11</f>
        <v>744472.01654491876</v>
      </c>
      <c r="Y11" s="5">
        <f>C11*Z7</f>
        <v>339519.77700895839</v>
      </c>
      <c r="Z11" s="5">
        <f>D11*Z7</f>
        <v>397398.05783602904</v>
      </c>
      <c r="AA11" s="5">
        <f>Y11+Z11</f>
        <v>736917.83484498737</v>
      </c>
      <c r="AD11" s="5">
        <v>0</v>
      </c>
      <c r="AE11" s="5">
        <f>AC11+AD11</f>
        <v>0</v>
      </c>
      <c r="AG11" s="3">
        <f t="shared" ref="AG11:AH13" si="3">+AS11+AX11+BB11+BF11+BR11+BJ11+AK11+AO11</f>
        <v>1005000</v>
      </c>
      <c r="AH11" s="3">
        <f t="shared" si="3"/>
        <v>685575</v>
      </c>
      <c r="AI11" s="5">
        <f>AG11+AH11</f>
        <v>1690575</v>
      </c>
      <c r="AJ11" s="5"/>
      <c r="AK11" s="5"/>
      <c r="AL11" s="5"/>
      <c r="AM11" s="5">
        <f>AK11+AL11</f>
        <v>0</v>
      </c>
      <c r="AQ11" s="5">
        <f>AO11+AP11</f>
        <v>0</v>
      </c>
      <c r="AS11" s="5">
        <f>E11*AT7</f>
        <v>52025.535258750002</v>
      </c>
      <c r="AT11" s="5">
        <f>F11*AT7</f>
        <v>35489.956552256255</v>
      </c>
      <c r="AU11" s="5">
        <f>AS11+AT11</f>
        <v>87515.491811006257</v>
      </c>
      <c r="AV11" s="5"/>
      <c r="AZ11" s="5">
        <f>AX11+AY11</f>
        <v>0</v>
      </c>
      <c r="BD11" s="5">
        <f>BB11+BC11</f>
        <v>0</v>
      </c>
      <c r="BH11" s="5">
        <f>BF11+BG11</f>
        <v>0</v>
      </c>
      <c r="BL11" s="5">
        <f>BJ11+BK11</f>
        <v>0</v>
      </c>
      <c r="BN11" s="5">
        <f>C11*BO7</f>
        <v>7480.0117125212973</v>
      </c>
      <c r="BO11" s="5">
        <f>D11*BO7</f>
        <v>8755.1368975724818</v>
      </c>
      <c r="BP11" s="5">
        <f>BN11+BO11</f>
        <v>16235.14861009378</v>
      </c>
      <c r="BQ11" s="5"/>
      <c r="BR11" s="5">
        <f>E11*BS7</f>
        <v>952974.46474125003</v>
      </c>
      <c r="BS11" s="5">
        <f>F11*BS7</f>
        <v>650085.04344774375</v>
      </c>
      <c r="BT11" s="5">
        <f>BR11+BS11</f>
        <v>1603059.5081889937</v>
      </c>
      <c r="BV11" s="5">
        <v>210836.81565</v>
      </c>
      <c r="BW11" s="5">
        <v>70323.845220000003</v>
      </c>
      <c r="BX11" s="5">
        <f>BV11+BW11</f>
        <v>281160.66087000002</v>
      </c>
    </row>
    <row r="12" spans="1:76" s="31" customFormat="1" ht="12" customHeight="1" x14ac:dyDescent="0.2">
      <c r="A12" s="25">
        <v>45200</v>
      </c>
      <c r="C12" s="32"/>
      <c r="D12" s="3">
        <v>790375</v>
      </c>
      <c r="E12" s="32"/>
      <c r="F12" s="3">
        <v>660450</v>
      </c>
      <c r="G12" s="32"/>
      <c r="H12" s="3">
        <v>482875</v>
      </c>
      <c r="I12" s="32"/>
      <c r="J12" s="3">
        <f t="shared" si="0"/>
        <v>1933700</v>
      </c>
      <c r="K12" s="3">
        <f t="shared" si="2"/>
        <v>1933700</v>
      </c>
      <c r="M12" s="32"/>
      <c r="N12" s="3">
        <v>482874.99999999994</v>
      </c>
      <c r="O12" s="5">
        <f>M12+N12</f>
        <v>482874.99999999994</v>
      </c>
      <c r="Q12" s="32"/>
      <c r="R12" s="3">
        <f t="shared" si="1"/>
        <v>790375</v>
      </c>
      <c r="S12" s="3">
        <f>Q12+R12</f>
        <v>790375</v>
      </c>
      <c r="T12" s="3"/>
      <c r="U12" s="3"/>
      <c r="V12" s="3">
        <f>D12*W7</f>
        <v>395928.41502073739</v>
      </c>
      <c r="W12" s="3">
        <f>U12+V12</f>
        <v>395928.41502073739</v>
      </c>
      <c r="X12" s="3"/>
      <c r="Y12" s="3"/>
      <c r="Z12" s="3">
        <f>D12*AA7</f>
        <v>388910.06341080507</v>
      </c>
      <c r="AA12" s="3">
        <f>Y12+Z12</f>
        <v>388910.06341080507</v>
      </c>
      <c r="AB12" s="3"/>
      <c r="AC12" s="3">
        <v>0</v>
      </c>
      <c r="AD12" s="3">
        <v>174278.35768533754</v>
      </c>
      <c r="AE12" s="3">
        <f>AC12+AD12</f>
        <v>174278.35768533754</v>
      </c>
      <c r="AF12" s="3"/>
      <c r="AG12" s="3"/>
      <c r="AH12" s="3">
        <f t="shared" si="3"/>
        <v>486171.64231466252</v>
      </c>
      <c r="AI12" s="3">
        <f>AG12+AH12</f>
        <v>486171.64231466252</v>
      </c>
      <c r="AJ12" s="3"/>
      <c r="AK12" s="3"/>
      <c r="AL12" s="3"/>
      <c r="AM12" s="3">
        <f>AK12+AL12</f>
        <v>0</v>
      </c>
      <c r="AN12" s="3"/>
      <c r="AO12" s="3"/>
      <c r="AP12" s="3">
        <f>F12*AQ7</f>
        <v>4712.2070593500002</v>
      </c>
      <c r="AQ12" s="3">
        <f>AO12+AP12</f>
        <v>4712.2070593500002</v>
      </c>
      <c r="AR12" s="3"/>
      <c r="AS12" s="3"/>
      <c r="AT12" s="3">
        <f>F12*AU7</f>
        <v>37212.790574662511</v>
      </c>
      <c r="AU12" s="3">
        <f>AS12+AT12</f>
        <v>37212.790574662511</v>
      </c>
      <c r="AV12" s="3"/>
      <c r="AW12" s="3"/>
      <c r="AX12" s="3"/>
      <c r="AY12" s="3">
        <f>F12*AZ7</f>
        <v>1486.4848868625002</v>
      </c>
      <c r="AZ12" s="3">
        <f>AX12+AY12</f>
        <v>1486.4848868625002</v>
      </c>
      <c r="BA12" s="3"/>
      <c r="BB12" s="3"/>
      <c r="BC12" s="3">
        <f>F12*BD7</f>
        <v>31131.398015812501</v>
      </c>
      <c r="BD12" s="3">
        <f>BB12+BC12</f>
        <v>31131.398015812501</v>
      </c>
      <c r="BE12" s="3"/>
      <c r="BF12" s="3"/>
      <c r="BG12" s="3">
        <f>F12*BH7</f>
        <v>4758.2960672625013</v>
      </c>
      <c r="BH12" s="3">
        <f>BF12+BG12</f>
        <v>4758.2960672625013</v>
      </c>
      <c r="BI12" s="3"/>
      <c r="BJ12" s="3"/>
      <c r="BK12" s="3"/>
      <c r="BL12" s="3">
        <f>BJ12+BK12</f>
        <v>0</v>
      </c>
      <c r="BM12" s="3"/>
      <c r="BN12" s="3"/>
      <c r="BO12" s="3">
        <f>D12*BP7</f>
        <v>5536.5215684576051</v>
      </c>
      <c r="BP12" s="3">
        <f>BN12+BO12</f>
        <v>5536.5215684576051</v>
      </c>
      <c r="BQ12" s="3"/>
      <c r="BR12" s="3"/>
      <c r="BS12" s="3">
        <f>F12*BT7</f>
        <v>406870.46571071254</v>
      </c>
      <c r="BT12" s="3">
        <f>BR12+BS12</f>
        <v>406870.46571071254</v>
      </c>
      <c r="BU12" s="3"/>
      <c r="BV12" s="3"/>
      <c r="BW12" s="3"/>
      <c r="BX12" s="3"/>
    </row>
    <row r="13" spans="1:76" ht="12" customHeight="1" x14ac:dyDescent="0.2">
      <c r="A13" s="25">
        <v>45383</v>
      </c>
      <c r="C13" s="3">
        <v>890000</v>
      </c>
      <c r="D13" s="3">
        <v>790375</v>
      </c>
      <c r="E13" s="3">
        <v>1195000</v>
      </c>
      <c r="F13" s="3">
        <v>660450</v>
      </c>
      <c r="G13" s="3">
        <v>1750000</v>
      </c>
      <c r="H13" s="3">
        <v>482875</v>
      </c>
      <c r="I13" s="3">
        <f>C13+E13+G13</f>
        <v>3835000</v>
      </c>
      <c r="J13" s="3">
        <f t="shared" si="0"/>
        <v>1933700</v>
      </c>
      <c r="K13" s="3">
        <f t="shared" si="2"/>
        <v>5768700</v>
      </c>
      <c r="M13" s="3">
        <v>1749999.9999999995</v>
      </c>
      <c r="N13" s="3">
        <v>482874.99999999994</v>
      </c>
      <c r="O13" s="5">
        <f>M13+N13</f>
        <v>2232874.9999999995</v>
      </c>
      <c r="Q13" s="3">
        <f>U13+Y13+BN13</f>
        <v>890000.00000000023</v>
      </c>
      <c r="R13" s="3">
        <f t="shared" si="1"/>
        <v>790375.00000000023</v>
      </c>
      <c r="S13" s="5">
        <f>Q13+R13</f>
        <v>1680375.0000000005</v>
      </c>
      <c r="U13" s="5">
        <f t="shared" ref="U13:U43" si="4">C13*$U$8</f>
        <v>452068.69193840417</v>
      </c>
      <c r="V13" s="5">
        <f t="shared" ref="V13:V44" si="5">D13*$U$8</f>
        <v>401464.93527058</v>
      </c>
      <c r="W13" s="5">
        <f>U13+V13</f>
        <v>853533.62720898422</v>
      </c>
      <c r="Y13" s="5">
        <f t="shared" ref="Y13:Y43" si="6">C13*$Y$8</f>
        <v>437931.30806159612</v>
      </c>
      <c r="Z13" s="5">
        <f t="shared" ref="Z13:Z44" si="7">D13*$Y$8</f>
        <v>388910.06472942029</v>
      </c>
      <c r="AA13" s="5">
        <f>Y13+Z13</f>
        <v>826841.37279101647</v>
      </c>
      <c r="AC13" s="5">
        <v>783120.0183037502</v>
      </c>
      <c r="AD13" s="5">
        <v>432813.06785666256</v>
      </c>
      <c r="AE13" s="5">
        <f>AC13+AD13</f>
        <v>1215933.0861604128</v>
      </c>
      <c r="AG13" s="3">
        <f t="shared" si="3"/>
        <v>411879.84875249997</v>
      </c>
      <c r="AH13" s="3">
        <f t="shared" si="3"/>
        <v>227636.858668275</v>
      </c>
      <c r="AI13" s="5">
        <f>AG13+AH13</f>
        <v>639516.70742077497</v>
      </c>
      <c r="AJ13" s="5"/>
      <c r="AK13" s="5">
        <f>E13*$AK$8</f>
        <v>235.21394125</v>
      </c>
      <c r="AL13" s="5">
        <f>F13*$AK$8</f>
        <v>129.99752928749999</v>
      </c>
      <c r="AM13" s="5">
        <f>AK13+AL13</f>
        <v>365.21147053749996</v>
      </c>
      <c r="AO13" s="5">
        <f>E13*$AO$8</f>
        <v>10988.351235</v>
      </c>
      <c r="AP13" s="5">
        <f>F13*$AO$8</f>
        <v>6073.0180528500005</v>
      </c>
      <c r="AQ13" s="5">
        <f>AO13+AP13</f>
        <v>17061.369287850001</v>
      </c>
      <c r="AS13" s="5"/>
      <c r="AT13" s="5"/>
      <c r="AU13" s="5"/>
      <c r="AV13" s="5"/>
      <c r="AX13" s="5">
        <f>E13*$AX$8</f>
        <v>3610.8391862499998</v>
      </c>
      <c r="AY13" s="5">
        <f>F13*$AX$8</f>
        <v>1995.6307452374999</v>
      </c>
      <c r="AZ13" s="5">
        <f>AX13+AY13</f>
        <v>5606.4699314874997</v>
      </c>
      <c r="BB13" s="5">
        <f>E13*$BB$8</f>
        <v>239071.22737749998</v>
      </c>
      <c r="BC13" s="5">
        <f>F13*$BB$8</f>
        <v>132129.365792025</v>
      </c>
      <c r="BD13" s="5">
        <f>BB13+BC13</f>
        <v>371200.59316952497</v>
      </c>
      <c r="BF13" s="5">
        <f>E13*$BF$8</f>
        <v>67107.492512500001</v>
      </c>
      <c r="BG13" s="5">
        <f>F13*$BF$8</f>
        <v>37088.822953874995</v>
      </c>
      <c r="BH13" s="5">
        <f>BF13+BG13</f>
        <v>104196.315466375</v>
      </c>
      <c r="BL13" s="5">
        <f>BJ13+BK13</f>
        <v>0</v>
      </c>
      <c r="BN13"/>
      <c r="BO13"/>
      <c r="BP13"/>
      <c r="BQ13" s="5"/>
      <c r="BR13" s="5">
        <f>E13*BR8</f>
        <v>90866.724499999997</v>
      </c>
      <c r="BS13" s="5">
        <f>F13*BR8</f>
        <v>50220.023594999999</v>
      </c>
      <c r="BT13" s="5">
        <f>BR13+BS13</f>
        <v>141086.74809499999</v>
      </c>
    </row>
    <row r="14" spans="1:76" ht="12" customHeight="1" x14ac:dyDescent="0.2">
      <c r="A14" s="25">
        <v>45566</v>
      </c>
      <c r="D14" s="3">
        <v>768125</v>
      </c>
      <c r="F14" s="3">
        <v>630575</v>
      </c>
      <c r="H14" s="3">
        <v>439125</v>
      </c>
      <c r="J14" s="3">
        <f t="shared" si="0"/>
        <v>1837825</v>
      </c>
      <c r="K14" s="3">
        <f t="shared" si="2"/>
        <v>1837825</v>
      </c>
      <c r="M14" s="3"/>
      <c r="N14" s="3">
        <v>439124.99999999994</v>
      </c>
      <c r="O14" s="5">
        <f t="shared" ref="O14:O29" si="8">M14+N14</f>
        <v>439124.99999999994</v>
      </c>
      <c r="Q14" s="3"/>
      <c r="R14" s="3">
        <f t="shared" si="1"/>
        <v>768125.00000000023</v>
      </c>
      <c r="S14" s="5">
        <f t="shared" ref="S14:S69" si="9">Q14+R14</f>
        <v>768125.00000000023</v>
      </c>
      <c r="U14" s="5"/>
      <c r="V14" s="5">
        <f t="shared" si="5"/>
        <v>390163.21797211992</v>
      </c>
      <c r="W14" s="5">
        <f t="shared" ref="W14:W69" si="10">U14+V14</f>
        <v>390163.21797211992</v>
      </c>
      <c r="Z14" s="5">
        <f t="shared" si="7"/>
        <v>377961.78202788037</v>
      </c>
      <c r="AA14" s="5">
        <f t="shared" ref="AA14:AA69" si="11">Y14+Z14</f>
        <v>377961.78202788037</v>
      </c>
      <c r="AD14" s="5">
        <v>449281.33077679673</v>
      </c>
      <c r="AE14" s="5">
        <f>AC14+AD14</f>
        <v>449281.33077679673</v>
      </c>
      <c r="AG14" s="3"/>
      <c r="AH14" s="3">
        <f t="shared" ref="AH14:AH49" si="12">+AT14+BS14+AY14+BC14+BG14+BK14+AL14+AP14</f>
        <v>181293.66922320332</v>
      </c>
      <c r="AI14" s="5">
        <f t="shared" ref="AI14:AI49" si="13">AG14+AH14</f>
        <v>181293.66922320332</v>
      </c>
      <c r="AJ14" s="5"/>
      <c r="AK14" s="5"/>
      <c r="AL14" s="5">
        <f t="shared" ref="AL14:AL49" si="14">F14*$AL$8</f>
        <v>123.95225973365307</v>
      </c>
      <c r="AM14" s="5">
        <f>AK14+AL14</f>
        <v>123.95225973365307</v>
      </c>
      <c r="AP14" s="5">
        <f t="shared" ref="AP14:AP49" si="15">F14*$AP$8</f>
        <v>5790.6047536428796</v>
      </c>
      <c r="AQ14" s="5">
        <f>AO14+AP14</f>
        <v>5790.6047536428796</v>
      </c>
      <c r="AS14" s="5"/>
      <c r="AT14" s="5"/>
      <c r="AU14" s="5"/>
      <c r="AV14" s="5"/>
      <c r="AY14" s="5">
        <f t="shared" ref="AY14:AY49" si="16">F14*$AY$8</f>
        <v>1926.4431559701468</v>
      </c>
      <c r="AZ14" s="5">
        <f>AX14+AY14</f>
        <v>1926.4431559701468</v>
      </c>
      <c r="BC14" s="5">
        <f t="shared" ref="BC14:BC49" si="17">F14*$BC$8</f>
        <v>134114.01012399906</v>
      </c>
      <c r="BD14" s="5">
        <f>BB14+BC14</f>
        <v>134114.01012399906</v>
      </c>
      <c r="BG14" s="5">
        <f t="shared" ref="BG14:BG49" si="18">F14*$BG$8</f>
        <v>35522.456064739272</v>
      </c>
      <c r="BH14" s="5">
        <f>BF14+BG14</f>
        <v>35522.456064739272</v>
      </c>
      <c r="BK14" s="5">
        <f t="shared" ref="BK14:BK49" si="19">F14*$BK$8</f>
        <v>860.12802222131006</v>
      </c>
      <c r="BL14" s="5">
        <f>BJ14+BK14</f>
        <v>860.12802222131006</v>
      </c>
      <c r="BQ14" s="5"/>
      <c r="BS14" s="5">
        <f t="shared" ref="BS14:BS49" si="20">F14*$BS$8</f>
        <v>2956.074842896986</v>
      </c>
      <c r="BT14" s="5">
        <f t="shared" ref="BT14:BT49" si="21">BR14+BS14</f>
        <v>2956.074842896986</v>
      </c>
    </row>
    <row r="15" spans="1:76" ht="12" customHeight="1" x14ac:dyDescent="0.2">
      <c r="A15" s="25">
        <v>45748</v>
      </c>
      <c r="C15" s="3">
        <v>935000</v>
      </c>
      <c r="D15" s="3">
        <v>768125</v>
      </c>
      <c r="E15" s="3">
        <v>1255000</v>
      </c>
      <c r="F15" s="3">
        <v>630575</v>
      </c>
      <c r="G15" s="3">
        <v>1840000</v>
      </c>
      <c r="H15" s="3">
        <v>439125</v>
      </c>
      <c r="I15" s="3">
        <f>C15+E15+G15</f>
        <v>4030000</v>
      </c>
      <c r="J15" s="3">
        <f t="shared" si="0"/>
        <v>1837825</v>
      </c>
      <c r="K15" s="3">
        <f t="shared" si="2"/>
        <v>5867825</v>
      </c>
      <c r="M15" s="3">
        <v>1839999.9999999998</v>
      </c>
      <c r="N15" s="3">
        <v>439124.99999999994</v>
      </c>
      <c r="O15" s="5">
        <f t="shared" si="8"/>
        <v>2279124.9999999995</v>
      </c>
      <c r="Q15" s="3">
        <f>U15+Y15+BN15</f>
        <v>935000.00000000023</v>
      </c>
      <c r="R15" s="3">
        <f t="shared" si="1"/>
        <v>768125.00000000023</v>
      </c>
      <c r="S15" s="5">
        <f t="shared" si="9"/>
        <v>1703125.0000000005</v>
      </c>
      <c r="U15" s="5">
        <f t="shared" si="4"/>
        <v>474926.09771057067</v>
      </c>
      <c r="V15" s="5">
        <f t="shared" si="5"/>
        <v>390163.21797211992</v>
      </c>
      <c r="W15" s="5">
        <f t="shared" si="10"/>
        <v>865089.31568269059</v>
      </c>
      <c r="Y15" s="5">
        <f t="shared" si="6"/>
        <v>460073.90228942962</v>
      </c>
      <c r="Z15" s="5">
        <f t="shared" si="7"/>
        <v>377961.78202788037</v>
      </c>
      <c r="AA15" s="5">
        <f t="shared" si="11"/>
        <v>838035.68431730999</v>
      </c>
      <c r="AC15" s="5">
        <v>894180.81929172564</v>
      </c>
      <c r="AD15" s="5">
        <v>449281.33077679673</v>
      </c>
      <c r="AE15" s="5">
        <f t="shared" ref="AE15:AE49" si="22">AC15+AD15</f>
        <v>1343462.1500685224</v>
      </c>
      <c r="AG15" s="3">
        <f>+AS15+BR15+AX15+BB15+BF15+BJ15+AK15+AO15</f>
        <v>360819.18070827442</v>
      </c>
      <c r="AH15" s="3">
        <f t="shared" si="12"/>
        <v>181293.66922320332</v>
      </c>
      <c r="AI15" s="5">
        <f>AG15+AH15</f>
        <v>542112.8499314778</v>
      </c>
      <c r="AJ15" s="5"/>
      <c r="AK15" s="5">
        <f t="shared" ref="AK15:AK49" si="23">E15*$AL$8</f>
        <v>246.69561268006913</v>
      </c>
      <c r="AL15" s="5">
        <f t="shared" si="14"/>
        <v>123.95225973365307</v>
      </c>
      <c r="AM15" s="5">
        <f t="shared" ref="AM15:AM49" si="24">AK15+AL15</f>
        <v>370.64787241372221</v>
      </c>
      <c r="AO15" s="5">
        <f t="shared" ref="AO15:AO49" si="25">E15*$AP$8</f>
        <v>11524.733720527795</v>
      </c>
      <c r="AP15" s="5">
        <f t="shared" si="15"/>
        <v>5790.6047536428796</v>
      </c>
      <c r="AQ15" s="5">
        <f t="shared" ref="AQ15:AQ49" si="26">AO15+AP15</f>
        <v>17315.338474170676</v>
      </c>
      <c r="AS15" s="5"/>
      <c r="AT15" s="5"/>
      <c r="AU15" s="5"/>
      <c r="AV15" s="5"/>
      <c r="AX15" s="5">
        <f>E15*$AY$8</f>
        <v>3834.0977056536244</v>
      </c>
      <c r="AY15" s="5">
        <f t="shared" si="16"/>
        <v>1926.4431559701468</v>
      </c>
      <c r="AZ15" s="5">
        <f t="shared" ref="AZ15:AZ49" si="27">AX15+AY15</f>
        <v>5760.540861623771</v>
      </c>
      <c r="BB15" s="5">
        <f>E15*$BC$8</f>
        <v>266920.00587657111</v>
      </c>
      <c r="BC15" s="5">
        <f t="shared" si="17"/>
        <v>134114.01012399906</v>
      </c>
      <c r="BD15" s="5">
        <f t="shared" ref="BD15:BD49" si="28">BB15+BC15</f>
        <v>401034.01600057015</v>
      </c>
      <c r="BF15" s="5">
        <f>E15*$BG$8</f>
        <v>70698.46150140393</v>
      </c>
      <c r="BG15" s="5">
        <f t="shared" si="18"/>
        <v>35522.456064739272</v>
      </c>
      <c r="BH15" s="5">
        <f t="shared" ref="BH15:BH49" si="29">BF15+BG15</f>
        <v>106220.91756614321</v>
      </c>
      <c r="BJ15" s="5">
        <f>E15*$BK$8</f>
        <v>1711.8672130797197</v>
      </c>
      <c r="BK15" s="5">
        <f t="shared" si="19"/>
        <v>860.12802222131006</v>
      </c>
      <c r="BL15" s="5">
        <f t="shared" ref="BL15:BL49" si="30">BJ15+BK15</f>
        <v>2571.9952353010299</v>
      </c>
      <c r="BQ15" s="5"/>
      <c r="BR15" s="5">
        <f>E15*$BS$8</f>
        <v>5883.3190783581931</v>
      </c>
      <c r="BS15" s="5">
        <f t="shared" si="20"/>
        <v>2956.074842896986</v>
      </c>
      <c r="BT15" s="5">
        <f t="shared" si="21"/>
        <v>8839.3939212551795</v>
      </c>
    </row>
    <row r="16" spans="1:76" ht="12" customHeight="1" x14ac:dyDescent="0.2">
      <c r="A16" s="25">
        <v>45931</v>
      </c>
      <c r="D16" s="3">
        <v>744750</v>
      </c>
      <c r="F16" s="3">
        <v>599200</v>
      </c>
      <c r="H16" s="3">
        <v>393125</v>
      </c>
      <c r="J16" s="3">
        <f t="shared" si="0"/>
        <v>1737075</v>
      </c>
      <c r="K16" s="3">
        <f t="shared" si="2"/>
        <v>1737075</v>
      </c>
      <c r="M16" s="3"/>
      <c r="N16" s="3">
        <v>393125.00000000006</v>
      </c>
      <c r="O16" s="5">
        <f t="shared" si="8"/>
        <v>393125.00000000006</v>
      </c>
      <c r="Q16" s="3"/>
      <c r="R16" s="3">
        <f t="shared" si="1"/>
        <v>744750.00000000023</v>
      </c>
      <c r="S16" s="5">
        <f t="shared" si="9"/>
        <v>744750.00000000023</v>
      </c>
      <c r="U16" s="5"/>
      <c r="V16" s="5">
        <f t="shared" si="5"/>
        <v>378290.0655293556</v>
      </c>
      <c r="W16" s="5">
        <f t="shared" si="10"/>
        <v>378290.0655293556</v>
      </c>
      <c r="Z16" s="5">
        <f t="shared" si="7"/>
        <v>366459.93447064463</v>
      </c>
      <c r="AA16" s="5">
        <f t="shared" si="11"/>
        <v>366459.93447064463</v>
      </c>
      <c r="AD16" s="5">
        <v>426926.81029450358</v>
      </c>
      <c r="AE16" s="5">
        <f t="shared" si="22"/>
        <v>426926.81029450358</v>
      </c>
      <c r="AG16" s="3"/>
      <c r="AH16" s="3">
        <f t="shared" si="12"/>
        <v>172273.18970549642</v>
      </c>
      <c r="AI16" s="5">
        <f>AG16+AH16</f>
        <v>172273.18970549642</v>
      </c>
      <c r="AJ16" s="5"/>
      <c r="AK16" s="5"/>
      <c r="AL16" s="5">
        <f t="shared" si="14"/>
        <v>117.78486941665133</v>
      </c>
      <c r="AM16" s="5">
        <f t="shared" si="24"/>
        <v>117.78486941665133</v>
      </c>
      <c r="AP16" s="5">
        <f t="shared" si="15"/>
        <v>5502.4864106296855</v>
      </c>
      <c r="AQ16" s="5">
        <f t="shared" si="26"/>
        <v>5502.4864106296855</v>
      </c>
      <c r="AS16" s="5"/>
      <c r="AT16" s="5"/>
      <c r="AU16" s="5"/>
      <c r="AV16" s="5"/>
      <c r="AY16" s="5">
        <f t="shared" si="16"/>
        <v>1830.5907133288063</v>
      </c>
      <c r="AZ16" s="5">
        <f t="shared" si="27"/>
        <v>1830.5907133288063</v>
      </c>
      <c r="BC16" s="5">
        <f t="shared" si="17"/>
        <v>127441.00997708479</v>
      </c>
      <c r="BD16" s="5">
        <f t="shared" si="28"/>
        <v>127441.00997708479</v>
      </c>
      <c r="BG16" s="5">
        <f t="shared" si="18"/>
        <v>33754.994527204173</v>
      </c>
      <c r="BH16" s="5">
        <f t="shared" si="29"/>
        <v>33754.994527204173</v>
      </c>
      <c r="BK16" s="5">
        <f t="shared" si="19"/>
        <v>817.33134189431712</v>
      </c>
      <c r="BL16" s="5">
        <f t="shared" si="30"/>
        <v>817.33134189431712</v>
      </c>
      <c r="BQ16" s="5"/>
      <c r="BS16" s="5">
        <f t="shared" si="20"/>
        <v>2808.991865938031</v>
      </c>
      <c r="BT16" s="5">
        <f t="shared" si="21"/>
        <v>2808.991865938031</v>
      </c>
    </row>
    <row r="17" spans="1:72" ht="12" customHeight="1" x14ac:dyDescent="0.2">
      <c r="A17" s="25">
        <v>46113</v>
      </c>
      <c r="C17" s="3">
        <v>980000</v>
      </c>
      <c r="D17" s="3">
        <v>744750</v>
      </c>
      <c r="E17" s="3">
        <v>1320000</v>
      </c>
      <c r="F17" s="3">
        <v>599200</v>
      </c>
      <c r="G17" s="3">
        <v>1930000</v>
      </c>
      <c r="H17" s="3">
        <v>393125</v>
      </c>
      <c r="I17" s="3">
        <f>C17+E17+G17</f>
        <v>4230000</v>
      </c>
      <c r="J17" s="3">
        <f t="shared" si="0"/>
        <v>1737075</v>
      </c>
      <c r="K17" s="3">
        <f t="shared" si="2"/>
        <v>5967075</v>
      </c>
      <c r="M17" s="3">
        <v>1929999.9999999995</v>
      </c>
      <c r="N17" s="3">
        <v>393125.00000000006</v>
      </c>
      <c r="O17" s="5">
        <f t="shared" si="8"/>
        <v>2323124.9999999995</v>
      </c>
      <c r="Q17" s="3">
        <f>U17+Y17+BN17</f>
        <v>980000.00000000023</v>
      </c>
      <c r="R17" s="3">
        <f t="shared" si="1"/>
        <v>744750.00000000023</v>
      </c>
      <c r="S17" s="5">
        <f t="shared" si="9"/>
        <v>1724750.0000000005</v>
      </c>
      <c r="U17" s="5">
        <f t="shared" si="4"/>
        <v>497783.50348273717</v>
      </c>
      <c r="V17" s="5">
        <f t="shared" si="5"/>
        <v>378290.0655293556</v>
      </c>
      <c r="W17" s="5">
        <f t="shared" si="10"/>
        <v>876073.56901209278</v>
      </c>
      <c r="Y17" s="5">
        <f t="shared" si="6"/>
        <v>482216.49651726312</v>
      </c>
      <c r="Z17" s="5">
        <f t="shared" si="7"/>
        <v>366459.93447064463</v>
      </c>
      <c r="AA17" s="5">
        <f t="shared" si="11"/>
        <v>848676.43098790781</v>
      </c>
      <c r="AC17" s="5">
        <v>940492.97327894648</v>
      </c>
      <c r="AD17" s="5">
        <v>426926.81029450358</v>
      </c>
      <c r="AE17" s="5">
        <f t="shared" si="22"/>
        <v>1367419.7835734501</v>
      </c>
      <c r="AG17" s="3">
        <f>+AS17+BR17+AX17+BB17+BF17+BJ17+AK17+AO17</f>
        <v>379507.02672105358</v>
      </c>
      <c r="AH17" s="3">
        <f t="shared" si="12"/>
        <v>172273.18970549642</v>
      </c>
      <c r="AI17" s="5">
        <f t="shared" si="13"/>
        <v>551780.21642654995</v>
      </c>
      <c r="AJ17" s="5"/>
      <c r="AK17" s="5">
        <f t="shared" si="23"/>
        <v>259.47267628501294</v>
      </c>
      <c r="AL17" s="5">
        <f t="shared" si="14"/>
        <v>117.78486941665133</v>
      </c>
      <c r="AM17" s="5">
        <f t="shared" si="24"/>
        <v>377.2575457016643</v>
      </c>
      <c r="AO17" s="5">
        <f t="shared" si="25"/>
        <v>12121.632279758318</v>
      </c>
      <c r="AP17" s="5">
        <f t="shared" si="15"/>
        <v>5502.4864106296855</v>
      </c>
      <c r="AQ17" s="5">
        <f t="shared" si="26"/>
        <v>17624.118690388004</v>
      </c>
      <c r="AS17" s="5"/>
      <c r="AT17" s="5"/>
      <c r="AU17" s="5"/>
      <c r="AV17" s="5"/>
      <c r="AX17" s="5">
        <f>E17*$AY$8</f>
        <v>4032.6764712850872</v>
      </c>
      <c r="AY17" s="5">
        <f t="shared" si="16"/>
        <v>1830.5907133288063</v>
      </c>
      <c r="AZ17" s="5">
        <f t="shared" si="27"/>
        <v>5863.2671846138937</v>
      </c>
      <c r="BB17" s="5">
        <f>E17*$BC$8</f>
        <v>280744.54801360465</v>
      </c>
      <c r="BC17" s="5">
        <f t="shared" si="17"/>
        <v>127441.00997708479</v>
      </c>
      <c r="BD17" s="5">
        <f t="shared" si="28"/>
        <v>408185.55799068941</v>
      </c>
      <c r="BF17" s="5">
        <f>E17*$BG$8</f>
        <v>74360.134806257513</v>
      </c>
      <c r="BG17" s="5">
        <f t="shared" si="18"/>
        <v>33754.994527204173</v>
      </c>
      <c r="BH17" s="5">
        <f t="shared" si="29"/>
        <v>108115.12933346169</v>
      </c>
      <c r="BJ17" s="5">
        <f>E17*$BK$8</f>
        <v>1800.5296583786692</v>
      </c>
      <c r="BK17" s="5">
        <f t="shared" si="19"/>
        <v>817.33134189431712</v>
      </c>
      <c r="BL17" s="5">
        <f t="shared" si="30"/>
        <v>2617.8610002729865</v>
      </c>
      <c r="BQ17" s="5"/>
      <c r="BR17" s="5">
        <f>E17*$BS$8</f>
        <v>6188.0328154843146</v>
      </c>
      <c r="BS17" s="5">
        <f t="shared" si="20"/>
        <v>2808.991865938031</v>
      </c>
      <c r="BT17" s="5">
        <f t="shared" si="21"/>
        <v>8997.0246814223465</v>
      </c>
    </row>
    <row r="18" spans="1:72" ht="12" customHeight="1" x14ac:dyDescent="0.2">
      <c r="A18" s="25">
        <v>46296</v>
      </c>
      <c r="D18" s="3">
        <v>720250</v>
      </c>
      <c r="F18" s="3">
        <v>566200</v>
      </c>
      <c r="H18" s="3">
        <v>344875</v>
      </c>
      <c r="J18" s="3">
        <f t="shared" si="0"/>
        <v>1631325</v>
      </c>
      <c r="K18" s="3">
        <f t="shared" si="2"/>
        <v>1631325</v>
      </c>
      <c r="M18" s="3"/>
      <c r="N18" s="3">
        <v>344874.99999999994</v>
      </c>
      <c r="O18" s="5">
        <f t="shared" si="8"/>
        <v>344874.99999999994</v>
      </c>
      <c r="Q18" s="3"/>
      <c r="R18" s="3">
        <f t="shared" si="1"/>
        <v>720250.00000000023</v>
      </c>
      <c r="S18" s="5">
        <f t="shared" si="9"/>
        <v>720250.00000000023</v>
      </c>
      <c r="U18" s="5"/>
      <c r="V18" s="5">
        <f t="shared" si="5"/>
        <v>365845.47794228722</v>
      </c>
      <c r="W18" s="5">
        <f t="shared" si="10"/>
        <v>365845.47794228722</v>
      </c>
      <c r="Z18" s="5">
        <f t="shared" si="7"/>
        <v>354404.52205771307</v>
      </c>
      <c r="AA18" s="5">
        <f t="shared" si="11"/>
        <v>354404.52205771307</v>
      </c>
      <c r="AD18" s="5">
        <v>403414.48596253007</v>
      </c>
      <c r="AE18" s="5">
        <f t="shared" si="22"/>
        <v>403414.48596253007</v>
      </c>
      <c r="AG18" s="3"/>
      <c r="AH18" s="3">
        <f t="shared" si="12"/>
        <v>162785.51403747007</v>
      </c>
      <c r="AI18" s="5">
        <f t="shared" si="13"/>
        <v>162785.51403747007</v>
      </c>
      <c r="AJ18" s="5"/>
      <c r="AK18" s="5"/>
      <c r="AL18" s="5">
        <f t="shared" si="14"/>
        <v>111.29805250952602</v>
      </c>
      <c r="AM18" s="5">
        <f t="shared" si="24"/>
        <v>111.29805250952602</v>
      </c>
      <c r="AP18" s="5">
        <f t="shared" si="15"/>
        <v>5199.4456036357269</v>
      </c>
      <c r="AQ18" s="5">
        <f t="shared" si="26"/>
        <v>5199.4456036357269</v>
      </c>
      <c r="AS18" s="5"/>
      <c r="AT18" s="5"/>
      <c r="AU18" s="5"/>
      <c r="AV18" s="5"/>
      <c r="AY18" s="5">
        <f t="shared" si="16"/>
        <v>1729.7738015466791</v>
      </c>
      <c r="AZ18" s="5">
        <f t="shared" si="27"/>
        <v>1729.7738015466791</v>
      </c>
      <c r="BC18" s="5">
        <f t="shared" si="17"/>
        <v>120422.39627674466</v>
      </c>
      <c r="BD18" s="5">
        <f t="shared" si="28"/>
        <v>120422.39627674466</v>
      </c>
      <c r="BG18" s="5">
        <f t="shared" si="18"/>
        <v>31895.991157047734</v>
      </c>
      <c r="BH18" s="5">
        <f t="shared" si="29"/>
        <v>31895.991157047734</v>
      </c>
      <c r="BK18" s="5">
        <f t="shared" si="19"/>
        <v>772.31810043485041</v>
      </c>
      <c r="BL18" s="5">
        <f t="shared" si="30"/>
        <v>772.31810043485041</v>
      </c>
      <c r="BQ18" s="5"/>
      <c r="BS18" s="5">
        <f t="shared" si="20"/>
        <v>2654.2910455509232</v>
      </c>
      <c r="BT18" s="5">
        <f t="shared" si="21"/>
        <v>2654.2910455509232</v>
      </c>
    </row>
    <row r="19" spans="1:72" ht="12" customHeight="1" x14ac:dyDescent="0.2">
      <c r="A19" s="25">
        <v>46478</v>
      </c>
      <c r="B19" s="26"/>
      <c r="C19" s="3">
        <v>1030000</v>
      </c>
      <c r="D19" s="3">
        <v>720250</v>
      </c>
      <c r="E19" s="3">
        <v>1385000</v>
      </c>
      <c r="F19" s="3">
        <v>566200</v>
      </c>
      <c r="G19" s="3">
        <v>2030000</v>
      </c>
      <c r="H19" s="3">
        <v>344875</v>
      </c>
      <c r="I19" s="3">
        <f>C19+E19+G19</f>
        <v>4445000</v>
      </c>
      <c r="J19" s="3">
        <f t="shared" si="0"/>
        <v>1631325</v>
      </c>
      <c r="K19" s="3">
        <f t="shared" si="2"/>
        <v>6076325</v>
      </c>
      <c r="M19" s="3">
        <v>2029999.9999999995</v>
      </c>
      <c r="N19" s="3">
        <v>344874.99999999994</v>
      </c>
      <c r="O19" s="5">
        <f t="shared" si="8"/>
        <v>2374874.9999999995</v>
      </c>
      <c r="Q19" s="3">
        <f>U19+Y19+BN19</f>
        <v>1030000.0000000003</v>
      </c>
      <c r="R19" s="3">
        <f t="shared" si="1"/>
        <v>720250.00000000023</v>
      </c>
      <c r="S19" s="5">
        <f t="shared" si="9"/>
        <v>1750250.0000000005</v>
      </c>
      <c r="U19" s="5">
        <f t="shared" si="4"/>
        <v>523180.62100736663</v>
      </c>
      <c r="V19" s="5">
        <f t="shared" si="5"/>
        <v>365845.47794228722</v>
      </c>
      <c r="W19" s="5">
        <f t="shared" si="10"/>
        <v>889026.09894965379</v>
      </c>
      <c r="Y19" s="5">
        <f t="shared" si="6"/>
        <v>506819.37899263372</v>
      </c>
      <c r="Z19" s="5">
        <f t="shared" si="7"/>
        <v>354404.52205771307</v>
      </c>
      <c r="AA19" s="5">
        <f t="shared" si="11"/>
        <v>861223.90105034679</v>
      </c>
      <c r="AC19" s="5">
        <v>986805.12726616743</v>
      </c>
      <c r="AD19" s="5">
        <v>403414.48596253007</v>
      </c>
      <c r="AE19" s="5">
        <f t="shared" si="22"/>
        <v>1390219.6132286976</v>
      </c>
      <c r="AG19" s="3">
        <f>+AS19+BR19+AX19+BB19+BF19+BJ19+AK19+AO19</f>
        <v>398194.87273383274</v>
      </c>
      <c r="AH19" s="3">
        <f t="shared" si="12"/>
        <v>162785.51403747007</v>
      </c>
      <c r="AI19" s="5">
        <f t="shared" si="13"/>
        <v>560980.38677130279</v>
      </c>
      <c r="AJ19" s="5"/>
      <c r="AK19" s="5">
        <f t="shared" si="23"/>
        <v>272.2497398899568</v>
      </c>
      <c r="AL19" s="5">
        <f t="shared" si="14"/>
        <v>111.29805250952602</v>
      </c>
      <c r="AM19" s="5">
        <f t="shared" si="24"/>
        <v>383.54779239948283</v>
      </c>
      <c r="AO19" s="5">
        <f t="shared" si="25"/>
        <v>12718.530838988841</v>
      </c>
      <c r="AP19" s="5">
        <f t="shared" si="15"/>
        <v>5199.4456036357269</v>
      </c>
      <c r="AQ19" s="5">
        <f t="shared" si="26"/>
        <v>17917.976442624567</v>
      </c>
      <c r="AS19" s="5"/>
      <c r="AT19" s="5"/>
      <c r="AU19" s="5"/>
      <c r="AV19" s="5"/>
      <c r="AX19" s="5">
        <f>E19*$AY$8</f>
        <v>4231.2552369165496</v>
      </c>
      <c r="AY19" s="5">
        <f t="shared" si="16"/>
        <v>1729.7738015466791</v>
      </c>
      <c r="AZ19" s="5">
        <f t="shared" si="27"/>
        <v>5961.029038463229</v>
      </c>
      <c r="BB19" s="5">
        <f>E19*$BC$8</f>
        <v>294569.09015063825</v>
      </c>
      <c r="BC19" s="5">
        <f t="shared" si="17"/>
        <v>120422.39627674466</v>
      </c>
      <c r="BD19" s="5">
        <f t="shared" si="28"/>
        <v>414991.48642738292</v>
      </c>
      <c r="BF19" s="5">
        <f>E19*$BG$8</f>
        <v>78021.80811111111</v>
      </c>
      <c r="BG19" s="5">
        <f t="shared" si="18"/>
        <v>31895.991157047734</v>
      </c>
      <c r="BH19" s="5">
        <f t="shared" si="29"/>
        <v>109917.79926815885</v>
      </c>
      <c r="BJ19" s="5">
        <f>E19*$BK$8</f>
        <v>1889.1921036776189</v>
      </c>
      <c r="BK19" s="5">
        <f t="shared" si="19"/>
        <v>772.31810043485041</v>
      </c>
      <c r="BL19" s="5">
        <f t="shared" si="30"/>
        <v>2661.5102041124692</v>
      </c>
      <c r="BQ19" s="5"/>
      <c r="BR19" s="5">
        <f>E19*$BS$8</f>
        <v>6492.7465526104361</v>
      </c>
      <c r="BS19" s="5">
        <f t="shared" si="20"/>
        <v>2654.2910455509232</v>
      </c>
      <c r="BT19" s="5">
        <f t="shared" si="21"/>
        <v>9147.0375981613597</v>
      </c>
    </row>
    <row r="20" spans="1:72" ht="12" customHeight="1" x14ac:dyDescent="0.2">
      <c r="A20" s="25">
        <v>46661</v>
      </c>
      <c r="D20" s="3">
        <v>694500</v>
      </c>
      <c r="F20" s="3">
        <v>531575</v>
      </c>
      <c r="H20" s="3">
        <v>294125</v>
      </c>
      <c r="J20" s="3">
        <f t="shared" si="0"/>
        <v>1520200</v>
      </c>
      <c r="K20" s="3">
        <f t="shared" si="2"/>
        <v>1520200</v>
      </c>
      <c r="M20" s="3"/>
      <c r="N20" s="3">
        <v>294125</v>
      </c>
      <c r="O20" s="5">
        <f t="shared" si="8"/>
        <v>294125</v>
      </c>
      <c r="Q20" s="3"/>
      <c r="R20" s="3">
        <f t="shared" si="1"/>
        <v>694500.00000000023</v>
      </c>
      <c r="S20" s="5">
        <f t="shared" si="9"/>
        <v>694500.00000000023</v>
      </c>
      <c r="U20" s="5"/>
      <c r="V20" s="5">
        <f t="shared" si="5"/>
        <v>352765.96241710306</v>
      </c>
      <c r="W20" s="5">
        <f t="shared" si="10"/>
        <v>352765.96241710306</v>
      </c>
      <c r="Z20" s="5">
        <f t="shared" si="7"/>
        <v>341734.03758289717</v>
      </c>
      <c r="AA20" s="5">
        <f t="shared" si="11"/>
        <v>341734.03758289717</v>
      </c>
      <c r="AD20" s="5">
        <v>378744.35778087575</v>
      </c>
      <c r="AE20" s="5">
        <f t="shared" si="22"/>
        <v>378744.35778087575</v>
      </c>
      <c r="AG20" s="3"/>
      <c r="AH20" s="3">
        <f t="shared" si="12"/>
        <v>152830.6422191243</v>
      </c>
      <c r="AI20" s="5">
        <f t="shared" si="13"/>
        <v>152830.6422191243</v>
      </c>
      <c r="AJ20" s="5"/>
      <c r="AK20" s="5"/>
      <c r="AL20" s="5">
        <f t="shared" si="14"/>
        <v>104.49180901227709</v>
      </c>
      <c r="AM20" s="5">
        <f t="shared" si="24"/>
        <v>104.49180901227709</v>
      </c>
      <c r="AP20" s="5">
        <f t="shared" si="15"/>
        <v>4881.4823326610058</v>
      </c>
      <c r="AQ20" s="5">
        <f t="shared" si="26"/>
        <v>4881.4823326610058</v>
      </c>
      <c r="AS20" s="5"/>
      <c r="AT20" s="5"/>
      <c r="AU20" s="5"/>
      <c r="AV20" s="5"/>
      <c r="AY20" s="5">
        <f t="shared" si="16"/>
        <v>1623.9924206237654</v>
      </c>
      <c r="AZ20" s="5">
        <f t="shared" si="27"/>
        <v>1623.9924206237654</v>
      </c>
      <c r="BC20" s="5">
        <f t="shared" si="17"/>
        <v>113058.16902297872</v>
      </c>
      <c r="BD20" s="5">
        <f t="shared" si="28"/>
        <v>113058.16902297872</v>
      </c>
      <c r="BG20" s="5">
        <f t="shared" si="18"/>
        <v>29945.445954269955</v>
      </c>
      <c r="BH20" s="5">
        <f t="shared" si="29"/>
        <v>29945.445954269955</v>
      </c>
      <c r="BK20" s="5">
        <f t="shared" si="19"/>
        <v>725.08829784290992</v>
      </c>
      <c r="BL20" s="5">
        <f t="shared" si="30"/>
        <v>725.08829784290992</v>
      </c>
      <c r="BQ20" s="5"/>
      <c r="BS20" s="5">
        <f t="shared" si="20"/>
        <v>2491.9723817356626</v>
      </c>
      <c r="BT20" s="5">
        <f t="shared" si="21"/>
        <v>2491.9723817356626</v>
      </c>
    </row>
    <row r="21" spans="1:72" ht="12" customHeight="1" x14ac:dyDescent="0.2">
      <c r="A21" s="25">
        <v>46844</v>
      </c>
      <c r="C21" s="3">
        <v>1080000</v>
      </c>
      <c r="D21" s="3">
        <v>694500</v>
      </c>
      <c r="E21" s="3">
        <v>1455000</v>
      </c>
      <c r="F21" s="3">
        <v>531575</v>
      </c>
      <c r="G21" s="3">
        <v>2130000</v>
      </c>
      <c r="H21" s="3">
        <v>294125</v>
      </c>
      <c r="I21" s="3">
        <f>C21+E21+G21</f>
        <v>4665000</v>
      </c>
      <c r="J21" s="3">
        <f t="shared" si="0"/>
        <v>1520200</v>
      </c>
      <c r="K21" s="3">
        <f t="shared" si="2"/>
        <v>6185200</v>
      </c>
      <c r="M21" s="3">
        <v>2129999.9999999995</v>
      </c>
      <c r="N21" s="3">
        <v>294125</v>
      </c>
      <c r="O21" s="5">
        <f t="shared" si="8"/>
        <v>2424124.9999999995</v>
      </c>
      <c r="Q21" s="3">
        <f>U21+Y21+BN21</f>
        <v>1080000.0000000005</v>
      </c>
      <c r="R21" s="3">
        <f t="shared" si="1"/>
        <v>694500.00000000023</v>
      </c>
      <c r="S21" s="5">
        <f t="shared" si="9"/>
        <v>1774500.0000000007</v>
      </c>
      <c r="U21" s="5">
        <f t="shared" si="4"/>
        <v>548577.73853199603</v>
      </c>
      <c r="V21" s="5">
        <f t="shared" si="5"/>
        <v>352765.96241710306</v>
      </c>
      <c r="W21" s="5">
        <f t="shared" si="10"/>
        <v>901343.70094909915</v>
      </c>
      <c r="Y21" s="5">
        <f t="shared" si="6"/>
        <v>531422.26146800432</v>
      </c>
      <c r="Z21" s="5">
        <f t="shared" si="7"/>
        <v>341734.03758289717</v>
      </c>
      <c r="AA21" s="5">
        <f t="shared" si="11"/>
        <v>873156.29905090155</v>
      </c>
      <c r="AC21" s="5">
        <v>1036679.7546370206</v>
      </c>
      <c r="AD21" s="5">
        <v>378744.35778087575</v>
      </c>
      <c r="AE21" s="5">
        <f t="shared" si="22"/>
        <v>1415424.1124178963</v>
      </c>
      <c r="AG21" s="3">
        <f>+AS21+BR21+AX21+BB21+BF21+BJ21+AK21+AO21</f>
        <v>418320.24536297959</v>
      </c>
      <c r="AH21" s="3">
        <f t="shared" si="12"/>
        <v>152830.6422191243</v>
      </c>
      <c r="AI21" s="5">
        <f t="shared" si="13"/>
        <v>571150.88758210395</v>
      </c>
      <c r="AJ21" s="5"/>
      <c r="AK21" s="5">
        <f t="shared" si="23"/>
        <v>286.00965454143471</v>
      </c>
      <c r="AL21" s="5">
        <f t="shared" si="14"/>
        <v>104.49180901227709</v>
      </c>
      <c r="AM21" s="5">
        <f t="shared" si="24"/>
        <v>390.5014635537118</v>
      </c>
      <c r="AO21" s="5">
        <f t="shared" si="25"/>
        <v>13361.344672006328</v>
      </c>
      <c r="AP21" s="5">
        <f t="shared" si="15"/>
        <v>4881.4823326610058</v>
      </c>
      <c r="AQ21" s="5">
        <f t="shared" si="26"/>
        <v>18242.827004667335</v>
      </c>
      <c r="AS21" s="5"/>
      <c r="AT21" s="5"/>
      <c r="AU21" s="5"/>
      <c r="AV21" s="5"/>
      <c r="AX21" s="5">
        <f>E21*$AY$8</f>
        <v>4445.1092922119706</v>
      </c>
      <c r="AY21" s="5">
        <f t="shared" si="16"/>
        <v>1623.9924206237654</v>
      </c>
      <c r="AZ21" s="5">
        <f t="shared" si="27"/>
        <v>6069.1017128357362</v>
      </c>
      <c r="BB21" s="5">
        <f>E21*$BC$8</f>
        <v>309457.05860590516</v>
      </c>
      <c r="BC21" s="5">
        <f t="shared" si="17"/>
        <v>113058.16902297872</v>
      </c>
      <c r="BD21" s="5">
        <f t="shared" si="28"/>
        <v>422515.22762888391</v>
      </c>
      <c r="BF21" s="5">
        <f>E21*$BG$8</f>
        <v>81965.148593261125</v>
      </c>
      <c r="BG21" s="5">
        <f t="shared" si="18"/>
        <v>29945.445954269955</v>
      </c>
      <c r="BH21" s="5">
        <f t="shared" si="29"/>
        <v>111910.59454753107</v>
      </c>
      <c r="BJ21" s="5">
        <f>E21*$BK$8</f>
        <v>1984.6747370764876</v>
      </c>
      <c r="BK21" s="5">
        <f t="shared" si="19"/>
        <v>725.08829784290992</v>
      </c>
      <c r="BL21" s="5">
        <f t="shared" si="30"/>
        <v>2709.7630349193978</v>
      </c>
      <c r="BQ21" s="5"/>
      <c r="BR21" s="5">
        <f>E21*$BS$8</f>
        <v>6820.8998079770281</v>
      </c>
      <c r="BS21" s="5">
        <f t="shared" si="20"/>
        <v>2491.9723817356626</v>
      </c>
      <c r="BT21" s="5">
        <f t="shared" si="21"/>
        <v>9312.8721897126907</v>
      </c>
    </row>
    <row r="22" spans="1:72" ht="12" customHeight="1" x14ac:dyDescent="0.2">
      <c r="A22" s="25">
        <v>47027</v>
      </c>
      <c r="D22" s="3">
        <v>667500</v>
      </c>
      <c r="F22" s="3">
        <v>495200</v>
      </c>
      <c r="H22" s="3">
        <v>240875</v>
      </c>
      <c r="J22" s="3">
        <f t="shared" si="0"/>
        <v>1403575</v>
      </c>
      <c r="K22" s="3">
        <f t="shared" si="2"/>
        <v>1403575</v>
      </c>
      <c r="M22" s="3"/>
      <c r="N22" s="3">
        <v>240874.99999999994</v>
      </c>
      <c r="O22" s="5">
        <f t="shared" si="8"/>
        <v>240874.99999999994</v>
      </c>
      <c r="Q22" s="3"/>
      <c r="R22" s="3">
        <f t="shared" si="1"/>
        <v>667500.00000000023</v>
      </c>
      <c r="S22" s="5">
        <f t="shared" si="9"/>
        <v>667500.00000000023</v>
      </c>
      <c r="U22" s="5"/>
      <c r="V22" s="5">
        <f t="shared" si="5"/>
        <v>339051.51895380311</v>
      </c>
      <c r="W22" s="5">
        <f t="shared" si="10"/>
        <v>339051.51895380311</v>
      </c>
      <c r="Z22" s="5">
        <f t="shared" si="7"/>
        <v>328448.48104619712</v>
      </c>
      <c r="AA22" s="5">
        <f t="shared" si="11"/>
        <v>328448.48104619712</v>
      </c>
      <c r="AD22" s="5">
        <v>352827.36391495023</v>
      </c>
      <c r="AE22" s="5">
        <f t="shared" si="22"/>
        <v>352827.36391495023</v>
      </c>
      <c r="AG22" s="3"/>
      <c r="AH22" s="3">
        <f t="shared" si="12"/>
        <v>142372.6360850498</v>
      </c>
      <c r="AI22" s="5">
        <f t="shared" si="13"/>
        <v>142372.6360850498</v>
      </c>
      <c r="AJ22" s="5"/>
      <c r="AK22" s="5"/>
      <c r="AL22" s="5">
        <f t="shared" si="14"/>
        <v>97.341567648741218</v>
      </c>
      <c r="AM22" s="5">
        <f t="shared" si="24"/>
        <v>97.341567648741218</v>
      </c>
      <c r="AP22" s="5">
        <f t="shared" si="15"/>
        <v>4547.4487158608481</v>
      </c>
      <c r="AQ22" s="5">
        <f t="shared" si="26"/>
        <v>4547.4487158608481</v>
      </c>
      <c r="AS22" s="5"/>
      <c r="AT22" s="5"/>
      <c r="AU22" s="5"/>
      <c r="AV22" s="5"/>
      <c r="AY22" s="5">
        <f t="shared" si="16"/>
        <v>1512.8646883184661</v>
      </c>
      <c r="AZ22" s="5">
        <f t="shared" si="27"/>
        <v>1512.8646883184661</v>
      </c>
      <c r="BC22" s="5">
        <f t="shared" si="17"/>
        <v>105321.74255783108</v>
      </c>
      <c r="BD22" s="5">
        <f t="shared" si="28"/>
        <v>105321.74255783108</v>
      </c>
      <c r="BG22" s="5">
        <f t="shared" si="18"/>
        <v>27896.317239438427</v>
      </c>
      <c r="BH22" s="5">
        <f t="shared" si="29"/>
        <v>27896.317239438427</v>
      </c>
      <c r="BK22" s="5">
        <f t="shared" si="19"/>
        <v>675.4714294159977</v>
      </c>
      <c r="BL22" s="5">
        <f t="shared" si="30"/>
        <v>675.4714294159977</v>
      </c>
      <c r="BQ22" s="5"/>
      <c r="BS22" s="5">
        <f t="shared" si="20"/>
        <v>2321.4498865362366</v>
      </c>
      <c r="BT22" s="5">
        <f t="shared" si="21"/>
        <v>2321.4498865362366</v>
      </c>
    </row>
    <row r="23" spans="1:72" ht="12" customHeight="1" x14ac:dyDescent="0.2">
      <c r="A23" s="25">
        <v>47209</v>
      </c>
      <c r="C23" s="3">
        <v>1135000</v>
      </c>
      <c r="D23" s="3">
        <v>667500</v>
      </c>
      <c r="E23" s="3">
        <v>1525000</v>
      </c>
      <c r="F23" s="3">
        <v>495200</v>
      </c>
      <c r="G23" s="3">
        <v>2235000</v>
      </c>
      <c r="H23" s="3">
        <v>240875</v>
      </c>
      <c r="I23" s="3">
        <f>C23+E23+G23</f>
        <v>4895000</v>
      </c>
      <c r="J23" s="3">
        <f t="shared" si="0"/>
        <v>1403575</v>
      </c>
      <c r="K23" s="3">
        <f t="shared" si="2"/>
        <v>6298575</v>
      </c>
      <c r="M23" s="3">
        <v>2235000</v>
      </c>
      <c r="N23" s="3">
        <v>240874.99999999994</v>
      </c>
      <c r="O23" s="5">
        <f t="shared" si="8"/>
        <v>2475875</v>
      </c>
      <c r="Q23" s="3">
        <f>U23+Y23+BN23</f>
        <v>1135000.0000000005</v>
      </c>
      <c r="R23" s="3">
        <f t="shared" si="1"/>
        <v>667500.00000000023</v>
      </c>
      <c r="S23" s="5">
        <f t="shared" si="9"/>
        <v>1802500.0000000007</v>
      </c>
      <c r="U23" s="5">
        <f t="shared" si="4"/>
        <v>576514.5678090885</v>
      </c>
      <c r="V23" s="5">
        <f t="shared" si="5"/>
        <v>339051.51895380311</v>
      </c>
      <c r="W23" s="5">
        <f t="shared" si="10"/>
        <v>915566.08676289162</v>
      </c>
      <c r="Y23" s="5">
        <f t="shared" si="6"/>
        <v>558485.43219091196</v>
      </c>
      <c r="Z23" s="5">
        <f t="shared" si="7"/>
        <v>328448.48104619712</v>
      </c>
      <c r="AA23" s="5">
        <f t="shared" si="11"/>
        <v>886933.91323710908</v>
      </c>
      <c r="AC23" s="5">
        <v>1086554.3820078741</v>
      </c>
      <c r="AD23" s="5">
        <v>352827.36391495023</v>
      </c>
      <c r="AE23" s="5">
        <f t="shared" si="22"/>
        <v>1439381.7459228244</v>
      </c>
      <c r="AG23" s="3">
        <f>+AS23+BR23+AX23+BB23+BF23+BJ23+AK23+AO23</f>
        <v>438445.61799212632</v>
      </c>
      <c r="AH23" s="3">
        <f t="shared" si="12"/>
        <v>142372.6360850498</v>
      </c>
      <c r="AI23" s="5">
        <f t="shared" si="13"/>
        <v>580818.2540771761</v>
      </c>
      <c r="AJ23" s="5"/>
      <c r="AK23" s="5">
        <f t="shared" si="23"/>
        <v>299.76956919291268</v>
      </c>
      <c r="AL23" s="5">
        <f t="shared" si="14"/>
        <v>97.341567648741218</v>
      </c>
      <c r="AM23" s="5">
        <f t="shared" si="24"/>
        <v>397.11113684165389</v>
      </c>
      <c r="AO23" s="5">
        <f t="shared" si="25"/>
        <v>14004.158505023815</v>
      </c>
      <c r="AP23" s="5">
        <f t="shared" si="15"/>
        <v>4547.4487158608481</v>
      </c>
      <c r="AQ23" s="5">
        <f t="shared" si="26"/>
        <v>18551.607220884664</v>
      </c>
      <c r="AS23" s="5"/>
      <c r="AT23" s="5"/>
      <c r="AU23" s="5"/>
      <c r="AV23" s="5"/>
      <c r="AX23" s="5">
        <f>E23*$AY$8</f>
        <v>4658.9633475073924</v>
      </c>
      <c r="AY23" s="5">
        <f t="shared" si="16"/>
        <v>1512.8646883184661</v>
      </c>
      <c r="AZ23" s="5">
        <f t="shared" si="27"/>
        <v>6171.828035825858</v>
      </c>
      <c r="BB23" s="5">
        <f>E23*$BC$8</f>
        <v>324345.02706117206</v>
      </c>
      <c r="BC23" s="5">
        <f t="shared" si="17"/>
        <v>105321.74255783108</v>
      </c>
      <c r="BD23" s="5">
        <f t="shared" si="28"/>
        <v>429666.76961900317</v>
      </c>
      <c r="BF23" s="5">
        <f>E23*$BG$8</f>
        <v>85908.489075411155</v>
      </c>
      <c r="BG23" s="5">
        <f t="shared" si="18"/>
        <v>27896.317239438427</v>
      </c>
      <c r="BH23" s="5">
        <f t="shared" si="29"/>
        <v>113804.80631484959</v>
      </c>
      <c r="BJ23" s="5">
        <f>E23*$BK$8</f>
        <v>2080.1573704753564</v>
      </c>
      <c r="BK23" s="5">
        <f t="shared" si="19"/>
        <v>675.4714294159977</v>
      </c>
      <c r="BL23" s="5">
        <f t="shared" si="30"/>
        <v>2755.628799891354</v>
      </c>
      <c r="BQ23" s="5"/>
      <c r="BR23" s="5">
        <f>E23*$BS$8</f>
        <v>7149.053063343621</v>
      </c>
      <c r="BS23" s="5">
        <f t="shared" si="20"/>
        <v>2321.4498865362366</v>
      </c>
      <c r="BT23" s="5">
        <f t="shared" si="21"/>
        <v>9470.5029498798576</v>
      </c>
    </row>
    <row r="24" spans="1:72" ht="12" customHeight="1" x14ac:dyDescent="0.2">
      <c r="A24" s="25">
        <v>47392</v>
      </c>
      <c r="D24" s="3">
        <v>639125</v>
      </c>
      <c r="F24" s="3">
        <v>457075</v>
      </c>
      <c r="H24" s="3">
        <v>185000</v>
      </c>
      <c r="J24" s="3">
        <f t="shared" si="0"/>
        <v>1281200</v>
      </c>
      <c r="K24" s="3">
        <f t="shared" si="2"/>
        <v>1281200</v>
      </c>
      <c r="M24" s="3"/>
      <c r="N24" s="3">
        <v>184999.99999999997</v>
      </c>
      <c r="O24" s="5">
        <f t="shared" si="8"/>
        <v>184999.99999999997</v>
      </c>
      <c r="Q24" s="3"/>
      <c r="R24" s="3">
        <f t="shared" si="1"/>
        <v>639125.00000000023</v>
      </c>
      <c r="S24" s="5">
        <f t="shared" si="9"/>
        <v>639125.00000000023</v>
      </c>
      <c r="U24" s="5"/>
      <c r="V24" s="5">
        <f t="shared" si="5"/>
        <v>324638.6547585759</v>
      </c>
      <c r="W24" s="5">
        <f t="shared" si="10"/>
        <v>324638.6547585759</v>
      </c>
      <c r="Z24" s="5">
        <f t="shared" si="7"/>
        <v>314486.34524142428</v>
      </c>
      <c r="AA24" s="5">
        <f t="shared" si="11"/>
        <v>314486.34524142428</v>
      </c>
      <c r="AD24" s="5">
        <v>325663.50436475343</v>
      </c>
      <c r="AE24" s="5">
        <f t="shared" si="22"/>
        <v>325663.50436475343</v>
      </c>
      <c r="AG24" s="3"/>
      <c r="AH24" s="3">
        <f t="shared" si="12"/>
        <v>131411.49563524665</v>
      </c>
      <c r="AI24" s="5">
        <f t="shared" si="13"/>
        <v>131411.49563524665</v>
      </c>
      <c r="AJ24" s="5"/>
      <c r="AK24" s="5"/>
      <c r="AL24" s="5">
        <f t="shared" si="14"/>
        <v>89.847328418918408</v>
      </c>
      <c r="AM24" s="5">
        <f t="shared" si="24"/>
        <v>89.847328418918408</v>
      </c>
      <c r="AP24" s="5">
        <f t="shared" si="15"/>
        <v>4197.3447532352529</v>
      </c>
      <c r="AQ24" s="5">
        <f t="shared" si="26"/>
        <v>4197.3447532352529</v>
      </c>
      <c r="AS24" s="5"/>
      <c r="AT24" s="5"/>
      <c r="AU24" s="5"/>
      <c r="AV24" s="5"/>
      <c r="AY24" s="5">
        <f t="shared" si="16"/>
        <v>1396.3906046307811</v>
      </c>
      <c r="AZ24" s="5">
        <f t="shared" si="27"/>
        <v>1396.3906046307811</v>
      </c>
      <c r="BC24" s="5">
        <f t="shared" si="17"/>
        <v>97213.116881301787</v>
      </c>
      <c r="BD24" s="5">
        <f t="shared" si="28"/>
        <v>97213.116881301787</v>
      </c>
      <c r="BG24" s="5">
        <f t="shared" si="18"/>
        <v>25748.605012553147</v>
      </c>
      <c r="BH24" s="5">
        <f t="shared" si="29"/>
        <v>25748.605012553147</v>
      </c>
      <c r="BK24" s="5">
        <f t="shared" si="19"/>
        <v>623.46749515411386</v>
      </c>
      <c r="BL24" s="5">
        <f t="shared" si="30"/>
        <v>623.46749515411386</v>
      </c>
      <c r="BQ24" s="5"/>
      <c r="BS24" s="5">
        <f t="shared" si="20"/>
        <v>2142.7235599526462</v>
      </c>
      <c r="BT24" s="5">
        <f t="shared" si="21"/>
        <v>2142.7235599526462</v>
      </c>
    </row>
    <row r="25" spans="1:72" ht="12" customHeight="1" x14ac:dyDescent="0.2">
      <c r="A25" s="25">
        <v>11049</v>
      </c>
      <c r="C25" s="3">
        <v>1190000</v>
      </c>
      <c r="D25" s="3">
        <v>639125</v>
      </c>
      <c r="E25" s="3">
        <v>1600000</v>
      </c>
      <c r="F25" s="3">
        <v>457075</v>
      </c>
      <c r="G25" s="3">
        <v>2345000</v>
      </c>
      <c r="H25" s="3">
        <v>185000</v>
      </c>
      <c r="I25" s="3">
        <f>C25+E25+G25</f>
        <v>5135000</v>
      </c>
      <c r="J25" s="3">
        <f t="shared" si="0"/>
        <v>1281200</v>
      </c>
      <c r="K25" s="3">
        <f t="shared" si="2"/>
        <v>6416200</v>
      </c>
      <c r="M25" s="3">
        <v>2345000</v>
      </c>
      <c r="N25" s="3">
        <v>184999.99999999997</v>
      </c>
      <c r="O25" s="5">
        <f t="shared" si="8"/>
        <v>2530000</v>
      </c>
      <c r="Q25" s="3">
        <f>U25+Y25+BN25</f>
        <v>1190000.0000000005</v>
      </c>
      <c r="R25" s="3">
        <f t="shared" si="1"/>
        <v>639125.00000000023</v>
      </c>
      <c r="S25" s="5">
        <f t="shared" si="9"/>
        <v>1829125.0000000007</v>
      </c>
      <c r="U25" s="5">
        <f t="shared" si="4"/>
        <v>604451.39708618086</v>
      </c>
      <c r="V25" s="5">
        <f t="shared" si="5"/>
        <v>324638.6547585759</v>
      </c>
      <c r="W25" s="5">
        <f t="shared" si="10"/>
        <v>929090.05184475682</v>
      </c>
      <c r="Y25" s="5">
        <f t="shared" si="6"/>
        <v>585548.60291381949</v>
      </c>
      <c r="Z25" s="5">
        <f t="shared" si="7"/>
        <v>314486.34524142428</v>
      </c>
      <c r="AA25" s="5">
        <f t="shared" si="11"/>
        <v>900034.94815524376</v>
      </c>
      <c r="AC25" s="5">
        <v>1139991.4827623595</v>
      </c>
      <c r="AD25" s="5">
        <v>325663.50436475343</v>
      </c>
      <c r="AE25" s="5">
        <f t="shared" si="22"/>
        <v>1465654.9871271129</v>
      </c>
      <c r="AG25" s="3">
        <f>+AS25+BR25+AX25+BB25+BF25+BJ25+AK25+AO25</f>
        <v>460008.51723764068</v>
      </c>
      <c r="AH25" s="3">
        <f t="shared" si="12"/>
        <v>131411.49563524665</v>
      </c>
      <c r="AI25" s="5">
        <f t="shared" si="13"/>
        <v>591420.01287288731</v>
      </c>
      <c r="AJ25" s="5"/>
      <c r="AK25" s="5">
        <f t="shared" si="23"/>
        <v>314.51233489092482</v>
      </c>
      <c r="AL25" s="5">
        <f t="shared" si="14"/>
        <v>89.847328418918408</v>
      </c>
      <c r="AM25" s="5">
        <f t="shared" si="24"/>
        <v>404.3596633098432</v>
      </c>
      <c r="AO25" s="5">
        <f t="shared" si="25"/>
        <v>14692.887611828264</v>
      </c>
      <c r="AP25" s="5">
        <f t="shared" si="15"/>
        <v>4197.3447532352529</v>
      </c>
      <c r="AQ25" s="5">
        <f t="shared" si="26"/>
        <v>18890.232365063515</v>
      </c>
      <c r="AS25" s="5"/>
      <c r="AT25" s="5"/>
      <c r="AU25" s="5"/>
      <c r="AV25" s="5"/>
      <c r="AX25" s="5">
        <f>E25*$AY$8</f>
        <v>4888.092692466772</v>
      </c>
      <c r="AY25" s="5">
        <f t="shared" si="16"/>
        <v>1396.3906046307811</v>
      </c>
      <c r="AZ25" s="5">
        <f t="shared" si="27"/>
        <v>6284.4832970975531</v>
      </c>
      <c r="BB25" s="5">
        <f>E25*$BC$8</f>
        <v>340296.42183467234</v>
      </c>
      <c r="BC25" s="5">
        <f t="shared" si="17"/>
        <v>97213.116881301787</v>
      </c>
      <c r="BD25" s="5">
        <f t="shared" si="28"/>
        <v>437509.53871597414</v>
      </c>
      <c r="BF25" s="5">
        <f>E25*$BG$8</f>
        <v>90133.496734857603</v>
      </c>
      <c r="BG25" s="5">
        <f t="shared" si="18"/>
        <v>25748.605012553147</v>
      </c>
      <c r="BH25" s="5">
        <f t="shared" si="29"/>
        <v>115882.10174741075</v>
      </c>
      <c r="BJ25" s="5">
        <f>E25*$BK$8</f>
        <v>2182.4601919741444</v>
      </c>
      <c r="BK25" s="5">
        <f t="shared" si="19"/>
        <v>623.46749515411386</v>
      </c>
      <c r="BL25" s="5">
        <f t="shared" si="30"/>
        <v>2805.9276871282582</v>
      </c>
      <c r="BQ25" s="5"/>
      <c r="BR25" s="5">
        <f>E25*$BS$8</f>
        <v>7500.6458369506836</v>
      </c>
      <c r="BS25" s="5">
        <f t="shared" si="20"/>
        <v>2142.7235599526462</v>
      </c>
      <c r="BT25" s="5">
        <f t="shared" si="21"/>
        <v>9643.3693969033302</v>
      </c>
    </row>
    <row r="26" spans="1:72" ht="12" customHeight="1" x14ac:dyDescent="0.2">
      <c r="A26" s="25">
        <v>11232</v>
      </c>
      <c r="D26" s="3">
        <v>609375</v>
      </c>
      <c r="F26" s="3">
        <v>417075</v>
      </c>
      <c r="H26" s="3">
        <v>126375</v>
      </c>
      <c r="J26" s="3">
        <f t="shared" si="0"/>
        <v>1152825</v>
      </c>
      <c r="K26" s="3">
        <f t="shared" si="2"/>
        <v>1152825</v>
      </c>
      <c r="M26" s="3"/>
      <c r="N26" s="3">
        <v>126374.99999999999</v>
      </c>
      <c r="O26" s="5">
        <f t="shared" si="8"/>
        <v>126374.99999999999</v>
      </c>
      <c r="Q26" s="3"/>
      <c r="R26" s="3">
        <f t="shared" si="1"/>
        <v>609375.00000000023</v>
      </c>
      <c r="S26" s="5">
        <f t="shared" si="9"/>
        <v>609375.00000000023</v>
      </c>
      <c r="U26" s="5"/>
      <c r="V26" s="5">
        <f t="shared" si="5"/>
        <v>309527.36983142141</v>
      </c>
      <c r="W26" s="5">
        <f t="shared" si="10"/>
        <v>309527.36983142141</v>
      </c>
      <c r="Z26" s="5">
        <f t="shared" si="7"/>
        <v>299847.63016857882</v>
      </c>
      <c r="AA26" s="5">
        <f t="shared" si="11"/>
        <v>299847.63016857882</v>
      </c>
      <c r="AD26" s="5">
        <v>297163.7172956944</v>
      </c>
      <c r="AE26" s="5">
        <f t="shared" si="22"/>
        <v>297163.7172956944</v>
      </c>
      <c r="AG26" s="3"/>
      <c r="AH26" s="3">
        <f t="shared" si="12"/>
        <v>119911.28270430563</v>
      </c>
      <c r="AI26" s="5">
        <f t="shared" si="13"/>
        <v>119911.28270430563</v>
      </c>
      <c r="AJ26" s="5"/>
      <c r="AK26" s="5"/>
      <c r="AL26" s="5">
        <f t="shared" si="14"/>
        <v>81.984520046645287</v>
      </c>
      <c r="AM26" s="5">
        <f t="shared" si="24"/>
        <v>81.984520046645287</v>
      </c>
      <c r="AP26" s="5">
        <f t="shared" si="15"/>
        <v>3830.0225629395459</v>
      </c>
      <c r="AQ26" s="5">
        <f t="shared" si="26"/>
        <v>3830.0225629395459</v>
      </c>
      <c r="AS26" s="5"/>
      <c r="AT26" s="5"/>
      <c r="AU26" s="5"/>
      <c r="AV26" s="5"/>
      <c r="AY26" s="5">
        <f t="shared" si="16"/>
        <v>1274.1882873191119</v>
      </c>
      <c r="AZ26" s="5">
        <f t="shared" si="27"/>
        <v>1274.1882873191119</v>
      </c>
      <c r="BC26" s="5">
        <f t="shared" si="17"/>
        <v>88705.706335434981</v>
      </c>
      <c r="BD26" s="5">
        <f t="shared" si="28"/>
        <v>88705.706335434981</v>
      </c>
      <c r="BG26" s="5">
        <f t="shared" si="18"/>
        <v>23495.267594181707</v>
      </c>
      <c r="BH26" s="5">
        <f t="shared" si="29"/>
        <v>23495.267594181707</v>
      </c>
      <c r="BK26" s="5">
        <f t="shared" si="19"/>
        <v>568.90599035476021</v>
      </c>
      <c r="BL26" s="5">
        <f t="shared" si="30"/>
        <v>568.90599035476021</v>
      </c>
      <c r="BQ26" s="5"/>
      <c r="BS26" s="5">
        <f t="shared" si="20"/>
        <v>1955.2074140288792</v>
      </c>
      <c r="BT26" s="5">
        <f t="shared" si="21"/>
        <v>1955.2074140288792</v>
      </c>
    </row>
    <row r="27" spans="1:72" ht="12" customHeight="1" x14ac:dyDescent="0.2">
      <c r="A27" s="25">
        <v>11414</v>
      </c>
      <c r="C27" s="3">
        <v>1250000</v>
      </c>
      <c r="D27" s="3">
        <v>609375</v>
      </c>
      <c r="E27" s="3">
        <v>1680000</v>
      </c>
      <c r="F27" s="3">
        <v>417075</v>
      </c>
      <c r="G27" s="3">
        <v>2465000</v>
      </c>
      <c r="H27" s="3">
        <v>126375</v>
      </c>
      <c r="I27" s="3">
        <f>C27+E27+G27</f>
        <v>5395000</v>
      </c>
      <c r="J27" s="3">
        <f t="shared" si="0"/>
        <v>1152825</v>
      </c>
      <c r="K27" s="3">
        <f t="shared" si="2"/>
        <v>6547825</v>
      </c>
      <c r="M27" s="3">
        <v>2465000</v>
      </c>
      <c r="N27" s="3">
        <v>126374.99999999999</v>
      </c>
      <c r="O27" s="5">
        <f t="shared" si="8"/>
        <v>2591375</v>
      </c>
      <c r="Q27" s="3">
        <f>U27+Y27+BN27</f>
        <v>1250000.0000000005</v>
      </c>
      <c r="R27" s="3">
        <f t="shared" si="1"/>
        <v>609375.00000000023</v>
      </c>
      <c r="S27" s="5">
        <f t="shared" si="9"/>
        <v>1859375.0000000007</v>
      </c>
      <c r="U27" s="5">
        <f t="shared" si="4"/>
        <v>634927.93811573624</v>
      </c>
      <c r="V27" s="5">
        <f t="shared" si="5"/>
        <v>309527.36983142141</v>
      </c>
      <c r="W27" s="5">
        <f t="shared" si="10"/>
        <v>944455.30794715765</v>
      </c>
      <c r="Y27" s="5">
        <f t="shared" si="6"/>
        <v>615072.06188426423</v>
      </c>
      <c r="Z27" s="5">
        <f t="shared" si="7"/>
        <v>299847.63016857882</v>
      </c>
      <c r="AA27" s="5">
        <f t="shared" si="11"/>
        <v>914919.69205284305</v>
      </c>
      <c r="AC27" s="5">
        <v>1196991.0569004775</v>
      </c>
      <c r="AD27" s="5">
        <v>297163.7172956944</v>
      </c>
      <c r="AE27" s="5">
        <f t="shared" si="22"/>
        <v>1494154.7741961719</v>
      </c>
      <c r="AG27" s="3">
        <f>+AS27+BR27+AX27+BB27+BF27+BJ27+AK27+AO27</f>
        <v>483008.94309952273</v>
      </c>
      <c r="AH27" s="3">
        <f t="shared" si="12"/>
        <v>119911.28270430563</v>
      </c>
      <c r="AI27" s="5">
        <f t="shared" si="13"/>
        <v>602920.22580382833</v>
      </c>
      <c r="AJ27" s="5"/>
      <c r="AK27" s="5">
        <f t="shared" si="23"/>
        <v>330.23795163547106</v>
      </c>
      <c r="AL27" s="5">
        <f t="shared" si="14"/>
        <v>81.984520046645287</v>
      </c>
      <c r="AM27" s="5">
        <f t="shared" si="24"/>
        <v>412.22247168211635</v>
      </c>
      <c r="AO27" s="5">
        <f t="shared" si="25"/>
        <v>15427.531992419677</v>
      </c>
      <c r="AP27" s="5">
        <f t="shared" si="15"/>
        <v>3830.0225629395459</v>
      </c>
      <c r="AQ27" s="5">
        <f t="shared" si="26"/>
        <v>19257.554555359224</v>
      </c>
      <c r="AS27" s="5"/>
      <c r="AT27" s="5"/>
      <c r="AU27" s="5"/>
      <c r="AV27" s="5"/>
      <c r="AX27" s="5">
        <f>E27*$AY$8</f>
        <v>5132.497327090111</v>
      </c>
      <c r="AY27" s="5">
        <f t="shared" si="16"/>
        <v>1274.1882873191119</v>
      </c>
      <c r="AZ27" s="5">
        <f t="shared" si="27"/>
        <v>6406.6856144092226</v>
      </c>
      <c r="BB27" s="5">
        <f>E27*$BC$8</f>
        <v>357311.24292640592</v>
      </c>
      <c r="BC27" s="5">
        <f t="shared" si="17"/>
        <v>88705.706335434981</v>
      </c>
      <c r="BD27" s="5">
        <f t="shared" si="28"/>
        <v>446016.9492618409</v>
      </c>
      <c r="BF27" s="5">
        <f>E27*$BG$8</f>
        <v>94640.171571600484</v>
      </c>
      <c r="BG27" s="5">
        <f t="shared" si="18"/>
        <v>23495.267594181707</v>
      </c>
      <c r="BH27" s="5">
        <f t="shared" si="29"/>
        <v>118135.43916578218</v>
      </c>
      <c r="BJ27" s="5">
        <f>E27*$BK$8</f>
        <v>2291.5832015728515</v>
      </c>
      <c r="BK27" s="5">
        <f t="shared" si="19"/>
        <v>568.90599035476021</v>
      </c>
      <c r="BL27" s="5">
        <f t="shared" si="30"/>
        <v>2860.4891919276115</v>
      </c>
      <c r="BQ27" s="5"/>
      <c r="BR27" s="5">
        <f>E27*$BS$8</f>
        <v>7875.6781287982185</v>
      </c>
      <c r="BS27" s="5">
        <f t="shared" si="20"/>
        <v>1955.2074140288792</v>
      </c>
      <c r="BT27" s="5">
        <f t="shared" si="21"/>
        <v>9830.8855428270981</v>
      </c>
    </row>
    <row r="28" spans="1:72" ht="12" customHeight="1" x14ac:dyDescent="0.2">
      <c r="A28" s="25">
        <v>11597</v>
      </c>
      <c r="D28" s="3">
        <v>578125</v>
      </c>
      <c r="F28" s="3">
        <v>375075</v>
      </c>
      <c r="H28" s="3">
        <v>64750</v>
      </c>
      <c r="J28" s="3">
        <f t="shared" si="0"/>
        <v>1017950</v>
      </c>
      <c r="K28" s="3">
        <f t="shared" si="2"/>
        <v>1017950</v>
      </c>
      <c r="M28" s="3"/>
      <c r="N28" s="3">
        <v>64749.999999999993</v>
      </c>
      <c r="O28" s="5">
        <f t="shared" si="8"/>
        <v>64749.999999999993</v>
      </c>
      <c r="Q28" s="3"/>
      <c r="R28" s="3">
        <f t="shared" si="1"/>
        <v>578125.00000000023</v>
      </c>
      <c r="S28" s="5">
        <f t="shared" si="9"/>
        <v>578125.00000000023</v>
      </c>
      <c r="U28" s="5"/>
      <c r="V28" s="5">
        <f t="shared" si="5"/>
        <v>293654.171378528</v>
      </c>
      <c r="W28" s="5">
        <f t="shared" si="10"/>
        <v>293654.171378528</v>
      </c>
      <c r="Z28" s="5">
        <f t="shared" si="7"/>
        <v>284470.82862147217</v>
      </c>
      <c r="AA28" s="5">
        <f t="shared" si="11"/>
        <v>284470.82862147217</v>
      </c>
      <c r="AD28" s="5">
        <v>267238.9408731825</v>
      </c>
      <c r="AE28" s="5">
        <f t="shared" si="22"/>
        <v>267238.9408731825</v>
      </c>
      <c r="AG28" s="3"/>
      <c r="AH28" s="3">
        <f t="shared" si="12"/>
        <v>107836.05912681759</v>
      </c>
      <c r="AI28" s="5">
        <f t="shared" si="13"/>
        <v>107836.05912681759</v>
      </c>
      <c r="AJ28" s="5"/>
      <c r="AK28" s="5"/>
      <c r="AL28" s="5">
        <f t="shared" si="14"/>
        <v>73.72857125575851</v>
      </c>
      <c r="AM28" s="5">
        <f t="shared" si="24"/>
        <v>73.72857125575851</v>
      </c>
      <c r="AP28" s="5">
        <f t="shared" si="15"/>
        <v>3444.3342631290539</v>
      </c>
      <c r="AQ28" s="5">
        <f t="shared" si="26"/>
        <v>3444.3342631290539</v>
      </c>
      <c r="AS28" s="5"/>
      <c r="AT28" s="5"/>
      <c r="AU28" s="5"/>
      <c r="AV28" s="5"/>
      <c r="AY28" s="5">
        <f t="shared" si="16"/>
        <v>1145.8758541418592</v>
      </c>
      <c r="AZ28" s="5">
        <f t="shared" si="27"/>
        <v>1145.8758541418592</v>
      </c>
      <c r="BC28" s="5">
        <f t="shared" si="17"/>
        <v>79772.925262274832</v>
      </c>
      <c r="BD28" s="5">
        <f t="shared" si="28"/>
        <v>79772.925262274832</v>
      </c>
      <c r="BG28" s="5">
        <f t="shared" si="18"/>
        <v>21129.263304891698</v>
      </c>
      <c r="BH28" s="5">
        <f t="shared" si="29"/>
        <v>21129.263304891698</v>
      </c>
      <c r="BK28" s="5">
        <f t="shared" si="19"/>
        <v>511.61641031543888</v>
      </c>
      <c r="BL28" s="5">
        <f t="shared" si="30"/>
        <v>511.61641031543888</v>
      </c>
      <c r="BQ28" s="5"/>
      <c r="BS28" s="5">
        <f t="shared" si="20"/>
        <v>1758.3154608089237</v>
      </c>
      <c r="BT28" s="5">
        <f t="shared" si="21"/>
        <v>1758.3154608089237</v>
      </c>
    </row>
    <row r="29" spans="1:72" ht="12" customHeight="1" x14ac:dyDescent="0.2">
      <c r="A29" s="25">
        <v>11780</v>
      </c>
      <c r="C29" s="3">
        <v>1315000</v>
      </c>
      <c r="D29" s="3">
        <v>578125</v>
      </c>
      <c r="E29" s="3">
        <v>1765000</v>
      </c>
      <c r="F29" s="3">
        <v>375075</v>
      </c>
      <c r="G29" s="3">
        <v>2590000</v>
      </c>
      <c r="H29" s="3">
        <v>64750</v>
      </c>
      <c r="I29" s="3">
        <f>C29+E29+G29</f>
        <v>5670000</v>
      </c>
      <c r="J29" s="3">
        <f t="shared" si="0"/>
        <v>1017950</v>
      </c>
      <c r="K29" s="3">
        <f t="shared" si="2"/>
        <v>6687950</v>
      </c>
      <c r="M29" s="3">
        <v>2589999.9999999991</v>
      </c>
      <c r="N29" s="3">
        <v>64749.999999999993</v>
      </c>
      <c r="O29" s="5">
        <f t="shared" si="8"/>
        <v>2654749.9999999991</v>
      </c>
      <c r="Q29" s="3">
        <f>U29+Y29+BN29</f>
        <v>1315000.0000000005</v>
      </c>
      <c r="R29" s="3">
        <f t="shared" si="1"/>
        <v>578125.00000000023</v>
      </c>
      <c r="S29" s="5">
        <f t="shared" si="9"/>
        <v>1893125.0000000007</v>
      </c>
      <c r="U29" s="5">
        <f t="shared" si="4"/>
        <v>667944.19089775451</v>
      </c>
      <c r="V29" s="5">
        <f t="shared" si="5"/>
        <v>293654.171378528</v>
      </c>
      <c r="W29" s="5">
        <f t="shared" si="10"/>
        <v>961598.36227628251</v>
      </c>
      <c r="Y29" s="5">
        <f t="shared" si="6"/>
        <v>647055.80910224596</v>
      </c>
      <c r="Z29" s="5">
        <f t="shared" si="7"/>
        <v>284470.82862147217</v>
      </c>
      <c r="AA29" s="5">
        <f t="shared" si="11"/>
        <v>931526.63772371807</v>
      </c>
      <c r="AC29" s="5">
        <v>1257553.1044222279</v>
      </c>
      <c r="AD29" s="5">
        <v>267238.9408731825</v>
      </c>
      <c r="AE29" s="5">
        <f t="shared" si="22"/>
        <v>1524792.0452954103</v>
      </c>
      <c r="AG29" s="3">
        <f>+AS29+BR29+AX29+BB29+BF29+BJ29+AK29+AO29</f>
        <v>507446.8955777724</v>
      </c>
      <c r="AH29" s="3">
        <f t="shared" si="12"/>
        <v>107836.05912681759</v>
      </c>
      <c r="AI29" s="5">
        <f t="shared" si="13"/>
        <v>615282.95470459003</v>
      </c>
      <c r="AJ29" s="5"/>
      <c r="AK29" s="5">
        <f t="shared" si="23"/>
        <v>346.94641942655142</v>
      </c>
      <c r="AL29" s="5">
        <f t="shared" si="14"/>
        <v>73.72857125575851</v>
      </c>
      <c r="AM29" s="5">
        <f t="shared" si="24"/>
        <v>420.67499068230995</v>
      </c>
      <c r="AO29" s="5">
        <f t="shared" si="25"/>
        <v>16208.091646798055</v>
      </c>
      <c r="AP29" s="5">
        <f t="shared" si="15"/>
        <v>3444.3342631290539</v>
      </c>
      <c r="AQ29" s="5">
        <f t="shared" si="26"/>
        <v>19652.425909927108</v>
      </c>
      <c r="AS29" s="5"/>
      <c r="AT29" s="5"/>
      <c r="AU29" s="5"/>
      <c r="AV29" s="5"/>
      <c r="AX29" s="5">
        <f>E29*$AY$8</f>
        <v>5392.1772513774085</v>
      </c>
      <c r="AY29" s="5">
        <f t="shared" si="16"/>
        <v>1145.8758541418592</v>
      </c>
      <c r="AZ29" s="5">
        <f t="shared" si="27"/>
        <v>6538.0531055192678</v>
      </c>
      <c r="BB29" s="5">
        <f>E29*$BC$8</f>
        <v>375389.49033637292</v>
      </c>
      <c r="BC29" s="5">
        <f t="shared" si="17"/>
        <v>79772.925262274832</v>
      </c>
      <c r="BD29" s="5">
        <f t="shared" si="28"/>
        <v>455162.41559864779</v>
      </c>
      <c r="BF29" s="5">
        <f>E29*$BG$8</f>
        <v>99428.513585639783</v>
      </c>
      <c r="BG29" s="5">
        <f t="shared" si="18"/>
        <v>21129.263304891698</v>
      </c>
      <c r="BH29" s="5">
        <f t="shared" si="29"/>
        <v>120557.77689053147</v>
      </c>
      <c r="BJ29" s="5">
        <f>E29*$BK$8</f>
        <v>2407.5263992714781</v>
      </c>
      <c r="BK29" s="5">
        <f t="shared" si="19"/>
        <v>511.61641031543888</v>
      </c>
      <c r="BL29" s="5">
        <f t="shared" si="30"/>
        <v>2919.1428095869169</v>
      </c>
      <c r="BQ29" s="5"/>
      <c r="BR29" s="5">
        <f>E29*$BS$8</f>
        <v>8274.149938886223</v>
      </c>
      <c r="BS29" s="5">
        <f t="shared" si="20"/>
        <v>1758.3154608089237</v>
      </c>
      <c r="BT29" s="5">
        <f t="shared" si="21"/>
        <v>10032.465399695147</v>
      </c>
    </row>
    <row r="30" spans="1:72" ht="12" customHeight="1" x14ac:dyDescent="0.2">
      <c r="A30" s="25">
        <v>11963</v>
      </c>
      <c r="D30" s="3">
        <v>545250</v>
      </c>
      <c r="F30" s="3">
        <v>330950</v>
      </c>
      <c r="J30" s="3">
        <f t="shared" si="0"/>
        <v>876200</v>
      </c>
      <c r="K30" s="3">
        <f t="shared" si="2"/>
        <v>876200</v>
      </c>
      <c r="M30" s="3"/>
      <c r="N30" s="3"/>
      <c r="Q30" s="3"/>
      <c r="R30" s="3">
        <f t="shared" si="1"/>
        <v>545250.00000000023</v>
      </c>
      <c r="S30" s="5">
        <f t="shared" si="9"/>
        <v>545250.00000000023</v>
      </c>
      <c r="U30" s="5"/>
      <c r="V30" s="5">
        <f t="shared" si="5"/>
        <v>276955.56660608412</v>
      </c>
      <c r="W30" s="5">
        <f t="shared" si="10"/>
        <v>276955.56660608412</v>
      </c>
      <c r="Z30" s="5">
        <f t="shared" si="7"/>
        <v>268294.43339391606</v>
      </c>
      <c r="AA30" s="5">
        <f t="shared" si="11"/>
        <v>268294.43339391606</v>
      </c>
      <c r="AD30" s="5">
        <v>235800.11326262681</v>
      </c>
      <c r="AE30" s="5">
        <f t="shared" si="22"/>
        <v>235800.11326262681</v>
      </c>
      <c r="AG30" s="3"/>
      <c r="AH30" s="3">
        <f t="shared" si="12"/>
        <v>95149.88673737325</v>
      </c>
      <c r="AI30" s="5">
        <f t="shared" si="13"/>
        <v>95149.88673737325</v>
      </c>
      <c r="AJ30" s="5"/>
      <c r="AK30" s="5"/>
      <c r="AL30" s="5">
        <f t="shared" si="14"/>
        <v>65.054910770094722</v>
      </c>
      <c r="AM30" s="5">
        <f t="shared" si="24"/>
        <v>65.054910770094722</v>
      </c>
      <c r="AP30" s="5">
        <f t="shared" si="15"/>
        <v>3039.1319719591024</v>
      </c>
      <c r="AQ30" s="5">
        <f t="shared" si="26"/>
        <v>3039.1319719591024</v>
      </c>
      <c r="AS30" s="5"/>
      <c r="AT30" s="5"/>
      <c r="AU30" s="5"/>
      <c r="AV30" s="5"/>
      <c r="AY30" s="5">
        <f t="shared" si="16"/>
        <v>1011.071422857424</v>
      </c>
      <c r="AZ30" s="5">
        <f t="shared" si="27"/>
        <v>1011.071422857424</v>
      </c>
      <c r="BC30" s="5">
        <f t="shared" si="17"/>
        <v>70388.188003865507</v>
      </c>
      <c r="BD30" s="5">
        <f t="shared" si="28"/>
        <v>70388.188003865507</v>
      </c>
      <c r="BG30" s="5">
        <f t="shared" si="18"/>
        <v>18643.550465250701</v>
      </c>
      <c r="BH30" s="5">
        <f t="shared" si="29"/>
        <v>18643.550465250701</v>
      </c>
      <c r="BK30" s="5">
        <f t="shared" si="19"/>
        <v>451.42825033365193</v>
      </c>
      <c r="BL30" s="5">
        <f t="shared" si="30"/>
        <v>451.42825033365193</v>
      </c>
      <c r="BQ30" s="5"/>
      <c r="BS30" s="5">
        <f t="shared" si="20"/>
        <v>1551.461712336768</v>
      </c>
      <c r="BT30" s="5">
        <f t="shared" si="21"/>
        <v>1551.461712336768</v>
      </c>
    </row>
    <row r="31" spans="1:72" ht="12" customHeight="1" x14ac:dyDescent="0.2">
      <c r="A31" s="25">
        <v>12145</v>
      </c>
      <c r="C31" s="3">
        <v>1380000</v>
      </c>
      <c r="D31" s="3">
        <v>545250</v>
      </c>
      <c r="E31" s="3">
        <v>1855000</v>
      </c>
      <c r="F31" s="3">
        <v>330950</v>
      </c>
      <c r="I31" s="3">
        <f>C31+E31+G31</f>
        <v>3235000</v>
      </c>
      <c r="J31" s="3">
        <f t="shared" si="0"/>
        <v>876200</v>
      </c>
      <c r="K31" s="3">
        <f t="shared" si="2"/>
        <v>4111200</v>
      </c>
      <c r="M31" s="3"/>
      <c r="N31" s="3"/>
      <c r="Q31" s="3">
        <f>U31+Y31+BN31</f>
        <v>1380000.0000000005</v>
      </c>
      <c r="R31" s="3">
        <f t="shared" si="1"/>
        <v>545250.00000000023</v>
      </c>
      <c r="S31" s="5">
        <f t="shared" si="9"/>
        <v>1925250.0000000007</v>
      </c>
      <c r="U31" s="5">
        <f t="shared" si="4"/>
        <v>700960.44367977278</v>
      </c>
      <c r="V31" s="5">
        <f t="shared" si="5"/>
        <v>276955.56660608412</v>
      </c>
      <c r="W31" s="5">
        <f t="shared" si="10"/>
        <v>977916.0102858569</v>
      </c>
      <c r="Y31" s="5">
        <f t="shared" si="6"/>
        <v>679039.55632022768</v>
      </c>
      <c r="Z31" s="5">
        <f t="shared" si="7"/>
        <v>268294.43339391606</v>
      </c>
      <c r="AA31" s="5">
        <f t="shared" si="11"/>
        <v>947333.9897141438</v>
      </c>
      <c r="AC31" s="5">
        <v>1321677.6253276104</v>
      </c>
      <c r="AD31" s="5">
        <v>235800.11326262681</v>
      </c>
      <c r="AE31" s="5">
        <f t="shared" si="22"/>
        <v>1557477.7385902372</v>
      </c>
      <c r="AG31" s="3">
        <f>+AS31+BR31+AX31+BB31+BF31+BJ31+AK31+AO31</f>
        <v>533322.37467238971</v>
      </c>
      <c r="AH31" s="3">
        <f t="shared" si="12"/>
        <v>95149.88673737325</v>
      </c>
      <c r="AI31" s="5">
        <f t="shared" si="13"/>
        <v>628472.26140976301</v>
      </c>
      <c r="AJ31" s="5"/>
      <c r="AK31" s="5">
        <f t="shared" si="23"/>
        <v>364.63773826416593</v>
      </c>
      <c r="AL31" s="5">
        <f t="shared" si="14"/>
        <v>65.054910770094722</v>
      </c>
      <c r="AM31" s="5">
        <f t="shared" si="24"/>
        <v>429.69264903426063</v>
      </c>
      <c r="AO31" s="5">
        <f t="shared" si="25"/>
        <v>17034.566574963395</v>
      </c>
      <c r="AP31" s="5">
        <f t="shared" si="15"/>
        <v>3039.1319719591024</v>
      </c>
      <c r="AQ31" s="5">
        <f t="shared" si="26"/>
        <v>20073.698546922496</v>
      </c>
      <c r="AS31" s="5"/>
      <c r="AT31" s="5"/>
      <c r="AU31" s="5"/>
      <c r="AV31" s="5"/>
      <c r="AX31" s="5">
        <f>E31*$AY$8</f>
        <v>5667.1324653286638</v>
      </c>
      <c r="AY31" s="5">
        <f t="shared" si="16"/>
        <v>1011.071422857424</v>
      </c>
      <c r="AZ31" s="5">
        <f t="shared" si="27"/>
        <v>6678.2038881860881</v>
      </c>
      <c r="BB31" s="5">
        <f>E31*$BC$8</f>
        <v>394531.16406457324</v>
      </c>
      <c r="BC31" s="5">
        <f t="shared" si="17"/>
        <v>70388.188003865507</v>
      </c>
      <c r="BD31" s="5">
        <f t="shared" si="28"/>
        <v>464919.35206843878</v>
      </c>
      <c r="BF31" s="5">
        <f>E31*$BG$8</f>
        <v>104498.52277697553</v>
      </c>
      <c r="BG31" s="5">
        <f t="shared" si="18"/>
        <v>18643.550465250701</v>
      </c>
      <c r="BH31" s="5">
        <f t="shared" si="29"/>
        <v>123142.07324222624</v>
      </c>
      <c r="BJ31" s="5">
        <f>E31*$BK$8</f>
        <v>2530.2897850700238</v>
      </c>
      <c r="BK31" s="5">
        <f t="shared" si="19"/>
        <v>451.42825033365193</v>
      </c>
      <c r="BL31" s="5">
        <f t="shared" si="30"/>
        <v>2981.7180354036755</v>
      </c>
      <c r="BQ31" s="5"/>
      <c r="BR31" s="5">
        <f>E31*$BS$8</f>
        <v>8696.0612672146999</v>
      </c>
      <c r="BS31" s="5">
        <f t="shared" si="20"/>
        <v>1551.461712336768</v>
      </c>
      <c r="BT31" s="5">
        <f t="shared" si="21"/>
        <v>10247.522979551468</v>
      </c>
    </row>
    <row r="32" spans="1:72" ht="12" customHeight="1" x14ac:dyDescent="0.2">
      <c r="A32" s="25">
        <v>12328</v>
      </c>
      <c r="D32" s="3">
        <v>517650</v>
      </c>
      <c r="F32" s="3">
        <v>293850</v>
      </c>
      <c r="J32" s="3">
        <f t="shared" si="0"/>
        <v>811500</v>
      </c>
      <c r="K32" s="3">
        <f t="shared" si="2"/>
        <v>811500</v>
      </c>
      <c r="M32" s="3"/>
      <c r="N32" s="3"/>
      <c r="Q32" s="3"/>
      <c r="R32" s="3">
        <f t="shared" si="1"/>
        <v>517650.00000000012</v>
      </c>
      <c r="S32" s="5">
        <f t="shared" si="9"/>
        <v>517650.00000000012</v>
      </c>
      <c r="U32" s="5"/>
      <c r="V32" s="5">
        <f t="shared" si="5"/>
        <v>262936.35773248866</v>
      </c>
      <c r="W32" s="5">
        <f t="shared" si="10"/>
        <v>262936.35773248866</v>
      </c>
      <c r="Z32" s="5">
        <f t="shared" si="7"/>
        <v>254713.64226751149</v>
      </c>
      <c r="AA32" s="5">
        <f t="shared" si="11"/>
        <v>254713.64226751149</v>
      </c>
      <c r="AD32" s="5">
        <v>209366.56075607461</v>
      </c>
      <c r="AE32" s="5">
        <f t="shared" si="22"/>
        <v>209366.56075607461</v>
      </c>
      <c r="AG32" s="3"/>
      <c r="AH32" s="3">
        <f t="shared" si="12"/>
        <v>84483.439243925459</v>
      </c>
      <c r="AI32" s="5">
        <f t="shared" si="13"/>
        <v>84483.439243925459</v>
      </c>
      <c r="AJ32" s="5"/>
      <c r="AK32" s="5"/>
      <c r="AL32" s="5">
        <f t="shared" si="14"/>
        <v>57.762156004811409</v>
      </c>
      <c r="AM32" s="5">
        <f t="shared" si="24"/>
        <v>57.762156004811409</v>
      </c>
      <c r="AP32" s="5">
        <f t="shared" si="15"/>
        <v>2698.4406404598349</v>
      </c>
      <c r="AQ32" s="5">
        <f t="shared" si="26"/>
        <v>2698.4406404598349</v>
      </c>
      <c r="AS32" s="5"/>
      <c r="AT32" s="5"/>
      <c r="AU32" s="5"/>
      <c r="AV32" s="5"/>
      <c r="AY32" s="5">
        <f t="shared" si="16"/>
        <v>897.72877355085063</v>
      </c>
      <c r="AZ32" s="5">
        <f t="shared" si="27"/>
        <v>897.72877355085063</v>
      </c>
      <c r="BC32" s="5">
        <f t="shared" si="17"/>
        <v>62497.564722574039</v>
      </c>
      <c r="BD32" s="5">
        <f t="shared" si="28"/>
        <v>62497.564722574039</v>
      </c>
      <c r="BG32" s="5">
        <f t="shared" si="18"/>
        <v>16553.58000971119</v>
      </c>
      <c r="BH32" s="5">
        <f t="shared" si="29"/>
        <v>16553.58000971119</v>
      </c>
      <c r="BK32" s="5">
        <f t="shared" si="19"/>
        <v>400.82245463225149</v>
      </c>
      <c r="BL32" s="5">
        <f t="shared" si="30"/>
        <v>400.82245463225149</v>
      </c>
      <c r="BQ32" s="5"/>
      <c r="BS32" s="5">
        <f t="shared" si="20"/>
        <v>1377.5404869924741</v>
      </c>
      <c r="BT32" s="5">
        <f t="shared" si="21"/>
        <v>1377.5404869924741</v>
      </c>
    </row>
    <row r="33" spans="1:72" ht="12" customHeight="1" x14ac:dyDescent="0.2">
      <c r="A33" s="25">
        <v>12510</v>
      </c>
      <c r="C33" s="3">
        <v>1435000</v>
      </c>
      <c r="D33" s="3">
        <v>517650</v>
      </c>
      <c r="E33" s="3">
        <v>1930000</v>
      </c>
      <c r="F33" s="3">
        <v>293850</v>
      </c>
      <c r="I33" s="3">
        <f>C33+E33+G33</f>
        <v>3365000</v>
      </c>
      <c r="J33" s="3">
        <f t="shared" si="0"/>
        <v>811500</v>
      </c>
      <c r="K33" s="3">
        <f t="shared" si="2"/>
        <v>4176500</v>
      </c>
      <c r="M33" s="3"/>
      <c r="N33" s="3"/>
      <c r="Q33" s="3">
        <f>U33+Y33+BN33</f>
        <v>1435000.0000000005</v>
      </c>
      <c r="R33" s="3">
        <f t="shared" si="1"/>
        <v>517650.00000000012</v>
      </c>
      <c r="S33" s="5">
        <f t="shared" si="9"/>
        <v>1952650.0000000005</v>
      </c>
      <c r="U33" s="5">
        <f t="shared" si="4"/>
        <v>728897.27295686514</v>
      </c>
      <c r="V33" s="5">
        <f t="shared" si="5"/>
        <v>262936.35773248866</v>
      </c>
      <c r="W33" s="5">
        <f t="shared" si="10"/>
        <v>991833.6306893538</v>
      </c>
      <c r="Y33" s="5">
        <f t="shared" si="6"/>
        <v>706102.72704313532</v>
      </c>
      <c r="Z33" s="5">
        <f t="shared" si="7"/>
        <v>254713.64226751149</v>
      </c>
      <c r="AA33" s="5">
        <f t="shared" si="11"/>
        <v>960816.36931064678</v>
      </c>
      <c r="AC33" s="5">
        <v>1375114.7260820961</v>
      </c>
      <c r="AD33" s="5">
        <v>209366.56075607461</v>
      </c>
      <c r="AE33" s="5">
        <f t="shared" si="22"/>
        <v>1584481.2868381706</v>
      </c>
      <c r="AG33" s="3">
        <f>+AS33+BR33+AX33+BB33+BF33+BJ33+AK33+AO33</f>
        <v>554885.27391790412</v>
      </c>
      <c r="AH33" s="3">
        <f t="shared" si="12"/>
        <v>84483.439243925459</v>
      </c>
      <c r="AI33" s="5">
        <f t="shared" si="13"/>
        <v>639368.71316182963</v>
      </c>
      <c r="AJ33" s="5"/>
      <c r="AK33" s="5">
        <f t="shared" si="23"/>
        <v>379.38050396217801</v>
      </c>
      <c r="AL33" s="5">
        <f t="shared" si="14"/>
        <v>57.762156004811409</v>
      </c>
      <c r="AM33" s="5">
        <f t="shared" si="24"/>
        <v>437.14265996698941</v>
      </c>
      <c r="AO33" s="5">
        <f t="shared" si="25"/>
        <v>17723.295681767846</v>
      </c>
      <c r="AP33" s="5">
        <f t="shared" si="15"/>
        <v>2698.4406404598349</v>
      </c>
      <c r="AQ33" s="5">
        <f t="shared" si="26"/>
        <v>20421.73632222768</v>
      </c>
      <c r="AS33" s="5"/>
      <c r="AT33" s="5"/>
      <c r="AU33" s="5"/>
      <c r="AV33" s="5"/>
      <c r="AX33" s="5">
        <f>E33*$AY$8</f>
        <v>5896.2618102880442</v>
      </c>
      <c r="AY33" s="5">
        <f t="shared" si="16"/>
        <v>897.72877355085063</v>
      </c>
      <c r="AZ33" s="5">
        <f t="shared" si="27"/>
        <v>6793.990583838895</v>
      </c>
      <c r="BB33" s="5">
        <f>E33*$BC$8</f>
        <v>410482.55883807351</v>
      </c>
      <c r="BC33" s="5">
        <f t="shared" si="17"/>
        <v>62497.564722574039</v>
      </c>
      <c r="BD33" s="5">
        <f t="shared" si="28"/>
        <v>472980.12356064754</v>
      </c>
      <c r="BF33" s="5">
        <f>E33*$BG$8</f>
        <v>108723.53043642198</v>
      </c>
      <c r="BG33" s="5">
        <f t="shared" si="18"/>
        <v>16553.58000971119</v>
      </c>
      <c r="BH33" s="5">
        <f t="shared" si="29"/>
        <v>125277.11044613317</v>
      </c>
      <c r="BJ33" s="5">
        <f>E33*$BK$8</f>
        <v>2632.5926065688118</v>
      </c>
      <c r="BK33" s="5">
        <f t="shared" si="19"/>
        <v>400.82245463225149</v>
      </c>
      <c r="BL33" s="5">
        <f t="shared" si="30"/>
        <v>3033.4150612010635</v>
      </c>
      <c r="BQ33" s="5"/>
      <c r="BR33" s="5">
        <f>E33*$BS$8</f>
        <v>9047.6540408217625</v>
      </c>
      <c r="BS33" s="5">
        <f t="shared" si="20"/>
        <v>1377.5404869924741</v>
      </c>
      <c r="BT33" s="5">
        <f t="shared" si="21"/>
        <v>10425.194527814238</v>
      </c>
    </row>
    <row r="34" spans="1:72" ht="12" customHeight="1" x14ac:dyDescent="0.2">
      <c r="A34" s="25">
        <v>12693</v>
      </c>
      <c r="D34" s="3">
        <v>496125</v>
      </c>
      <c r="F34" s="3">
        <v>264900</v>
      </c>
      <c r="J34" s="3">
        <f t="shared" si="0"/>
        <v>761025</v>
      </c>
      <c r="K34" s="3">
        <f t="shared" si="2"/>
        <v>761025</v>
      </c>
      <c r="M34" s="3"/>
      <c r="N34" s="3"/>
      <c r="Q34" s="3"/>
      <c r="R34" s="3">
        <f t="shared" si="1"/>
        <v>496125.00000000017</v>
      </c>
      <c r="S34" s="5">
        <f t="shared" si="9"/>
        <v>496125.00000000017</v>
      </c>
      <c r="U34" s="5"/>
      <c r="V34" s="5">
        <f t="shared" si="5"/>
        <v>252002.8986381357</v>
      </c>
      <c r="W34" s="5">
        <f t="shared" si="10"/>
        <v>252002.8986381357</v>
      </c>
      <c r="Z34" s="5">
        <f t="shared" si="7"/>
        <v>244122.10136186448</v>
      </c>
      <c r="AA34" s="5">
        <f t="shared" si="11"/>
        <v>244122.10136186448</v>
      </c>
      <c r="AD34" s="5">
        <v>188739.83986484318</v>
      </c>
      <c r="AE34" s="5">
        <f t="shared" si="22"/>
        <v>188739.83986484318</v>
      </c>
      <c r="AG34" s="3"/>
      <c r="AH34" s="3">
        <f t="shared" si="12"/>
        <v>76160.160135156882</v>
      </c>
      <c r="AI34" s="5">
        <f t="shared" si="13"/>
        <v>76160.160135156882</v>
      </c>
      <c r="AJ34" s="5"/>
      <c r="AK34" s="5"/>
      <c r="AL34" s="5">
        <f t="shared" si="14"/>
        <v>52.071448445378735</v>
      </c>
      <c r="AM34" s="5">
        <f t="shared" si="24"/>
        <v>52.071448445378735</v>
      </c>
      <c r="AP34" s="5">
        <f t="shared" si="15"/>
        <v>2432.5912052333169</v>
      </c>
      <c r="AQ34" s="5">
        <f t="shared" si="26"/>
        <v>2432.5912052333169</v>
      </c>
      <c r="AS34" s="5"/>
      <c r="AT34" s="5"/>
      <c r="AU34" s="5"/>
      <c r="AV34" s="5"/>
      <c r="AY34" s="5">
        <f t="shared" si="16"/>
        <v>809.28484639652993</v>
      </c>
      <c r="AZ34" s="5">
        <f t="shared" si="27"/>
        <v>809.28484639652993</v>
      </c>
      <c r="BC34" s="5">
        <f t="shared" si="17"/>
        <v>56340.326340002939</v>
      </c>
      <c r="BD34" s="5">
        <f t="shared" si="28"/>
        <v>56340.326340002939</v>
      </c>
      <c r="BG34" s="5">
        <f t="shared" si="18"/>
        <v>14922.727053164861</v>
      </c>
      <c r="BH34" s="5">
        <f t="shared" si="29"/>
        <v>14922.727053164861</v>
      </c>
      <c r="BK34" s="5">
        <f t="shared" si="19"/>
        <v>361.33356553371931</v>
      </c>
      <c r="BL34" s="5">
        <f t="shared" si="30"/>
        <v>361.33356553371931</v>
      </c>
      <c r="BQ34" s="5"/>
      <c r="BS34" s="5">
        <f t="shared" si="20"/>
        <v>1241.8256763801476</v>
      </c>
      <c r="BT34" s="5">
        <f t="shared" si="21"/>
        <v>1241.8256763801476</v>
      </c>
    </row>
    <row r="35" spans="1:72" ht="12" customHeight="1" x14ac:dyDescent="0.2">
      <c r="A35" s="25">
        <v>12875</v>
      </c>
      <c r="C35" s="3">
        <v>1475000</v>
      </c>
      <c r="D35" s="3">
        <v>496125</v>
      </c>
      <c r="E35" s="3">
        <v>1985000</v>
      </c>
      <c r="F35" s="3">
        <v>264900</v>
      </c>
      <c r="I35" s="3">
        <f>C35+E35+G35</f>
        <v>3460000</v>
      </c>
      <c r="J35" s="3">
        <f t="shared" si="0"/>
        <v>761025</v>
      </c>
      <c r="K35" s="3">
        <f t="shared" si="2"/>
        <v>4221025</v>
      </c>
      <c r="M35" s="3"/>
      <c r="N35" s="3"/>
      <c r="Q35" s="3">
        <f>U35+Y35+BN35</f>
        <v>1475000.0000000005</v>
      </c>
      <c r="R35" s="3">
        <f t="shared" si="1"/>
        <v>496125.00000000017</v>
      </c>
      <c r="S35" s="5">
        <f t="shared" si="9"/>
        <v>1971125.0000000007</v>
      </c>
      <c r="U35" s="5">
        <f t="shared" si="4"/>
        <v>749214.96697656868</v>
      </c>
      <c r="V35" s="5">
        <f t="shared" si="5"/>
        <v>252002.8986381357</v>
      </c>
      <c r="W35" s="5">
        <f t="shared" si="10"/>
        <v>1001217.8656147043</v>
      </c>
      <c r="Y35" s="5">
        <f t="shared" si="6"/>
        <v>725785.03302343178</v>
      </c>
      <c r="Z35" s="5">
        <f t="shared" si="7"/>
        <v>244122.10136186448</v>
      </c>
      <c r="AA35" s="5">
        <f t="shared" si="11"/>
        <v>969907.13438529626</v>
      </c>
      <c r="AC35" s="5">
        <v>1414301.9333020523</v>
      </c>
      <c r="AD35" s="5">
        <v>188739.83986484318</v>
      </c>
      <c r="AE35" s="5">
        <f t="shared" si="22"/>
        <v>1603041.7731668954</v>
      </c>
      <c r="AG35" s="3">
        <f>+AS35+BR35+AX35+BB35+BF35+BJ35+AK35+AO35</f>
        <v>570698.06669794815</v>
      </c>
      <c r="AH35" s="3">
        <f t="shared" si="12"/>
        <v>76160.160135156882</v>
      </c>
      <c r="AI35" s="5">
        <f t="shared" si="13"/>
        <v>646858.22683310509</v>
      </c>
      <c r="AJ35" s="5"/>
      <c r="AK35" s="5">
        <f t="shared" si="23"/>
        <v>390.1918654740536</v>
      </c>
      <c r="AL35" s="5">
        <f t="shared" si="14"/>
        <v>52.071448445378735</v>
      </c>
      <c r="AM35" s="5">
        <f t="shared" si="24"/>
        <v>442.26331391943233</v>
      </c>
      <c r="AO35" s="5">
        <f t="shared" si="25"/>
        <v>18228.363693424442</v>
      </c>
      <c r="AP35" s="5">
        <f t="shared" si="15"/>
        <v>2432.5912052333169</v>
      </c>
      <c r="AQ35" s="5">
        <f t="shared" si="26"/>
        <v>20660.954898657757</v>
      </c>
      <c r="AS35" s="5"/>
      <c r="AT35" s="5"/>
      <c r="AU35" s="5"/>
      <c r="AV35" s="5"/>
      <c r="AX35" s="5">
        <f>E35*$AY$8</f>
        <v>6064.2899965915894</v>
      </c>
      <c r="AY35" s="5">
        <f t="shared" si="16"/>
        <v>809.28484639652993</v>
      </c>
      <c r="AZ35" s="5">
        <f t="shared" si="27"/>
        <v>6873.5748429881196</v>
      </c>
      <c r="BB35" s="5">
        <f>E35*$BC$8</f>
        <v>422180.24833864038</v>
      </c>
      <c r="BC35" s="5">
        <f t="shared" si="17"/>
        <v>56340.326340002939</v>
      </c>
      <c r="BD35" s="5">
        <f t="shared" si="28"/>
        <v>478520.57467864332</v>
      </c>
      <c r="BF35" s="5">
        <f>E35*$BG$8</f>
        <v>111821.86938668271</v>
      </c>
      <c r="BG35" s="5">
        <f t="shared" si="18"/>
        <v>14922.727053164861</v>
      </c>
      <c r="BH35" s="5">
        <f t="shared" si="29"/>
        <v>126744.59643984758</v>
      </c>
      <c r="BJ35" s="5">
        <f>E35*$BK$8</f>
        <v>2707.6146756679232</v>
      </c>
      <c r="BK35" s="5">
        <f t="shared" si="19"/>
        <v>361.33356553371931</v>
      </c>
      <c r="BL35" s="5">
        <f t="shared" si="30"/>
        <v>3068.9482412016423</v>
      </c>
      <c r="BQ35" s="5"/>
      <c r="BR35" s="5">
        <f>E35*$BS$8</f>
        <v>9305.4887414669429</v>
      </c>
      <c r="BS35" s="5">
        <f t="shared" si="20"/>
        <v>1241.8256763801476</v>
      </c>
      <c r="BT35" s="5">
        <f t="shared" si="21"/>
        <v>10547.31441784709</v>
      </c>
    </row>
    <row r="36" spans="1:72" ht="12" customHeight="1" x14ac:dyDescent="0.2">
      <c r="A36" s="25">
        <v>13058</v>
      </c>
      <c r="D36" s="3">
        <v>474000</v>
      </c>
      <c r="F36" s="3">
        <v>235125</v>
      </c>
      <c r="J36" s="3">
        <f t="shared" si="0"/>
        <v>709125</v>
      </c>
      <c r="K36" s="3">
        <f t="shared" si="2"/>
        <v>709125</v>
      </c>
      <c r="M36" s="3"/>
      <c r="N36" s="3"/>
      <c r="Q36" s="3"/>
      <c r="R36" s="3">
        <f t="shared" si="1"/>
        <v>474000.00000000012</v>
      </c>
      <c r="S36" s="5">
        <f t="shared" si="9"/>
        <v>474000.00000000012</v>
      </c>
      <c r="U36" s="5"/>
      <c r="V36" s="5">
        <f t="shared" si="5"/>
        <v>240764.67413348716</v>
      </c>
      <c r="W36" s="5">
        <f t="shared" si="10"/>
        <v>240764.67413348716</v>
      </c>
      <c r="Z36" s="5">
        <f t="shared" si="7"/>
        <v>233235.32586651298</v>
      </c>
      <c r="AA36" s="5">
        <f t="shared" si="11"/>
        <v>233235.32586651298</v>
      </c>
      <c r="AD36" s="5">
        <v>167525.31086531235</v>
      </c>
      <c r="AE36" s="5">
        <f t="shared" si="22"/>
        <v>167525.31086531235</v>
      </c>
      <c r="AG36" s="3"/>
      <c r="AH36" s="3">
        <f t="shared" si="12"/>
        <v>67599.689134687666</v>
      </c>
      <c r="AI36" s="5">
        <f t="shared" si="13"/>
        <v>67599.689134687666</v>
      </c>
      <c r="AJ36" s="5"/>
      <c r="AK36" s="5"/>
      <c r="AL36" s="5">
        <f t="shared" si="14"/>
        <v>46.21857046326793</v>
      </c>
      <c r="AM36" s="5">
        <f t="shared" si="24"/>
        <v>46.21857046326793</v>
      </c>
      <c r="AP36" s="5">
        <f t="shared" si="15"/>
        <v>2159.1657498319505</v>
      </c>
      <c r="AQ36" s="5">
        <f t="shared" si="26"/>
        <v>2159.1657498319505</v>
      </c>
      <c r="AS36" s="5"/>
      <c r="AT36" s="5"/>
      <c r="AU36" s="5"/>
      <c r="AV36" s="5"/>
      <c r="AY36" s="5">
        <f t="shared" si="16"/>
        <v>718.32049644765618</v>
      </c>
      <c r="AZ36" s="5">
        <f t="shared" si="27"/>
        <v>718.32049644765618</v>
      </c>
      <c r="BC36" s="5">
        <f t="shared" si="17"/>
        <v>50007.622614923333</v>
      </c>
      <c r="BD36" s="5">
        <f t="shared" si="28"/>
        <v>50007.622614923333</v>
      </c>
      <c r="BG36" s="5">
        <f t="shared" si="18"/>
        <v>13245.39901236462</v>
      </c>
      <c r="BH36" s="5">
        <f t="shared" si="29"/>
        <v>13245.39901236462</v>
      </c>
      <c r="BK36" s="5">
        <f t="shared" si="19"/>
        <v>320.71934539870045</v>
      </c>
      <c r="BL36" s="5">
        <f t="shared" si="30"/>
        <v>320.71934539870045</v>
      </c>
      <c r="BQ36" s="5"/>
      <c r="BS36" s="5">
        <f t="shared" si="20"/>
        <v>1102.2433452581436</v>
      </c>
      <c r="BT36" s="5">
        <f t="shared" si="21"/>
        <v>1102.2433452581436</v>
      </c>
    </row>
    <row r="37" spans="1:72" ht="12" customHeight="1" x14ac:dyDescent="0.2">
      <c r="A37" s="25">
        <v>13241</v>
      </c>
      <c r="C37" s="3">
        <v>1520000</v>
      </c>
      <c r="D37" s="3">
        <v>474000</v>
      </c>
      <c r="E37" s="3">
        <v>2045000</v>
      </c>
      <c r="F37" s="3">
        <v>235125</v>
      </c>
      <c r="I37" s="3">
        <f>C37+E37+G37</f>
        <v>3565000</v>
      </c>
      <c r="J37" s="3">
        <f t="shared" si="0"/>
        <v>709125</v>
      </c>
      <c r="K37" s="3">
        <f t="shared" si="2"/>
        <v>4274125</v>
      </c>
      <c r="M37" s="3"/>
      <c r="N37" s="3"/>
      <c r="Q37" s="3">
        <f>U37+Y37+BN37</f>
        <v>1520000.0000000005</v>
      </c>
      <c r="R37" s="3">
        <f t="shared" si="1"/>
        <v>474000.00000000012</v>
      </c>
      <c r="S37" s="5">
        <f t="shared" si="9"/>
        <v>1994000.0000000005</v>
      </c>
      <c r="U37" s="5">
        <f t="shared" si="4"/>
        <v>772072.37274873524</v>
      </c>
      <c r="V37" s="5">
        <f t="shared" si="5"/>
        <v>240764.67413348716</v>
      </c>
      <c r="W37" s="5">
        <f t="shared" si="10"/>
        <v>1012837.0468822224</v>
      </c>
      <c r="Y37" s="5">
        <f t="shared" si="6"/>
        <v>747927.62725126534</v>
      </c>
      <c r="Z37" s="5">
        <f t="shared" si="7"/>
        <v>233235.32586651298</v>
      </c>
      <c r="AA37" s="5">
        <f t="shared" si="11"/>
        <v>981162.95311777829</v>
      </c>
      <c r="AC37" s="5">
        <v>1457051.6139056406</v>
      </c>
      <c r="AD37" s="5">
        <v>167525.31086531235</v>
      </c>
      <c r="AE37" s="5">
        <f t="shared" si="22"/>
        <v>1624576.9247709529</v>
      </c>
      <c r="AG37" s="3">
        <f>+AS37+BR37+AX37+BB37+BF37+BJ37+AK37+AO37</f>
        <v>587948.38609435945</v>
      </c>
      <c r="AH37" s="3">
        <f t="shared" si="12"/>
        <v>67599.689134687666</v>
      </c>
      <c r="AI37" s="5">
        <f t="shared" si="13"/>
        <v>655548.0752290471</v>
      </c>
      <c r="AJ37" s="5"/>
      <c r="AK37" s="5">
        <f t="shared" si="23"/>
        <v>401.98607803246324</v>
      </c>
      <c r="AL37" s="5">
        <f t="shared" si="14"/>
        <v>46.21857046326793</v>
      </c>
      <c r="AM37" s="5">
        <f t="shared" si="24"/>
        <v>448.20464849573119</v>
      </c>
      <c r="AO37" s="5">
        <f t="shared" si="25"/>
        <v>18779.346978868001</v>
      </c>
      <c r="AP37" s="5">
        <f t="shared" si="15"/>
        <v>2159.1657498319505</v>
      </c>
      <c r="AQ37" s="5">
        <f t="shared" si="26"/>
        <v>20938.512728699952</v>
      </c>
      <c r="AS37" s="5"/>
      <c r="AT37" s="5"/>
      <c r="AU37" s="5"/>
      <c r="AV37" s="5"/>
      <c r="AX37" s="5">
        <f>E37*$AY$8</f>
        <v>6247.5934725590932</v>
      </c>
      <c r="AY37" s="5">
        <f t="shared" si="16"/>
        <v>718.32049644765618</v>
      </c>
      <c r="AZ37" s="5">
        <f t="shared" si="27"/>
        <v>6965.9139690067495</v>
      </c>
      <c r="BB37" s="5">
        <f>E37*$BC$8</f>
        <v>434941.36415744055</v>
      </c>
      <c r="BC37" s="5">
        <f t="shared" si="17"/>
        <v>50007.622614923333</v>
      </c>
      <c r="BD37" s="5">
        <f t="shared" si="28"/>
        <v>484948.98677236389</v>
      </c>
      <c r="BF37" s="5">
        <f>E37*$BG$8</f>
        <v>115201.87551423987</v>
      </c>
      <c r="BG37" s="5">
        <f t="shared" si="18"/>
        <v>13245.39901236462</v>
      </c>
      <c r="BH37" s="5">
        <f t="shared" si="29"/>
        <v>128447.27452660449</v>
      </c>
      <c r="BJ37" s="5">
        <f>E37*$BK$8</f>
        <v>2789.4569328669536</v>
      </c>
      <c r="BK37" s="5">
        <f t="shared" si="19"/>
        <v>320.71934539870045</v>
      </c>
      <c r="BL37" s="5">
        <f t="shared" si="30"/>
        <v>3110.1762782656542</v>
      </c>
      <c r="BQ37" s="5"/>
      <c r="BR37" s="5">
        <f>E37*$BS$8</f>
        <v>9586.7629603525929</v>
      </c>
      <c r="BS37" s="5">
        <f t="shared" si="20"/>
        <v>1102.2433452581436</v>
      </c>
      <c r="BT37" s="5">
        <f t="shared" si="21"/>
        <v>10689.006305610736</v>
      </c>
    </row>
    <row r="38" spans="1:72" ht="12" customHeight="1" x14ac:dyDescent="0.2">
      <c r="A38" s="25">
        <v>13424</v>
      </c>
      <c r="D38" s="3">
        <v>451200</v>
      </c>
      <c r="F38" s="3">
        <v>204450</v>
      </c>
      <c r="J38" s="3">
        <f t="shared" si="0"/>
        <v>655650</v>
      </c>
      <c r="K38" s="3">
        <f t="shared" si="2"/>
        <v>655650</v>
      </c>
      <c r="M38" s="3"/>
      <c r="N38" s="3"/>
      <c r="Q38" s="3"/>
      <c r="R38" s="3">
        <f t="shared" si="1"/>
        <v>451200.00000000012</v>
      </c>
      <c r="S38" s="5">
        <f t="shared" si="9"/>
        <v>451200.00000000012</v>
      </c>
      <c r="U38" s="5"/>
      <c r="V38" s="5">
        <f t="shared" si="5"/>
        <v>229183.58854225613</v>
      </c>
      <c r="W38" s="5">
        <f t="shared" si="10"/>
        <v>229183.58854225613</v>
      </c>
      <c r="Z38" s="5">
        <f t="shared" si="7"/>
        <v>222016.41145774402</v>
      </c>
      <c r="AA38" s="5">
        <f t="shared" si="11"/>
        <v>222016.41145774402</v>
      </c>
      <c r="AD38" s="5">
        <v>145669.53665672772</v>
      </c>
      <c r="AE38" s="5">
        <f t="shared" si="22"/>
        <v>145669.53665672772</v>
      </c>
      <c r="AG38" s="3"/>
      <c r="AH38" s="3">
        <f t="shared" si="12"/>
        <v>58780.463343272284</v>
      </c>
      <c r="AI38" s="5">
        <f t="shared" si="13"/>
        <v>58780.463343272284</v>
      </c>
      <c r="AJ38" s="5"/>
      <c r="AK38" s="5"/>
      <c r="AL38" s="5">
        <f t="shared" si="14"/>
        <v>40.188779292780985</v>
      </c>
      <c r="AM38" s="5">
        <f t="shared" si="24"/>
        <v>40.188779292780985</v>
      </c>
      <c r="AP38" s="5">
        <f t="shared" si="15"/>
        <v>1877.4755451489305</v>
      </c>
      <c r="AQ38" s="5">
        <f t="shared" si="26"/>
        <v>1877.4755451489305</v>
      </c>
      <c r="AS38" s="5"/>
      <c r="AT38" s="5"/>
      <c r="AU38" s="5"/>
      <c r="AV38" s="5"/>
      <c r="AY38" s="5">
        <f t="shared" si="16"/>
        <v>624.60659435926971</v>
      </c>
      <c r="AZ38" s="5">
        <f t="shared" si="27"/>
        <v>624.60659435926971</v>
      </c>
      <c r="BC38" s="5">
        <f t="shared" si="17"/>
        <v>43483.502152561719</v>
      </c>
      <c r="BD38" s="5">
        <f t="shared" si="28"/>
        <v>43483.502152561719</v>
      </c>
      <c r="BG38" s="5">
        <f t="shared" si="18"/>
        <v>11517.370879651022</v>
      </c>
      <c r="BH38" s="5">
        <f t="shared" si="29"/>
        <v>11517.370879651022</v>
      </c>
      <c r="BK38" s="5">
        <f t="shared" si="19"/>
        <v>278.87749140569616</v>
      </c>
      <c r="BL38" s="5">
        <f t="shared" si="30"/>
        <v>278.87749140569616</v>
      </c>
      <c r="BQ38" s="5"/>
      <c r="BS38" s="5">
        <f t="shared" si="20"/>
        <v>958.44190085285459</v>
      </c>
      <c r="BT38" s="5">
        <f t="shared" si="21"/>
        <v>958.44190085285459</v>
      </c>
    </row>
    <row r="39" spans="1:72" ht="12" customHeight="1" x14ac:dyDescent="0.2">
      <c r="A39" s="25">
        <v>13606</v>
      </c>
      <c r="C39" s="3">
        <v>1565000</v>
      </c>
      <c r="D39" s="3">
        <v>451200</v>
      </c>
      <c r="E39" s="3">
        <v>2105000</v>
      </c>
      <c r="F39" s="3">
        <v>204450</v>
      </c>
      <c r="I39" s="3">
        <f>C39+E39+G39</f>
        <v>3670000</v>
      </c>
      <c r="J39" s="3">
        <f t="shared" si="0"/>
        <v>655650</v>
      </c>
      <c r="K39" s="3">
        <f t="shared" si="2"/>
        <v>4325650</v>
      </c>
      <c r="M39" s="3"/>
      <c r="N39" s="3"/>
      <c r="Q39" s="3">
        <f>U39+Y39+BN39</f>
        <v>1565000.0000000005</v>
      </c>
      <c r="R39" s="3">
        <f t="shared" si="1"/>
        <v>451200.00000000012</v>
      </c>
      <c r="S39" s="5">
        <f t="shared" si="9"/>
        <v>2016200.0000000005</v>
      </c>
      <c r="U39" s="5">
        <f t="shared" si="4"/>
        <v>794929.77852090169</v>
      </c>
      <c r="V39" s="5">
        <f t="shared" si="5"/>
        <v>229183.58854225613</v>
      </c>
      <c r="W39" s="5">
        <f t="shared" si="10"/>
        <v>1024113.3670631578</v>
      </c>
      <c r="Y39" s="5">
        <f t="shared" si="6"/>
        <v>770070.22147909878</v>
      </c>
      <c r="Z39" s="5">
        <f t="shared" si="7"/>
        <v>222016.41145774402</v>
      </c>
      <c r="AA39" s="5">
        <f t="shared" si="11"/>
        <v>992086.63293684274</v>
      </c>
      <c r="AC39" s="5">
        <v>1499801.294509229</v>
      </c>
      <c r="AD39" s="5">
        <v>145669.53665672772</v>
      </c>
      <c r="AE39" s="5">
        <f t="shared" si="22"/>
        <v>1645470.8311659568</v>
      </c>
      <c r="AG39" s="3">
        <f>+AS39+BR39+AX39+BB39+BF39+BJ39+AK39+AO39</f>
        <v>605198.70549077087</v>
      </c>
      <c r="AH39" s="3">
        <f t="shared" si="12"/>
        <v>58780.463343272284</v>
      </c>
      <c r="AI39" s="5">
        <f t="shared" si="13"/>
        <v>663979.1688340432</v>
      </c>
      <c r="AJ39" s="5"/>
      <c r="AK39" s="5">
        <f t="shared" si="23"/>
        <v>413.78029059087294</v>
      </c>
      <c r="AL39" s="5">
        <f t="shared" si="14"/>
        <v>40.188779292780985</v>
      </c>
      <c r="AM39" s="5">
        <f t="shared" si="24"/>
        <v>453.9690698836539</v>
      </c>
      <c r="AO39" s="5">
        <f t="shared" si="25"/>
        <v>19330.33026431156</v>
      </c>
      <c r="AP39" s="5">
        <f t="shared" si="15"/>
        <v>1877.4755451489305</v>
      </c>
      <c r="AQ39" s="5">
        <f t="shared" si="26"/>
        <v>21207.805809460489</v>
      </c>
      <c r="AS39" s="5"/>
      <c r="AT39" s="5"/>
      <c r="AU39" s="5"/>
      <c r="AV39" s="5"/>
      <c r="AX39" s="5">
        <f>E39*$AY$8</f>
        <v>6430.896948526597</v>
      </c>
      <c r="AY39" s="5">
        <f t="shared" si="16"/>
        <v>624.60659435926971</v>
      </c>
      <c r="AZ39" s="5">
        <f t="shared" si="27"/>
        <v>7055.5035428858664</v>
      </c>
      <c r="BB39" s="5">
        <f>E39*$BC$8</f>
        <v>447702.47997624078</v>
      </c>
      <c r="BC39" s="5">
        <f t="shared" si="17"/>
        <v>43483.502152561719</v>
      </c>
      <c r="BD39" s="5">
        <f t="shared" si="28"/>
        <v>491185.98212880251</v>
      </c>
      <c r="BF39" s="5">
        <f>E39*$BG$8</f>
        <v>118581.88164179702</v>
      </c>
      <c r="BG39" s="5">
        <f t="shared" si="18"/>
        <v>11517.370879651022</v>
      </c>
      <c r="BH39" s="5">
        <f t="shared" si="29"/>
        <v>130099.25252144804</v>
      </c>
      <c r="BJ39" s="5">
        <f>E39*$BK$8</f>
        <v>2871.299190065984</v>
      </c>
      <c r="BK39" s="5">
        <f t="shared" si="19"/>
        <v>278.87749140569616</v>
      </c>
      <c r="BL39" s="5">
        <f t="shared" si="30"/>
        <v>3150.1766814716802</v>
      </c>
      <c r="BQ39" s="5"/>
      <c r="BR39" s="5">
        <f>E39*$BS$8</f>
        <v>9868.037179238243</v>
      </c>
      <c r="BS39" s="5">
        <f t="shared" si="20"/>
        <v>958.44190085285459</v>
      </c>
      <c r="BT39" s="5">
        <f t="shared" si="21"/>
        <v>10826.479080091098</v>
      </c>
    </row>
    <row r="40" spans="1:72" ht="12" customHeight="1" x14ac:dyDescent="0.2">
      <c r="A40" s="25">
        <v>13789</v>
      </c>
      <c r="D40" s="3">
        <v>427725</v>
      </c>
      <c r="F40" s="3">
        <v>172875</v>
      </c>
      <c r="J40" s="3">
        <f t="shared" si="0"/>
        <v>600600</v>
      </c>
      <c r="K40" s="3">
        <f t="shared" si="2"/>
        <v>600600</v>
      </c>
      <c r="M40" s="3"/>
      <c r="N40" s="3"/>
      <c r="Q40" s="3"/>
      <c r="R40" s="3">
        <f t="shared" si="1"/>
        <v>427725.00000000012</v>
      </c>
      <c r="S40" s="5">
        <f t="shared" si="9"/>
        <v>427725.00000000012</v>
      </c>
      <c r="U40" s="5"/>
      <c r="V40" s="5">
        <f t="shared" si="5"/>
        <v>217259.64186444262</v>
      </c>
      <c r="W40" s="5">
        <f t="shared" si="10"/>
        <v>217259.64186444262</v>
      </c>
      <c r="Z40" s="5">
        <f t="shared" si="7"/>
        <v>210465.35813555753</v>
      </c>
      <c r="AA40" s="5">
        <f t="shared" si="11"/>
        <v>210465.35813555753</v>
      </c>
      <c r="AD40" s="5">
        <v>123172.51723908931</v>
      </c>
      <c r="AE40" s="5">
        <f t="shared" si="22"/>
        <v>123172.51723908931</v>
      </c>
      <c r="AG40" s="3"/>
      <c r="AH40" s="3">
        <f t="shared" si="12"/>
        <v>49702.482760910716</v>
      </c>
      <c r="AI40" s="5">
        <f t="shared" si="13"/>
        <v>49702.482760910716</v>
      </c>
      <c r="AJ40" s="5"/>
      <c r="AK40" s="5"/>
      <c r="AL40" s="5">
        <f t="shared" si="14"/>
        <v>33.982074933917893</v>
      </c>
      <c r="AM40" s="5">
        <f t="shared" si="24"/>
        <v>33.982074933917893</v>
      </c>
      <c r="AP40" s="5">
        <f t="shared" si="15"/>
        <v>1587.520591184257</v>
      </c>
      <c r="AQ40" s="5">
        <f t="shared" si="26"/>
        <v>1587.520591184257</v>
      </c>
      <c r="AS40" s="5"/>
      <c r="AT40" s="5"/>
      <c r="AU40" s="5"/>
      <c r="AV40" s="5"/>
      <c r="AY40" s="5">
        <f t="shared" si="16"/>
        <v>528.14314013137073</v>
      </c>
      <c r="AZ40" s="5">
        <f t="shared" si="27"/>
        <v>528.14314013137073</v>
      </c>
      <c r="BC40" s="5">
        <f t="shared" si="17"/>
        <v>36767.964952918112</v>
      </c>
      <c r="BD40" s="5">
        <f t="shared" si="28"/>
        <v>36767.964952918112</v>
      </c>
      <c r="BG40" s="5">
        <f t="shared" si="18"/>
        <v>9738.6426550240667</v>
      </c>
      <c r="BH40" s="5">
        <f t="shared" si="29"/>
        <v>9738.6426550240667</v>
      </c>
      <c r="BK40" s="5">
        <f t="shared" si="19"/>
        <v>235.8080035547064</v>
      </c>
      <c r="BL40" s="5">
        <f t="shared" si="30"/>
        <v>235.8080035547064</v>
      </c>
      <c r="BQ40" s="5"/>
      <c r="BS40" s="5">
        <f t="shared" si="20"/>
        <v>810.42134316428098</v>
      </c>
      <c r="BT40" s="5">
        <f t="shared" si="21"/>
        <v>810.42134316428098</v>
      </c>
    </row>
    <row r="41" spans="1:72" ht="12" customHeight="1" x14ac:dyDescent="0.2">
      <c r="A41" s="25">
        <v>13971</v>
      </c>
      <c r="C41" s="3">
        <v>1615000</v>
      </c>
      <c r="D41" s="3">
        <v>427725</v>
      </c>
      <c r="E41" s="3">
        <v>2170000</v>
      </c>
      <c r="F41" s="3">
        <v>172875</v>
      </c>
      <c r="I41" s="3">
        <f>C41+E41+G41</f>
        <v>3785000</v>
      </c>
      <c r="J41" s="3">
        <f t="shared" si="0"/>
        <v>600600</v>
      </c>
      <c r="K41" s="3">
        <f t="shared" si="2"/>
        <v>4385600</v>
      </c>
      <c r="M41" s="3"/>
      <c r="N41" s="3"/>
      <c r="Q41" s="3">
        <f>U41+Y41+BN41</f>
        <v>1615000.0000000005</v>
      </c>
      <c r="R41" s="3">
        <f t="shared" si="1"/>
        <v>427725.00000000012</v>
      </c>
      <c r="S41" s="5">
        <f t="shared" si="9"/>
        <v>2042725.0000000005</v>
      </c>
      <c r="U41" s="5">
        <f t="shared" si="4"/>
        <v>820326.89604553115</v>
      </c>
      <c r="V41" s="5">
        <f t="shared" si="5"/>
        <v>217259.64186444262</v>
      </c>
      <c r="W41" s="5">
        <f t="shared" si="10"/>
        <v>1037586.5379099738</v>
      </c>
      <c r="Y41" s="5">
        <f t="shared" si="6"/>
        <v>794673.10395446932</v>
      </c>
      <c r="Z41" s="5">
        <f t="shared" si="7"/>
        <v>210465.35813555753</v>
      </c>
      <c r="AA41" s="5">
        <f t="shared" si="11"/>
        <v>1005138.4620900268</v>
      </c>
      <c r="AC41" s="5">
        <v>1546113.44849645</v>
      </c>
      <c r="AD41" s="5">
        <v>123172.51723908931</v>
      </c>
      <c r="AE41" s="5">
        <f t="shared" si="22"/>
        <v>1669285.9657355393</v>
      </c>
      <c r="AG41" s="3">
        <f>+AS41+BR41+AX41+BB41+BF41+BJ41+AK41+AO41</f>
        <v>623886.55150355026</v>
      </c>
      <c r="AH41" s="3">
        <f t="shared" si="12"/>
        <v>49702.482760910716</v>
      </c>
      <c r="AI41" s="5">
        <f t="shared" si="13"/>
        <v>673589.03426446102</v>
      </c>
      <c r="AJ41" s="5"/>
      <c r="AK41" s="5">
        <f t="shared" si="23"/>
        <v>426.55735419581674</v>
      </c>
      <c r="AL41" s="5">
        <f t="shared" si="14"/>
        <v>33.982074933917893</v>
      </c>
      <c r="AM41" s="5">
        <f t="shared" si="24"/>
        <v>460.53942912973463</v>
      </c>
      <c r="AO41" s="5">
        <f t="shared" si="25"/>
        <v>19927.228823542086</v>
      </c>
      <c r="AP41" s="5">
        <f t="shared" si="15"/>
        <v>1587.520591184257</v>
      </c>
      <c r="AQ41" s="5">
        <f t="shared" si="26"/>
        <v>21514.749414726342</v>
      </c>
      <c r="AS41" s="5"/>
      <c r="AT41" s="5"/>
      <c r="AU41" s="5"/>
      <c r="AV41" s="5"/>
      <c r="AX41" s="5">
        <f>E41*$AY$8</f>
        <v>6629.4757141580594</v>
      </c>
      <c r="AY41" s="5">
        <f t="shared" si="16"/>
        <v>528.14314013137073</v>
      </c>
      <c r="AZ41" s="5">
        <f t="shared" si="27"/>
        <v>7157.6188542894306</v>
      </c>
      <c r="BB41" s="5">
        <f>E41*$BC$8</f>
        <v>461527.02211327432</v>
      </c>
      <c r="BC41" s="5">
        <f t="shared" si="17"/>
        <v>36767.964952918112</v>
      </c>
      <c r="BD41" s="5">
        <f t="shared" si="28"/>
        <v>498294.98706619244</v>
      </c>
      <c r="BF41" s="5">
        <f>E41*$BG$8</f>
        <v>122243.55494665062</v>
      </c>
      <c r="BG41" s="5">
        <f t="shared" si="18"/>
        <v>9738.6426550240667</v>
      </c>
      <c r="BH41" s="5">
        <f t="shared" si="29"/>
        <v>131982.19760167468</v>
      </c>
      <c r="BJ41" s="5">
        <f>E41*$BK$8</f>
        <v>2959.9616353649335</v>
      </c>
      <c r="BK41" s="5">
        <f t="shared" si="19"/>
        <v>235.8080035547064</v>
      </c>
      <c r="BL41" s="5">
        <f t="shared" si="30"/>
        <v>3195.7696389196399</v>
      </c>
      <c r="BQ41" s="5"/>
      <c r="BR41" s="5">
        <f>E41*$BS$8</f>
        <v>10172.750916364364</v>
      </c>
      <c r="BS41" s="5">
        <f t="shared" si="20"/>
        <v>810.42134316428098</v>
      </c>
      <c r="BT41" s="5">
        <f t="shared" si="21"/>
        <v>10983.172259528645</v>
      </c>
    </row>
    <row r="42" spans="1:72" ht="12" customHeight="1" x14ac:dyDescent="0.2">
      <c r="A42" s="25">
        <v>14154</v>
      </c>
      <c r="D42" s="3">
        <v>403500</v>
      </c>
      <c r="F42" s="3">
        <v>140325</v>
      </c>
      <c r="J42" s="3">
        <f t="shared" ref="J42:J69" si="31">D42+F42+H42</f>
        <v>543825</v>
      </c>
      <c r="K42" s="3">
        <f t="shared" si="2"/>
        <v>543825</v>
      </c>
      <c r="M42" s="3"/>
      <c r="N42" s="3"/>
      <c r="Q42" s="3"/>
      <c r="R42" s="3">
        <f t="shared" ref="R42:R69" si="32">V42+Z42+BO42</f>
        <v>403500.00000000012</v>
      </c>
      <c r="S42" s="5">
        <f t="shared" si="9"/>
        <v>403500.00000000012</v>
      </c>
      <c r="U42" s="5"/>
      <c r="V42" s="5">
        <f t="shared" si="5"/>
        <v>204954.73842375964</v>
      </c>
      <c r="W42" s="5">
        <f t="shared" si="10"/>
        <v>204954.73842375964</v>
      </c>
      <c r="Z42" s="5">
        <f t="shared" si="7"/>
        <v>198545.2615762405</v>
      </c>
      <c r="AA42" s="5">
        <f t="shared" si="11"/>
        <v>198545.2615762405</v>
      </c>
      <c r="AD42" s="5">
        <v>99980.815511642562</v>
      </c>
      <c r="AE42" s="5">
        <f t="shared" si="22"/>
        <v>99980.815511642562</v>
      </c>
      <c r="AG42" s="3"/>
      <c r="AH42" s="3">
        <f t="shared" si="12"/>
        <v>40344.184488357467</v>
      </c>
      <c r="AI42" s="5">
        <f t="shared" si="13"/>
        <v>40344.184488357467</v>
      </c>
      <c r="AJ42" s="5"/>
      <c r="AK42" s="5"/>
      <c r="AL42" s="5">
        <f t="shared" si="14"/>
        <v>27.58371462098064</v>
      </c>
      <c r="AM42" s="5">
        <f t="shared" si="24"/>
        <v>27.58371462098064</v>
      </c>
      <c r="AP42" s="5">
        <f t="shared" si="15"/>
        <v>1288.6121588311257</v>
      </c>
      <c r="AQ42" s="5">
        <f t="shared" si="26"/>
        <v>1288.6121588311257</v>
      </c>
      <c r="AS42" s="5"/>
      <c r="AT42" s="5"/>
      <c r="AU42" s="5"/>
      <c r="AV42" s="5"/>
      <c r="AY42" s="5">
        <f t="shared" si="16"/>
        <v>428.7010044189999</v>
      </c>
      <c r="AZ42" s="5">
        <f t="shared" si="27"/>
        <v>428.7010044189999</v>
      </c>
      <c r="BC42" s="5">
        <f t="shared" si="17"/>
        <v>29845.059621218996</v>
      </c>
      <c r="BD42" s="5">
        <f t="shared" si="28"/>
        <v>29845.059621218996</v>
      </c>
      <c r="BG42" s="5">
        <f t="shared" si="18"/>
        <v>7904.9893308243081</v>
      </c>
      <c r="BH42" s="5">
        <f t="shared" si="29"/>
        <v>7904.9893308243081</v>
      </c>
      <c r="BK42" s="5">
        <f t="shared" si="19"/>
        <v>191.40857902423238</v>
      </c>
      <c r="BL42" s="5">
        <f t="shared" si="30"/>
        <v>191.40857902423238</v>
      </c>
      <c r="BQ42" s="5"/>
      <c r="BS42" s="5">
        <f t="shared" si="20"/>
        <v>657.83007941881544</v>
      </c>
      <c r="BT42" s="5">
        <f t="shared" si="21"/>
        <v>657.83007941881544</v>
      </c>
    </row>
    <row r="43" spans="1:72" ht="12" customHeight="1" x14ac:dyDescent="0.2">
      <c r="A43" s="25">
        <v>14336</v>
      </c>
      <c r="C43" s="3">
        <v>1665000</v>
      </c>
      <c r="D43" s="3">
        <v>403500</v>
      </c>
      <c r="E43" s="3">
        <v>2235000</v>
      </c>
      <c r="F43" s="3">
        <v>140325</v>
      </c>
      <c r="I43" s="3">
        <f>C43+E43+G43</f>
        <v>3900000</v>
      </c>
      <c r="J43" s="3">
        <f t="shared" si="31"/>
        <v>543825</v>
      </c>
      <c r="K43" s="3">
        <f t="shared" si="2"/>
        <v>4443825</v>
      </c>
      <c r="M43" s="3"/>
      <c r="N43" s="3"/>
      <c r="Q43" s="3">
        <f>U43+Y43+BN43</f>
        <v>1665000.0000000005</v>
      </c>
      <c r="R43" s="3">
        <f t="shared" si="32"/>
        <v>403500.00000000012</v>
      </c>
      <c r="S43" s="5">
        <f t="shared" si="9"/>
        <v>2068500.0000000005</v>
      </c>
      <c r="U43" s="5">
        <f t="shared" si="4"/>
        <v>845724.01357016061</v>
      </c>
      <c r="V43" s="5">
        <f t="shared" si="5"/>
        <v>204954.73842375964</v>
      </c>
      <c r="W43" s="5">
        <f t="shared" si="10"/>
        <v>1050678.7519939202</v>
      </c>
      <c r="Y43" s="5">
        <f t="shared" si="6"/>
        <v>819275.98642983998</v>
      </c>
      <c r="Z43" s="5">
        <f t="shared" si="7"/>
        <v>198545.2615762405</v>
      </c>
      <c r="AA43" s="5">
        <f t="shared" si="11"/>
        <v>1017821.2480060805</v>
      </c>
      <c r="AC43" s="5">
        <v>1592425.6024836707</v>
      </c>
      <c r="AD43" s="5">
        <v>99980.815511642562</v>
      </c>
      <c r="AE43" s="5">
        <f t="shared" si="22"/>
        <v>1692406.4179953132</v>
      </c>
      <c r="AG43" s="3">
        <f>+AS43+BR43+AX43+BB43+BF43+BJ43+AK43+AO43</f>
        <v>642574.39751632942</v>
      </c>
      <c r="AH43" s="3">
        <f t="shared" si="12"/>
        <v>40344.184488357467</v>
      </c>
      <c r="AI43" s="5">
        <f t="shared" si="13"/>
        <v>682918.58200468693</v>
      </c>
      <c r="AJ43" s="5"/>
      <c r="AK43" s="5">
        <f t="shared" si="23"/>
        <v>439.33441780076055</v>
      </c>
      <c r="AL43" s="5">
        <f t="shared" si="14"/>
        <v>27.58371462098064</v>
      </c>
      <c r="AM43" s="5">
        <f t="shared" si="24"/>
        <v>466.91813242174118</v>
      </c>
      <c r="AO43" s="5">
        <f t="shared" si="25"/>
        <v>20524.127382772607</v>
      </c>
      <c r="AP43" s="5">
        <f t="shared" si="15"/>
        <v>1288.6121588311257</v>
      </c>
      <c r="AQ43" s="5">
        <f t="shared" si="26"/>
        <v>21812.739541603733</v>
      </c>
      <c r="AS43" s="5"/>
      <c r="AT43" s="5"/>
      <c r="AU43" s="5"/>
      <c r="AV43" s="5"/>
      <c r="AX43" s="5">
        <f>E43*$AY$8</f>
        <v>6828.0544797895227</v>
      </c>
      <c r="AY43" s="5">
        <f t="shared" si="16"/>
        <v>428.7010044189999</v>
      </c>
      <c r="AZ43" s="5">
        <f t="shared" si="27"/>
        <v>7256.7554842085228</v>
      </c>
      <c r="BB43" s="5">
        <f>E43*$BC$8</f>
        <v>475351.56425030791</v>
      </c>
      <c r="BC43" s="5">
        <f t="shared" si="17"/>
        <v>29845.059621218996</v>
      </c>
      <c r="BD43" s="5">
        <f t="shared" si="28"/>
        <v>505196.62387152691</v>
      </c>
      <c r="BF43" s="5">
        <f>E43*$BG$8</f>
        <v>125905.2282515042</v>
      </c>
      <c r="BG43" s="5">
        <f t="shared" si="18"/>
        <v>7904.9893308243081</v>
      </c>
      <c r="BH43" s="5">
        <f t="shared" si="29"/>
        <v>133810.21758232851</v>
      </c>
      <c r="BJ43" s="5">
        <f>E43*$BK$8</f>
        <v>3048.624080663883</v>
      </c>
      <c r="BK43" s="5">
        <f t="shared" si="19"/>
        <v>191.40857902423238</v>
      </c>
      <c r="BL43" s="5">
        <f t="shared" si="30"/>
        <v>3240.0326596881155</v>
      </c>
      <c r="BQ43" s="5"/>
      <c r="BR43" s="5">
        <f>E43*$BS$8</f>
        <v>10477.464653490486</v>
      </c>
      <c r="BS43" s="5">
        <f t="shared" si="20"/>
        <v>657.83007941881544</v>
      </c>
      <c r="BT43" s="5">
        <f t="shared" si="21"/>
        <v>11135.294732909302</v>
      </c>
    </row>
    <row r="44" spans="1:72" ht="12" customHeight="1" x14ac:dyDescent="0.2">
      <c r="A44" s="25">
        <v>14519</v>
      </c>
      <c r="D44" s="3">
        <v>378525</v>
      </c>
      <c r="F44" s="3">
        <v>106800</v>
      </c>
      <c r="J44" s="3">
        <f t="shared" si="31"/>
        <v>485325</v>
      </c>
      <c r="K44" s="3">
        <f t="shared" si="2"/>
        <v>485325</v>
      </c>
      <c r="M44" s="3"/>
      <c r="N44" s="3"/>
      <c r="Q44" s="3"/>
      <c r="R44" s="3">
        <f t="shared" si="32"/>
        <v>378525.00000000012</v>
      </c>
      <c r="S44" s="5">
        <f t="shared" si="9"/>
        <v>378525.00000000012</v>
      </c>
      <c r="U44" s="5"/>
      <c r="V44" s="5">
        <f t="shared" si="5"/>
        <v>192268.87822020723</v>
      </c>
      <c r="W44" s="5">
        <f t="shared" si="10"/>
        <v>192268.87822020723</v>
      </c>
      <c r="Z44" s="5">
        <f t="shared" si="7"/>
        <v>186256.12177979288</v>
      </c>
      <c r="AA44" s="5">
        <f t="shared" si="11"/>
        <v>186256.12177979288</v>
      </c>
      <c r="AD44" s="5">
        <v>76094.4314743875</v>
      </c>
      <c r="AE44" s="5">
        <f t="shared" si="22"/>
        <v>76094.4314743875</v>
      </c>
      <c r="AG44" s="3"/>
      <c r="AH44" s="3">
        <f t="shared" si="12"/>
        <v>30705.568525612522</v>
      </c>
      <c r="AI44" s="5">
        <f t="shared" si="13"/>
        <v>30705.568525612522</v>
      </c>
      <c r="AJ44" s="5"/>
      <c r="AK44" s="5"/>
      <c r="AL44" s="5">
        <f t="shared" si="14"/>
        <v>20.993698353969229</v>
      </c>
      <c r="AM44" s="5">
        <f t="shared" si="24"/>
        <v>20.993698353969229</v>
      </c>
      <c r="AP44" s="5">
        <f t="shared" si="15"/>
        <v>980.75024808953663</v>
      </c>
      <c r="AQ44" s="5">
        <f t="shared" si="26"/>
        <v>980.75024808953663</v>
      </c>
      <c r="AS44" s="5"/>
      <c r="AT44" s="5"/>
      <c r="AU44" s="5"/>
      <c r="AV44" s="5"/>
      <c r="AY44" s="5">
        <f t="shared" si="16"/>
        <v>326.28018722215705</v>
      </c>
      <c r="AZ44" s="5">
        <f t="shared" si="27"/>
        <v>326.28018722215705</v>
      </c>
      <c r="BC44" s="5">
        <f t="shared" si="17"/>
        <v>22714.786157464379</v>
      </c>
      <c r="BD44" s="5">
        <f t="shared" si="28"/>
        <v>22714.786157464379</v>
      </c>
      <c r="BG44" s="5">
        <f t="shared" si="18"/>
        <v>6016.4109070517443</v>
      </c>
      <c r="BH44" s="5">
        <f t="shared" si="29"/>
        <v>6016.4109070517443</v>
      </c>
      <c r="BK44" s="5">
        <f t="shared" si="19"/>
        <v>145.67921781427415</v>
      </c>
      <c r="BL44" s="5">
        <f t="shared" si="30"/>
        <v>145.67921781427415</v>
      </c>
      <c r="BQ44" s="5"/>
      <c r="BS44" s="5">
        <f t="shared" si="20"/>
        <v>500.66810961645814</v>
      </c>
      <c r="BT44" s="5">
        <f t="shared" si="21"/>
        <v>500.66810961645814</v>
      </c>
    </row>
    <row r="45" spans="1:72" ht="12" customHeight="1" x14ac:dyDescent="0.2">
      <c r="A45" s="25">
        <v>14702</v>
      </c>
      <c r="C45" s="3">
        <v>1715000</v>
      </c>
      <c r="D45" s="3">
        <v>378525</v>
      </c>
      <c r="E45" s="3">
        <v>2305000</v>
      </c>
      <c r="F45" s="3">
        <v>106800</v>
      </c>
      <c r="I45" s="3">
        <f>C45+E45+G45</f>
        <v>4020000</v>
      </c>
      <c r="J45" s="3">
        <f t="shared" si="31"/>
        <v>485325</v>
      </c>
      <c r="K45" s="3">
        <f t="shared" si="2"/>
        <v>4505325</v>
      </c>
      <c r="M45" s="3"/>
      <c r="N45" s="3"/>
      <c r="Q45" s="3">
        <f>U45+Y45+BN45</f>
        <v>1715000.0000000005</v>
      </c>
      <c r="R45" s="3">
        <f t="shared" si="32"/>
        <v>378525.00000000012</v>
      </c>
      <c r="S45" s="5">
        <f t="shared" si="9"/>
        <v>2093525.0000000005</v>
      </c>
      <c r="U45" s="5">
        <f t="shared" ref="U45:U69" si="33">C45*$U$8</f>
        <v>871121.13109479006</v>
      </c>
      <c r="V45" s="5">
        <f t="shared" ref="V45:V69" si="34">D45*$U$8</f>
        <v>192268.87822020723</v>
      </c>
      <c r="W45" s="5">
        <f t="shared" si="10"/>
        <v>1063390.0093149974</v>
      </c>
      <c r="Y45" s="5">
        <f t="shared" ref="Y45:Y69" si="35">C45*$Y$8</f>
        <v>843878.86890521052</v>
      </c>
      <c r="Z45" s="5">
        <f t="shared" ref="Z45:Z69" si="36">D45*$Y$8</f>
        <v>186256.12177979288</v>
      </c>
      <c r="AA45" s="5">
        <f t="shared" si="11"/>
        <v>1030134.9906850033</v>
      </c>
      <c r="AC45" s="5">
        <v>1642300.2298545241</v>
      </c>
      <c r="AD45" s="5">
        <v>76094.4314743875</v>
      </c>
      <c r="AE45" s="5">
        <f t="shared" si="22"/>
        <v>1718394.6613289115</v>
      </c>
      <c r="AG45" s="3">
        <f>+AS45+BR45+AX45+BB45+BF45+BJ45+AK45+AO45</f>
        <v>662699.77014547621</v>
      </c>
      <c r="AH45" s="3">
        <f t="shared" si="12"/>
        <v>30705.568525612522</v>
      </c>
      <c r="AI45" s="5">
        <f t="shared" si="13"/>
        <v>693405.33867108868</v>
      </c>
      <c r="AJ45" s="5"/>
      <c r="AK45" s="5">
        <f t="shared" si="23"/>
        <v>453.09433245223852</v>
      </c>
      <c r="AL45" s="5">
        <f t="shared" si="14"/>
        <v>20.993698353969229</v>
      </c>
      <c r="AM45" s="5">
        <f t="shared" si="24"/>
        <v>474.08803080620777</v>
      </c>
      <c r="AO45" s="5">
        <f t="shared" si="25"/>
        <v>21166.941215790095</v>
      </c>
      <c r="AP45" s="5">
        <f t="shared" si="15"/>
        <v>980.75024808953663</v>
      </c>
      <c r="AQ45" s="5">
        <f t="shared" si="26"/>
        <v>22147.691463879633</v>
      </c>
      <c r="AS45" s="5"/>
      <c r="AT45" s="5"/>
      <c r="AU45" s="5"/>
      <c r="AV45" s="5"/>
      <c r="AX45" s="5">
        <f>E45*$AY$8</f>
        <v>7041.9085350849437</v>
      </c>
      <c r="AY45" s="5">
        <f t="shared" si="16"/>
        <v>326.28018722215705</v>
      </c>
      <c r="AZ45" s="5">
        <f t="shared" si="27"/>
        <v>7368.1887223071008</v>
      </c>
      <c r="BB45" s="5">
        <f>E45*$BC$8</f>
        <v>490239.53270557482</v>
      </c>
      <c r="BC45" s="5">
        <f t="shared" si="17"/>
        <v>22714.786157464379</v>
      </c>
      <c r="BD45" s="5">
        <f t="shared" si="28"/>
        <v>512954.3188630392</v>
      </c>
      <c r="BF45" s="5">
        <f>E45*$BG$8</f>
        <v>129848.56873365423</v>
      </c>
      <c r="BG45" s="5">
        <f t="shared" si="18"/>
        <v>6016.4109070517443</v>
      </c>
      <c r="BH45" s="5">
        <f t="shared" si="29"/>
        <v>135864.97964070598</v>
      </c>
      <c r="BJ45" s="5">
        <f>E45*$BK$8</f>
        <v>3144.106714062752</v>
      </c>
      <c r="BK45" s="5">
        <f t="shared" si="19"/>
        <v>145.67921781427415</v>
      </c>
      <c r="BL45" s="5">
        <f t="shared" si="30"/>
        <v>3289.7859318770261</v>
      </c>
      <c r="BQ45" s="5"/>
      <c r="BR45" s="5">
        <f>E45*$BS$8</f>
        <v>10805.617908857079</v>
      </c>
      <c r="BS45" s="5">
        <f t="shared" si="20"/>
        <v>500.66810961645814</v>
      </c>
      <c r="BT45" s="5">
        <f t="shared" si="21"/>
        <v>11306.286018473536</v>
      </c>
    </row>
    <row r="46" spans="1:72" ht="12" customHeight="1" x14ac:dyDescent="0.2">
      <c r="A46" s="25">
        <v>14885</v>
      </c>
      <c r="D46" s="3">
        <v>352800</v>
      </c>
      <c r="F46" s="3">
        <v>72225</v>
      </c>
      <c r="J46" s="3">
        <f t="shared" si="31"/>
        <v>425025</v>
      </c>
      <c r="K46" s="3">
        <f t="shared" si="2"/>
        <v>425025</v>
      </c>
      <c r="M46" s="3"/>
      <c r="N46" s="3"/>
      <c r="Q46" s="3"/>
      <c r="R46" s="3">
        <f t="shared" si="32"/>
        <v>352800.00000000012</v>
      </c>
      <c r="S46" s="5">
        <f t="shared" si="9"/>
        <v>352800.00000000012</v>
      </c>
      <c r="U46" s="5"/>
      <c r="V46" s="5">
        <f t="shared" si="34"/>
        <v>179202.06125378539</v>
      </c>
      <c r="W46" s="5">
        <f t="shared" si="10"/>
        <v>179202.06125378539</v>
      </c>
      <c r="Z46" s="5">
        <f t="shared" si="36"/>
        <v>173597.93874621473</v>
      </c>
      <c r="AA46" s="5">
        <f t="shared" si="11"/>
        <v>173597.93874621473</v>
      </c>
      <c r="AD46" s="5">
        <v>51459.928026569629</v>
      </c>
      <c r="AE46" s="5">
        <f t="shared" si="22"/>
        <v>51459.928026569629</v>
      </c>
      <c r="AG46" s="3"/>
      <c r="AH46" s="3">
        <f t="shared" si="12"/>
        <v>20765.071973430378</v>
      </c>
      <c r="AI46" s="5">
        <f t="shared" si="13"/>
        <v>20765.071973430378</v>
      </c>
      <c r="AJ46" s="5"/>
      <c r="AK46" s="5"/>
      <c r="AL46" s="5">
        <f t="shared" si="14"/>
        <v>14.197283367185651</v>
      </c>
      <c r="AM46" s="5">
        <f t="shared" si="24"/>
        <v>14.197283367185651</v>
      </c>
      <c r="AP46" s="5">
        <f t="shared" si="15"/>
        <v>663.24612985268527</v>
      </c>
      <c r="AQ46" s="5">
        <f t="shared" si="26"/>
        <v>663.24612985268527</v>
      </c>
      <c r="AS46" s="5"/>
      <c r="AT46" s="5"/>
      <c r="AU46" s="5"/>
      <c r="AV46" s="5"/>
      <c r="AY46" s="5">
        <f t="shared" si="16"/>
        <v>220.6515591958829</v>
      </c>
      <c r="AZ46" s="5">
        <f t="shared" si="27"/>
        <v>220.6515591958829</v>
      </c>
      <c r="BC46" s="5">
        <f t="shared" si="17"/>
        <v>15361.193166880756</v>
      </c>
      <c r="BD46" s="5">
        <f t="shared" si="28"/>
        <v>15361.193166880756</v>
      </c>
      <c r="BG46" s="5">
        <f t="shared" si="18"/>
        <v>4068.6823760469315</v>
      </c>
      <c r="BH46" s="5">
        <f t="shared" si="29"/>
        <v>4068.6823760469315</v>
      </c>
      <c r="BK46" s="5">
        <f t="shared" si="19"/>
        <v>98.517617103332867</v>
      </c>
      <c r="BL46" s="5">
        <f t="shared" si="30"/>
        <v>98.517617103332867</v>
      </c>
      <c r="BQ46" s="5"/>
      <c r="BS46" s="5">
        <f t="shared" si="20"/>
        <v>338.58384098360199</v>
      </c>
      <c r="BT46" s="5">
        <f t="shared" si="21"/>
        <v>338.58384098360199</v>
      </c>
    </row>
    <row r="47" spans="1:72" ht="12" customHeight="1" x14ac:dyDescent="0.2">
      <c r="A47" s="25">
        <v>15067</v>
      </c>
      <c r="C47" s="3">
        <v>1765000</v>
      </c>
      <c r="D47" s="3">
        <v>352800</v>
      </c>
      <c r="E47" s="3">
        <v>2370000</v>
      </c>
      <c r="F47" s="3">
        <v>72225</v>
      </c>
      <c r="I47" s="3">
        <f>C47+E47+G47</f>
        <v>4135000</v>
      </c>
      <c r="J47" s="3">
        <f t="shared" si="31"/>
        <v>425025</v>
      </c>
      <c r="K47" s="3">
        <f t="shared" si="2"/>
        <v>4560025</v>
      </c>
      <c r="M47" s="3"/>
      <c r="N47" s="3"/>
      <c r="Q47" s="3">
        <f>U47+Y47+BN47</f>
        <v>1765000.0000000005</v>
      </c>
      <c r="R47" s="3">
        <f t="shared" si="32"/>
        <v>352800.00000000012</v>
      </c>
      <c r="S47" s="5">
        <f t="shared" si="9"/>
        <v>2117800.0000000005</v>
      </c>
      <c r="U47" s="5">
        <f t="shared" si="33"/>
        <v>896518.24861941952</v>
      </c>
      <c r="V47" s="5">
        <f t="shared" si="34"/>
        <v>179202.06125378539</v>
      </c>
      <c r="W47" s="5">
        <f t="shared" si="10"/>
        <v>1075720.3098732049</v>
      </c>
      <c r="Y47" s="5">
        <f t="shared" si="35"/>
        <v>868481.75138058106</v>
      </c>
      <c r="Z47" s="5">
        <f t="shared" si="36"/>
        <v>173597.93874621473</v>
      </c>
      <c r="AA47" s="5">
        <f t="shared" si="11"/>
        <v>1042079.6901267958</v>
      </c>
      <c r="AC47" s="5">
        <v>1688612.3838417456</v>
      </c>
      <c r="AD47" s="5">
        <v>51459.928026569629</v>
      </c>
      <c r="AE47" s="5">
        <f t="shared" si="22"/>
        <v>1740072.3118683151</v>
      </c>
      <c r="AG47" s="3">
        <f>+AS47+BR47+AX47+BB47+BF47+BJ47+AK47+AO47</f>
        <v>681387.61615825538</v>
      </c>
      <c r="AH47" s="3">
        <f t="shared" si="12"/>
        <v>20765.071973430378</v>
      </c>
      <c r="AI47" s="5">
        <f t="shared" si="13"/>
        <v>702152.68813168572</v>
      </c>
      <c r="AJ47" s="5"/>
      <c r="AK47" s="5">
        <f t="shared" si="23"/>
        <v>465.87139605718238</v>
      </c>
      <c r="AL47" s="5">
        <f t="shared" si="14"/>
        <v>14.197283367185651</v>
      </c>
      <c r="AM47" s="5">
        <f t="shared" si="24"/>
        <v>480.06867942436804</v>
      </c>
      <c r="AO47" s="5">
        <f t="shared" si="25"/>
        <v>21763.839775020617</v>
      </c>
      <c r="AP47" s="5">
        <f t="shared" si="15"/>
        <v>663.24612985268527</v>
      </c>
      <c r="AQ47" s="5">
        <f t="shared" si="26"/>
        <v>22427.085904873304</v>
      </c>
      <c r="AS47" s="5"/>
      <c r="AT47" s="5"/>
      <c r="AU47" s="5"/>
      <c r="AV47" s="5"/>
      <c r="AX47" s="5">
        <f>E47*$AY$8</f>
        <v>7240.487300716406</v>
      </c>
      <c r="AY47" s="5">
        <f t="shared" si="16"/>
        <v>220.6515591958829</v>
      </c>
      <c r="AZ47" s="5">
        <f t="shared" si="27"/>
        <v>7461.1388599122893</v>
      </c>
      <c r="BB47" s="5">
        <f>E47*$BC$8</f>
        <v>504064.07484260836</v>
      </c>
      <c r="BC47" s="5">
        <f t="shared" si="17"/>
        <v>15361.193166880756</v>
      </c>
      <c r="BD47" s="5">
        <f t="shared" si="28"/>
        <v>519425.26800948911</v>
      </c>
      <c r="BF47" s="5">
        <f>E47*$BG$8</f>
        <v>133510.24203850783</v>
      </c>
      <c r="BG47" s="5">
        <f t="shared" si="18"/>
        <v>4068.6823760469315</v>
      </c>
      <c r="BH47" s="5">
        <f t="shared" si="29"/>
        <v>137578.92441455476</v>
      </c>
      <c r="BJ47" s="5">
        <f>E47*$BK$8</f>
        <v>3232.7691593617014</v>
      </c>
      <c r="BK47" s="5">
        <f t="shared" si="19"/>
        <v>98.517617103332867</v>
      </c>
      <c r="BL47" s="5">
        <f t="shared" si="30"/>
        <v>3331.2867764650341</v>
      </c>
      <c r="BQ47" s="5"/>
      <c r="BR47" s="5">
        <f>E47*$BS$8</f>
        <v>11110.3316459832</v>
      </c>
      <c r="BS47" s="5">
        <f t="shared" si="20"/>
        <v>338.58384098360199</v>
      </c>
      <c r="BT47" s="5">
        <f t="shared" si="21"/>
        <v>11448.915486966802</v>
      </c>
    </row>
    <row r="48" spans="1:72" ht="12" customHeight="1" x14ac:dyDescent="0.2">
      <c r="A48" s="25">
        <v>15250</v>
      </c>
      <c r="D48" s="3">
        <v>326325</v>
      </c>
      <c r="F48" s="3">
        <v>36675</v>
      </c>
      <c r="J48" s="3">
        <f t="shared" si="31"/>
        <v>363000</v>
      </c>
      <c r="K48" s="3">
        <f t="shared" si="2"/>
        <v>363000</v>
      </c>
      <c r="M48" s="3"/>
      <c r="N48" s="3"/>
      <c r="Q48" s="3"/>
      <c r="R48" s="3">
        <f t="shared" si="32"/>
        <v>326325.00000000012</v>
      </c>
      <c r="S48" s="5">
        <f t="shared" si="9"/>
        <v>326325.00000000012</v>
      </c>
      <c r="U48" s="5"/>
      <c r="V48" s="5">
        <f t="shared" si="34"/>
        <v>165754.28752449408</v>
      </c>
      <c r="W48" s="5">
        <f t="shared" si="10"/>
        <v>165754.28752449408</v>
      </c>
      <c r="Z48" s="5">
        <f t="shared" si="36"/>
        <v>160570.71247550601</v>
      </c>
      <c r="AA48" s="5">
        <f t="shared" si="11"/>
        <v>160570.71247550601</v>
      </c>
      <c r="AD48" s="5">
        <v>26130.742268943457</v>
      </c>
      <c r="AE48" s="5">
        <f t="shared" si="22"/>
        <v>26130.742268943457</v>
      </c>
      <c r="AG48" s="3"/>
      <c r="AH48" s="3">
        <f t="shared" si="12"/>
        <v>10544.257731056545</v>
      </c>
      <c r="AI48" s="5">
        <f t="shared" si="13"/>
        <v>10544.257731056545</v>
      </c>
      <c r="AJ48" s="5"/>
      <c r="AK48" s="5"/>
      <c r="AL48" s="5">
        <f t="shared" si="14"/>
        <v>7.2092124263279169</v>
      </c>
      <c r="AM48" s="5">
        <f t="shared" si="24"/>
        <v>7.2092124263279169</v>
      </c>
      <c r="AP48" s="5">
        <f t="shared" si="15"/>
        <v>336.78853322737598</v>
      </c>
      <c r="AQ48" s="5">
        <f t="shared" si="26"/>
        <v>336.78853322737598</v>
      </c>
      <c r="AS48" s="5"/>
      <c r="AT48" s="5"/>
      <c r="AU48" s="5"/>
      <c r="AV48" s="5"/>
      <c r="AY48" s="5">
        <f t="shared" si="16"/>
        <v>112.04424968513679</v>
      </c>
      <c r="AZ48" s="5">
        <f t="shared" si="27"/>
        <v>112.04424968513679</v>
      </c>
      <c r="BC48" s="5">
        <f t="shared" si="17"/>
        <v>7800.2320442416294</v>
      </c>
      <c r="BD48" s="5">
        <f t="shared" si="28"/>
        <v>7800.2320442416294</v>
      </c>
      <c r="BG48" s="5">
        <f t="shared" si="18"/>
        <v>2066.0287454693139</v>
      </c>
      <c r="BH48" s="5">
        <f t="shared" si="29"/>
        <v>2066.0287454693139</v>
      </c>
      <c r="BK48" s="5">
        <f t="shared" si="19"/>
        <v>50.026079712907347</v>
      </c>
      <c r="BL48" s="5">
        <f t="shared" si="30"/>
        <v>50.026079712907347</v>
      </c>
      <c r="BQ48" s="5"/>
      <c r="BS48" s="5">
        <f t="shared" si="20"/>
        <v>171.92886629385396</v>
      </c>
      <c r="BT48" s="5">
        <f t="shared" si="21"/>
        <v>171.92886629385396</v>
      </c>
    </row>
    <row r="49" spans="1:72" ht="12" customHeight="1" x14ac:dyDescent="0.2">
      <c r="A49" s="25">
        <v>15432</v>
      </c>
      <c r="C49" s="3">
        <v>1815000</v>
      </c>
      <c r="D49" s="3">
        <v>326325</v>
      </c>
      <c r="E49" s="3">
        <v>2445000</v>
      </c>
      <c r="F49" s="3">
        <v>36675</v>
      </c>
      <c r="I49" s="3">
        <f>C49+E49+G49</f>
        <v>4260000</v>
      </c>
      <c r="J49" s="3">
        <f t="shared" si="31"/>
        <v>363000</v>
      </c>
      <c r="K49" s="3">
        <f t="shared" si="2"/>
        <v>4623000</v>
      </c>
      <c r="M49" s="3"/>
      <c r="N49" s="3"/>
      <c r="Q49" s="3">
        <f>U49+Y49+BN49</f>
        <v>1815000.0000000005</v>
      </c>
      <c r="R49" s="3">
        <f t="shared" si="32"/>
        <v>326325.00000000012</v>
      </c>
      <c r="S49" s="5">
        <f t="shared" si="9"/>
        <v>2141325.0000000005</v>
      </c>
      <c r="U49" s="5">
        <f t="shared" si="33"/>
        <v>921915.36614404898</v>
      </c>
      <c r="V49" s="5">
        <f t="shared" si="34"/>
        <v>165754.28752449408</v>
      </c>
      <c r="W49" s="5">
        <f t="shared" si="10"/>
        <v>1087669.6536685431</v>
      </c>
      <c r="Y49" s="5">
        <f t="shared" si="35"/>
        <v>893084.6338559516</v>
      </c>
      <c r="Z49" s="5">
        <f t="shared" si="36"/>
        <v>160570.71247550601</v>
      </c>
      <c r="AA49" s="5">
        <f t="shared" si="11"/>
        <v>1053655.3463314576</v>
      </c>
      <c r="AC49" s="5">
        <v>1742049.4845962306</v>
      </c>
      <c r="AD49" s="5">
        <v>26130.742268943457</v>
      </c>
      <c r="AE49" s="5">
        <f t="shared" si="22"/>
        <v>1768180.226865174</v>
      </c>
      <c r="AG49" s="3">
        <f>+AS49+BR49+AX49+BB49+BF49+BJ49+AK49+AO49</f>
        <v>702950.51540376968</v>
      </c>
      <c r="AH49" s="3">
        <f t="shared" si="12"/>
        <v>10544.257731056545</v>
      </c>
      <c r="AI49" s="5">
        <f t="shared" si="13"/>
        <v>713494.77313482622</v>
      </c>
      <c r="AJ49" s="5"/>
      <c r="AK49" s="5">
        <f t="shared" si="23"/>
        <v>480.61416175519446</v>
      </c>
      <c r="AL49" s="5">
        <f t="shared" si="14"/>
        <v>7.2092124263279169</v>
      </c>
      <c r="AM49" s="5">
        <f t="shared" si="24"/>
        <v>487.82337418152235</v>
      </c>
      <c r="AO49" s="5">
        <f t="shared" si="25"/>
        <v>22452.568881825067</v>
      </c>
      <c r="AP49" s="5">
        <f t="shared" si="15"/>
        <v>336.78853322737598</v>
      </c>
      <c r="AQ49" s="5">
        <f t="shared" si="26"/>
        <v>22789.357415052444</v>
      </c>
      <c r="AS49" s="5"/>
      <c r="AT49" s="5"/>
      <c r="AU49" s="5"/>
      <c r="AV49" s="5"/>
      <c r="AX49" s="5">
        <f>E49*$AY$8</f>
        <v>7469.6166456757865</v>
      </c>
      <c r="AY49" s="5">
        <f t="shared" si="16"/>
        <v>112.04424968513679</v>
      </c>
      <c r="AZ49" s="5">
        <f t="shared" si="27"/>
        <v>7581.660895360923</v>
      </c>
      <c r="BB49" s="5">
        <f>E49*$BC$8</f>
        <v>520015.46961610863</v>
      </c>
      <c r="BC49" s="5">
        <f t="shared" si="17"/>
        <v>7800.2320442416294</v>
      </c>
      <c r="BD49" s="5">
        <f t="shared" si="28"/>
        <v>527815.70166035031</v>
      </c>
      <c r="BF49" s="5">
        <f>E49*$BG$8</f>
        <v>137735.24969795428</v>
      </c>
      <c r="BG49" s="5">
        <f t="shared" si="18"/>
        <v>2066.0287454693139</v>
      </c>
      <c r="BH49" s="5">
        <f t="shared" si="29"/>
        <v>139801.27844342359</v>
      </c>
      <c r="BJ49" s="5">
        <f>E49*$BK$8</f>
        <v>3335.0719808604895</v>
      </c>
      <c r="BK49" s="5">
        <f t="shared" si="19"/>
        <v>50.026079712907347</v>
      </c>
      <c r="BL49" s="5">
        <f t="shared" si="30"/>
        <v>3385.0980605733967</v>
      </c>
      <c r="BQ49" s="5"/>
      <c r="BR49" s="5">
        <f>E49*$BS$8</f>
        <v>11461.924419590265</v>
      </c>
      <c r="BS49" s="5">
        <f t="shared" si="20"/>
        <v>171.92886629385396</v>
      </c>
      <c r="BT49" s="5">
        <f t="shared" si="21"/>
        <v>11633.853285884119</v>
      </c>
    </row>
    <row r="50" spans="1:72" ht="12" customHeight="1" x14ac:dyDescent="0.2">
      <c r="A50" s="25">
        <v>15615</v>
      </c>
      <c r="D50" s="3">
        <v>299100</v>
      </c>
      <c r="J50" s="3">
        <f t="shared" si="31"/>
        <v>299100</v>
      </c>
      <c r="K50" s="3">
        <f t="shared" si="2"/>
        <v>299100</v>
      </c>
      <c r="M50" s="3"/>
      <c r="N50" s="3"/>
      <c r="Q50" s="3"/>
      <c r="R50" s="3">
        <f t="shared" si="32"/>
        <v>299100.00000000012</v>
      </c>
      <c r="S50" s="5">
        <f t="shared" si="9"/>
        <v>299100.00000000012</v>
      </c>
      <c r="U50" s="5"/>
      <c r="V50" s="5">
        <f t="shared" si="34"/>
        <v>151925.55703233337</v>
      </c>
      <c r="W50" s="5">
        <f t="shared" si="10"/>
        <v>151925.55703233337</v>
      </c>
      <c r="Z50" s="5">
        <f t="shared" si="36"/>
        <v>147174.44296766675</v>
      </c>
      <c r="AA50" s="5">
        <f t="shared" si="11"/>
        <v>147174.44296766675</v>
      </c>
      <c r="AG50" s="3"/>
      <c r="AH50" s="3"/>
      <c r="AI50" s="5"/>
      <c r="AJ50" s="5"/>
      <c r="AK50" s="5"/>
      <c r="AL50" s="5"/>
      <c r="AM50" s="5"/>
      <c r="AS50" s="5"/>
      <c r="AT50" s="5"/>
      <c r="AU50" s="5"/>
      <c r="AV50" s="5"/>
      <c r="BQ50" s="5"/>
    </row>
    <row r="51" spans="1:72" ht="12" customHeight="1" x14ac:dyDescent="0.2">
      <c r="A51" s="25">
        <v>15797</v>
      </c>
      <c r="C51" s="3">
        <v>1660000</v>
      </c>
      <c r="D51" s="3">
        <v>299100</v>
      </c>
      <c r="I51" s="3">
        <f>C51+E51+G51</f>
        <v>1660000</v>
      </c>
      <c r="J51" s="3">
        <f t="shared" si="31"/>
        <v>299100</v>
      </c>
      <c r="K51" s="3">
        <f t="shared" si="2"/>
        <v>1959100</v>
      </c>
      <c r="M51" s="3"/>
      <c r="N51" s="3"/>
      <c r="Q51" s="3">
        <f>U51+Y51+BN51</f>
        <v>1660000.0000000005</v>
      </c>
      <c r="R51" s="3">
        <f t="shared" si="32"/>
        <v>299100.00000000012</v>
      </c>
      <c r="S51" s="5">
        <f t="shared" si="9"/>
        <v>1959100.0000000005</v>
      </c>
      <c r="U51" s="5">
        <f t="shared" si="33"/>
        <v>843184.30181769771</v>
      </c>
      <c r="V51" s="5">
        <f t="shared" si="34"/>
        <v>151925.55703233337</v>
      </c>
      <c r="W51" s="5">
        <f t="shared" si="10"/>
        <v>995109.85885003104</v>
      </c>
      <c r="Y51" s="5">
        <f t="shared" si="35"/>
        <v>816815.69818230288</v>
      </c>
      <c r="Z51" s="5">
        <f t="shared" si="36"/>
        <v>147174.44296766675</v>
      </c>
      <c r="AA51" s="5">
        <f t="shared" si="11"/>
        <v>963990.14114996966</v>
      </c>
      <c r="AG51" s="3"/>
      <c r="AH51" s="3"/>
      <c r="AI51" s="5"/>
      <c r="AJ51" s="5"/>
      <c r="AK51" s="5"/>
      <c r="AL51" s="5"/>
      <c r="AM51" s="5"/>
      <c r="AS51" s="5"/>
      <c r="AT51" s="5"/>
      <c r="AU51" s="5"/>
      <c r="AV51" s="5"/>
      <c r="BQ51" s="5"/>
    </row>
    <row r="52" spans="1:72" ht="12" customHeight="1" x14ac:dyDescent="0.2">
      <c r="A52" s="25">
        <v>15980</v>
      </c>
      <c r="D52" s="3">
        <v>274200</v>
      </c>
      <c r="J52" s="3">
        <f t="shared" si="31"/>
        <v>274200</v>
      </c>
      <c r="K52" s="3">
        <f t="shared" si="2"/>
        <v>274200</v>
      </c>
      <c r="M52" s="3"/>
      <c r="N52" s="3"/>
      <c r="Q52" s="3"/>
      <c r="R52" s="3">
        <f t="shared" si="32"/>
        <v>274200.00000000012</v>
      </c>
      <c r="S52" s="5">
        <f t="shared" si="9"/>
        <v>274200.00000000012</v>
      </c>
      <c r="U52" s="5"/>
      <c r="V52" s="5">
        <f t="shared" si="34"/>
        <v>139277.79250506789</v>
      </c>
      <c r="W52" s="5">
        <f t="shared" si="10"/>
        <v>139277.79250506789</v>
      </c>
      <c r="Z52" s="5">
        <f t="shared" si="36"/>
        <v>134922.2074949322</v>
      </c>
      <c r="AA52" s="5">
        <f t="shared" si="11"/>
        <v>134922.2074949322</v>
      </c>
      <c r="AG52" s="3"/>
      <c r="AH52" s="3"/>
      <c r="AI52" s="5"/>
      <c r="AJ52" s="5"/>
      <c r="AK52" s="5"/>
      <c r="AL52" s="5"/>
      <c r="AM52" s="5"/>
      <c r="AS52" s="5"/>
      <c r="AT52" s="5"/>
      <c r="AU52" s="5"/>
      <c r="AV52" s="5"/>
      <c r="BQ52" s="5"/>
    </row>
    <row r="53" spans="1:72" ht="12" customHeight="1" x14ac:dyDescent="0.2">
      <c r="A53" s="25">
        <v>16163</v>
      </c>
      <c r="C53" s="3">
        <v>1725000</v>
      </c>
      <c r="D53" s="3">
        <v>274200</v>
      </c>
      <c r="I53" s="3">
        <f>C53+E53+G53</f>
        <v>1725000</v>
      </c>
      <c r="J53" s="3">
        <f t="shared" si="31"/>
        <v>274200</v>
      </c>
      <c r="K53" s="3">
        <f t="shared" si="2"/>
        <v>1999200</v>
      </c>
      <c r="M53" s="3"/>
      <c r="N53" s="3"/>
      <c r="Q53" s="3">
        <f>U53+Y53+BN53</f>
        <v>1725000.0000000005</v>
      </c>
      <c r="R53" s="3">
        <f t="shared" si="32"/>
        <v>274200.00000000012</v>
      </c>
      <c r="S53" s="5">
        <f t="shared" si="9"/>
        <v>1999200.0000000005</v>
      </c>
      <c r="U53" s="5">
        <f t="shared" si="33"/>
        <v>876200.55459971598</v>
      </c>
      <c r="V53" s="5">
        <f t="shared" si="34"/>
        <v>139277.79250506789</v>
      </c>
      <c r="W53" s="5">
        <f t="shared" si="10"/>
        <v>1015478.3471047839</v>
      </c>
      <c r="Y53" s="5">
        <f t="shared" si="35"/>
        <v>848799.4454002846</v>
      </c>
      <c r="Z53" s="5">
        <f t="shared" si="36"/>
        <v>134922.2074949322</v>
      </c>
      <c r="AA53" s="5">
        <f t="shared" si="11"/>
        <v>983721.65289521683</v>
      </c>
      <c r="AG53" s="3"/>
      <c r="AH53" s="3"/>
      <c r="AI53" s="5"/>
      <c r="AJ53" s="5"/>
      <c r="AK53" s="5"/>
      <c r="AL53" s="5"/>
      <c r="AM53" s="5"/>
      <c r="AS53" s="5"/>
      <c r="AT53" s="5"/>
      <c r="AU53" s="5"/>
      <c r="AV53" s="5"/>
      <c r="BQ53" s="5"/>
    </row>
    <row r="54" spans="1:72" ht="12" customHeight="1" x14ac:dyDescent="0.2">
      <c r="A54" s="25">
        <v>16346</v>
      </c>
      <c r="D54" s="3">
        <v>248325</v>
      </c>
      <c r="J54" s="3">
        <f t="shared" si="31"/>
        <v>248325</v>
      </c>
      <c r="K54" s="3">
        <f t="shared" si="2"/>
        <v>248325</v>
      </c>
      <c r="M54" s="3"/>
      <c r="N54" s="3"/>
      <c r="Q54" s="3"/>
      <c r="R54" s="3">
        <f t="shared" si="32"/>
        <v>248325.00000000009</v>
      </c>
      <c r="S54" s="5">
        <f t="shared" si="9"/>
        <v>248325.00000000009</v>
      </c>
      <c r="U54" s="5"/>
      <c r="V54" s="5">
        <f t="shared" si="34"/>
        <v>126134.78418607215</v>
      </c>
      <c r="W54" s="5">
        <f t="shared" si="10"/>
        <v>126134.78418607215</v>
      </c>
      <c r="Z54" s="5">
        <f t="shared" si="36"/>
        <v>122190.21581392793</v>
      </c>
      <c r="AA54" s="5">
        <f t="shared" si="11"/>
        <v>122190.21581392793</v>
      </c>
      <c r="AG54" s="3"/>
      <c r="AH54" s="3"/>
      <c r="AI54" s="5"/>
      <c r="AJ54" s="5"/>
      <c r="AK54" s="5"/>
      <c r="AL54" s="5"/>
      <c r="AM54" s="5"/>
      <c r="AS54" s="5"/>
      <c r="AT54" s="5"/>
      <c r="AU54" s="5"/>
      <c r="AV54" s="5"/>
      <c r="BQ54" s="5"/>
    </row>
    <row r="55" spans="1:72" ht="12" customHeight="1" x14ac:dyDescent="0.2">
      <c r="A55" s="25">
        <v>16528</v>
      </c>
      <c r="C55" s="3">
        <v>1795000</v>
      </c>
      <c r="D55" s="3">
        <v>248325</v>
      </c>
      <c r="I55" s="3">
        <f>C55+E55+G55</f>
        <v>1795000</v>
      </c>
      <c r="J55" s="3">
        <f t="shared" si="31"/>
        <v>248325</v>
      </c>
      <c r="K55" s="3">
        <f t="shared" si="2"/>
        <v>2043325</v>
      </c>
      <c r="M55" s="3"/>
      <c r="N55" s="3"/>
      <c r="Q55" s="3">
        <f>U55+Y55+BN55</f>
        <v>1795000.0000000005</v>
      </c>
      <c r="R55" s="3">
        <f t="shared" si="32"/>
        <v>248325.00000000009</v>
      </c>
      <c r="S55" s="5">
        <f t="shared" si="9"/>
        <v>2043325.0000000005</v>
      </c>
      <c r="U55" s="5">
        <f t="shared" si="33"/>
        <v>911756.51913419715</v>
      </c>
      <c r="V55" s="5">
        <f t="shared" si="34"/>
        <v>126134.78418607215</v>
      </c>
      <c r="W55" s="5">
        <f t="shared" si="10"/>
        <v>1037891.3033202693</v>
      </c>
      <c r="Y55" s="5">
        <f t="shared" si="35"/>
        <v>883243.48086580343</v>
      </c>
      <c r="Z55" s="5">
        <f t="shared" si="36"/>
        <v>122190.21581392793</v>
      </c>
      <c r="AA55" s="5">
        <f t="shared" si="11"/>
        <v>1005433.6966797314</v>
      </c>
      <c r="AG55" s="3"/>
      <c r="AH55" s="3"/>
      <c r="AI55" s="5"/>
      <c r="AJ55" s="5"/>
      <c r="AK55" s="5"/>
      <c r="AL55" s="5"/>
      <c r="AM55" s="5"/>
      <c r="AS55" s="5"/>
      <c r="AT55" s="5"/>
      <c r="AU55" s="5"/>
      <c r="AV55" s="5"/>
      <c r="BQ55" s="5"/>
    </row>
    <row r="56" spans="1:72" ht="12" customHeight="1" x14ac:dyDescent="0.2">
      <c r="A56" s="25">
        <v>16711</v>
      </c>
      <c r="D56" s="3">
        <v>221400</v>
      </c>
      <c r="J56" s="3">
        <f t="shared" si="31"/>
        <v>221400</v>
      </c>
      <c r="K56" s="3">
        <f t="shared" si="2"/>
        <v>221400</v>
      </c>
      <c r="M56" s="3"/>
      <c r="N56" s="3"/>
      <c r="Q56" s="3"/>
      <c r="R56" s="3">
        <f t="shared" si="32"/>
        <v>221400.00000000006</v>
      </c>
      <c r="S56" s="5">
        <f t="shared" si="9"/>
        <v>221400.00000000006</v>
      </c>
      <c r="U56" s="5"/>
      <c r="V56" s="5">
        <f t="shared" si="34"/>
        <v>112458.4363990592</v>
      </c>
      <c r="W56" s="5">
        <f t="shared" si="10"/>
        <v>112458.4363990592</v>
      </c>
      <c r="Z56" s="5">
        <f t="shared" si="36"/>
        <v>108941.56360094088</v>
      </c>
      <c r="AA56" s="5">
        <f t="shared" si="11"/>
        <v>108941.56360094088</v>
      </c>
      <c r="AG56" s="3"/>
      <c r="AH56" s="3"/>
      <c r="AI56" s="5"/>
      <c r="AJ56" s="5"/>
      <c r="AK56" s="5"/>
      <c r="AL56" s="5"/>
      <c r="AM56" s="5"/>
      <c r="AS56" s="5"/>
      <c r="AT56" s="5"/>
      <c r="AU56" s="5"/>
      <c r="AV56" s="5"/>
      <c r="BQ56" s="5"/>
    </row>
    <row r="57" spans="1:72" ht="12" customHeight="1" x14ac:dyDescent="0.2">
      <c r="A57" s="25">
        <v>16893</v>
      </c>
      <c r="C57" s="3">
        <v>1870000</v>
      </c>
      <c r="D57" s="3">
        <v>221400</v>
      </c>
      <c r="I57" s="3">
        <f>C57+E57+G57</f>
        <v>1870000</v>
      </c>
      <c r="J57" s="3">
        <f t="shared" si="31"/>
        <v>221400</v>
      </c>
      <c r="K57" s="3">
        <f t="shared" si="2"/>
        <v>2091400</v>
      </c>
      <c r="M57" s="3"/>
      <c r="N57" s="3"/>
      <c r="Q57" s="3">
        <f>U57+Y57+BN57</f>
        <v>1870000.0000000005</v>
      </c>
      <c r="R57" s="3">
        <f t="shared" si="32"/>
        <v>221400.00000000006</v>
      </c>
      <c r="S57" s="5">
        <f t="shared" si="9"/>
        <v>2091400.0000000005</v>
      </c>
      <c r="U57" s="5">
        <f t="shared" si="33"/>
        <v>949852.19542114134</v>
      </c>
      <c r="V57" s="5">
        <f t="shared" si="34"/>
        <v>112458.4363990592</v>
      </c>
      <c r="W57" s="5">
        <f t="shared" si="10"/>
        <v>1062310.6318202005</v>
      </c>
      <c r="Y57" s="5">
        <f t="shared" si="35"/>
        <v>920147.80457885924</v>
      </c>
      <c r="Z57" s="5">
        <f t="shared" si="36"/>
        <v>108941.56360094088</v>
      </c>
      <c r="AA57" s="5">
        <f t="shared" si="11"/>
        <v>1029089.3681798001</v>
      </c>
      <c r="AG57" s="3"/>
      <c r="AH57" s="3"/>
      <c r="AI57" s="5"/>
      <c r="AJ57" s="5"/>
      <c r="AK57" s="5"/>
      <c r="AL57" s="5"/>
      <c r="AM57" s="5"/>
      <c r="AS57" s="5"/>
      <c r="AT57" s="5"/>
      <c r="AU57" s="5"/>
      <c r="AV57" s="5"/>
      <c r="BQ57" s="5"/>
    </row>
    <row r="58" spans="1:72" ht="12" customHeight="1" x14ac:dyDescent="0.2">
      <c r="A58" s="25">
        <v>17076</v>
      </c>
      <c r="D58" s="3">
        <v>193350</v>
      </c>
      <c r="J58" s="3">
        <f t="shared" si="31"/>
        <v>193350</v>
      </c>
      <c r="K58" s="3">
        <f t="shared" si="2"/>
        <v>193350</v>
      </c>
      <c r="M58" s="3"/>
      <c r="N58" s="3"/>
      <c r="Q58" s="3"/>
      <c r="R58" s="3">
        <f t="shared" si="32"/>
        <v>193350.00000000006</v>
      </c>
      <c r="S58" s="5">
        <f t="shared" si="9"/>
        <v>193350.00000000006</v>
      </c>
      <c r="U58" s="5"/>
      <c r="V58" s="5">
        <f t="shared" si="34"/>
        <v>98210.653467742071</v>
      </c>
      <c r="W58" s="5">
        <f t="shared" si="10"/>
        <v>98210.653467742071</v>
      </c>
      <c r="Z58" s="5">
        <f t="shared" si="36"/>
        <v>95139.346532257987</v>
      </c>
      <c r="AA58" s="5">
        <f t="shared" si="11"/>
        <v>95139.346532257987</v>
      </c>
      <c r="AG58" s="3"/>
      <c r="AH58" s="3"/>
      <c r="AI58" s="5"/>
      <c r="AJ58" s="5"/>
      <c r="AK58" s="5"/>
      <c r="AL58" s="5"/>
      <c r="AM58" s="5"/>
      <c r="AS58" s="5"/>
      <c r="AT58" s="5"/>
      <c r="AU58" s="5"/>
      <c r="AV58" s="5"/>
      <c r="BQ58" s="5"/>
    </row>
    <row r="59" spans="1:72" ht="12" customHeight="1" x14ac:dyDescent="0.2">
      <c r="A59" s="25">
        <v>17258</v>
      </c>
      <c r="C59" s="3">
        <v>1945000</v>
      </c>
      <c r="D59" s="3">
        <v>193350</v>
      </c>
      <c r="I59" s="3">
        <f>C59+E59+G59</f>
        <v>1945000</v>
      </c>
      <c r="J59" s="3">
        <f t="shared" si="31"/>
        <v>193350</v>
      </c>
      <c r="K59" s="3">
        <f t="shared" si="2"/>
        <v>2138350</v>
      </c>
      <c r="M59" s="3"/>
      <c r="N59" s="3"/>
      <c r="Q59" s="3">
        <f>U59+Y59+BN59</f>
        <v>1945000.0000000007</v>
      </c>
      <c r="R59" s="3">
        <f t="shared" si="32"/>
        <v>193350.00000000006</v>
      </c>
      <c r="S59" s="5">
        <f t="shared" si="9"/>
        <v>2138350.0000000009</v>
      </c>
      <c r="U59" s="5">
        <f t="shared" si="33"/>
        <v>987947.87170808553</v>
      </c>
      <c r="V59" s="5">
        <f t="shared" si="34"/>
        <v>98210.653467742071</v>
      </c>
      <c r="W59" s="5">
        <f t="shared" si="10"/>
        <v>1086158.5251758276</v>
      </c>
      <c r="Y59" s="5">
        <f t="shared" si="35"/>
        <v>957052.12829191517</v>
      </c>
      <c r="Z59" s="5">
        <f t="shared" si="36"/>
        <v>95139.346532257987</v>
      </c>
      <c r="AA59" s="5">
        <f t="shared" si="11"/>
        <v>1052191.4748241731</v>
      </c>
      <c r="AG59" s="3"/>
      <c r="AH59" s="3"/>
      <c r="AI59" s="5"/>
      <c r="AJ59" s="5"/>
      <c r="AK59" s="5"/>
      <c r="AL59" s="5"/>
      <c r="AM59" s="5"/>
      <c r="AS59" s="5"/>
      <c r="AT59" s="5"/>
      <c r="AU59" s="5"/>
      <c r="AV59" s="5"/>
      <c r="BQ59" s="5"/>
    </row>
    <row r="60" spans="1:72" ht="12" customHeight="1" x14ac:dyDescent="0.2">
      <c r="A60" s="25">
        <v>17441</v>
      </c>
      <c r="D60" s="3">
        <v>164175</v>
      </c>
      <c r="J60" s="3">
        <f t="shared" si="31"/>
        <v>164175</v>
      </c>
      <c r="K60" s="3">
        <f t="shared" si="2"/>
        <v>164175</v>
      </c>
      <c r="M60" s="3"/>
      <c r="N60" s="3"/>
      <c r="Q60" s="3"/>
      <c r="R60" s="3">
        <f t="shared" si="32"/>
        <v>164175.00000000006</v>
      </c>
      <c r="S60" s="5">
        <f t="shared" si="9"/>
        <v>164175.00000000006</v>
      </c>
      <c r="U60" s="5"/>
      <c r="V60" s="5">
        <f t="shared" si="34"/>
        <v>83391.435392120795</v>
      </c>
      <c r="W60" s="5">
        <f t="shared" si="10"/>
        <v>83391.435392120795</v>
      </c>
      <c r="Z60" s="5">
        <f t="shared" si="36"/>
        <v>80783.564607879263</v>
      </c>
      <c r="AA60" s="5">
        <f t="shared" si="11"/>
        <v>80783.564607879263</v>
      </c>
      <c r="AG60" s="3"/>
      <c r="AH60" s="3"/>
      <c r="AI60" s="5"/>
      <c r="AJ60" s="5"/>
      <c r="AK60" s="5"/>
      <c r="AL60" s="5"/>
      <c r="AM60" s="5"/>
      <c r="AS60" s="5"/>
      <c r="AT60" s="5"/>
      <c r="AU60" s="5"/>
      <c r="AV60" s="5"/>
      <c r="BQ60" s="5"/>
    </row>
    <row r="61" spans="1:72" ht="12" customHeight="1" x14ac:dyDescent="0.2">
      <c r="A61" s="25">
        <v>17624</v>
      </c>
      <c r="C61" s="3">
        <v>2020000</v>
      </c>
      <c r="D61" s="3">
        <v>164175</v>
      </c>
      <c r="I61" s="3">
        <f>C61+E61+G61</f>
        <v>2020000</v>
      </c>
      <c r="J61" s="3">
        <f t="shared" si="31"/>
        <v>164175</v>
      </c>
      <c r="K61" s="3">
        <f t="shared" si="2"/>
        <v>2184175</v>
      </c>
      <c r="M61" s="3"/>
      <c r="N61" s="3"/>
      <c r="Q61" s="3">
        <f>U61+Y61+BN61</f>
        <v>2020000.0000000007</v>
      </c>
      <c r="R61" s="3">
        <f t="shared" si="32"/>
        <v>164175.00000000006</v>
      </c>
      <c r="S61" s="5">
        <f t="shared" si="9"/>
        <v>2184175.0000000009</v>
      </c>
      <c r="U61" s="5">
        <f t="shared" si="33"/>
        <v>1026043.5479950297</v>
      </c>
      <c r="V61" s="5">
        <f t="shared" si="34"/>
        <v>83391.435392120795</v>
      </c>
      <c r="W61" s="5">
        <f t="shared" si="10"/>
        <v>1109434.9833871506</v>
      </c>
      <c r="Y61" s="5">
        <f t="shared" si="35"/>
        <v>993956.45200497098</v>
      </c>
      <c r="Z61" s="5">
        <f t="shared" si="36"/>
        <v>80783.564607879263</v>
      </c>
      <c r="AA61" s="5">
        <f t="shared" si="11"/>
        <v>1074740.0166128501</v>
      </c>
      <c r="AG61" s="3"/>
      <c r="AH61" s="3"/>
      <c r="AI61" s="5"/>
      <c r="AJ61" s="5"/>
      <c r="AK61" s="5"/>
      <c r="AL61" s="5"/>
      <c r="AM61" s="5"/>
      <c r="AS61" s="5"/>
      <c r="AT61" s="5"/>
      <c r="AU61" s="5"/>
      <c r="AV61" s="5"/>
      <c r="BQ61" s="5"/>
    </row>
    <row r="62" spans="1:72" ht="12" customHeight="1" x14ac:dyDescent="0.2">
      <c r="A62" s="25">
        <v>17807</v>
      </c>
      <c r="D62" s="3">
        <v>133875</v>
      </c>
      <c r="J62" s="3">
        <f t="shared" si="31"/>
        <v>133875</v>
      </c>
      <c r="K62" s="3">
        <f t="shared" si="2"/>
        <v>133875</v>
      </c>
      <c r="M62" s="3"/>
      <c r="N62" s="3"/>
      <c r="Q62" s="3"/>
      <c r="R62" s="3">
        <f t="shared" si="32"/>
        <v>133875.00000000006</v>
      </c>
      <c r="S62" s="5">
        <f t="shared" si="9"/>
        <v>133875.00000000006</v>
      </c>
      <c r="U62" s="5"/>
      <c r="V62" s="5">
        <f t="shared" si="34"/>
        <v>68000.782172195351</v>
      </c>
      <c r="W62" s="5">
        <f t="shared" si="10"/>
        <v>68000.782172195351</v>
      </c>
      <c r="Z62" s="5">
        <f t="shared" si="36"/>
        <v>65874.217827804692</v>
      </c>
      <c r="AA62" s="5">
        <f t="shared" si="11"/>
        <v>65874.217827804692</v>
      </c>
      <c r="AG62" s="3"/>
      <c r="AH62" s="3"/>
      <c r="AI62" s="5"/>
      <c r="AJ62" s="5"/>
      <c r="AK62" s="5"/>
      <c r="AL62" s="5"/>
      <c r="AM62" s="5"/>
      <c r="AS62" s="5"/>
      <c r="AT62" s="5"/>
      <c r="AU62" s="5"/>
      <c r="AV62" s="5"/>
      <c r="BQ62" s="5"/>
    </row>
    <row r="63" spans="1:72" ht="12" customHeight="1" x14ac:dyDescent="0.2">
      <c r="A63" s="25">
        <v>17989</v>
      </c>
      <c r="C63" s="3">
        <v>2100000</v>
      </c>
      <c r="D63" s="3">
        <v>133875</v>
      </c>
      <c r="I63" s="3">
        <f>C63+E63+G63</f>
        <v>2100000</v>
      </c>
      <c r="J63" s="3">
        <f t="shared" si="31"/>
        <v>133875</v>
      </c>
      <c r="K63" s="3">
        <f t="shared" si="2"/>
        <v>2233875</v>
      </c>
      <c r="M63" s="3"/>
      <c r="N63" s="3"/>
      <c r="Q63" s="3">
        <f>U63+Y63+BN63</f>
        <v>2100000.0000000009</v>
      </c>
      <c r="R63" s="3">
        <f t="shared" si="32"/>
        <v>133875.00000000006</v>
      </c>
      <c r="S63" s="5">
        <f t="shared" si="9"/>
        <v>2233875.0000000009</v>
      </c>
      <c r="U63" s="5">
        <f t="shared" si="33"/>
        <v>1066678.9360344368</v>
      </c>
      <c r="V63" s="5">
        <f t="shared" si="34"/>
        <v>68000.782172195351</v>
      </c>
      <c r="W63" s="5">
        <f t="shared" si="10"/>
        <v>1134679.7182066322</v>
      </c>
      <c r="Y63" s="5">
        <f t="shared" si="35"/>
        <v>1033321.0639655639</v>
      </c>
      <c r="Z63" s="5">
        <f t="shared" si="36"/>
        <v>65874.217827804692</v>
      </c>
      <c r="AA63" s="5">
        <f t="shared" si="11"/>
        <v>1099195.2817933685</v>
      </c>
      <c r="AG63" s="3"/>
      <c r="AH63" s="3"/>
      <c r="AI63" s="5"/>
      <c r="AJ63" s="5"/>
      <c r="AK63" s="5"/>
      <c r="AL63" s="5"/>
      <c r="AM63" s="5"/>
      <c r="AS63" s="5"/>
      <c r="AT63" s="5"/>
      <c r="AU63" s="5"/>
      <c r="AV63" s="5"/>
      <c r="BQ63" s="5"/>
    </row>
    <row r="64" spans="1:72" ht="12" customHeight="1" x14ac:dyDescent="0.2">
      <c r="A64" s="25">
        <v>18172</v>
      </c>
      <c r="D64" s="3">
        <v>102375</v>
      </c>
      <c r="J64" s="3">
        <f t="shared" si="31"/>
        <v>102375</v>
      </c>
      <c r="K64" s="3">
        <f t="shared" si="2"/>
        <v>102375</v>
      </c>
      <c r="M64" s="3"/>
      <c r="N64" s="3"/>
      <c r="Q64" s="3"/>
      <c r="R64" s="3">
        <f t="shared" si="32"/>
        <v>102375.00000000003</v>
      </c>
      <c r="S64" s="5">
        <f t="shared" si="9"/>
        <v>102375.00000000003</v>
      </c>
      <c r="U64" s="5"/>
      <c r="V64" s="5">
        <f t="shared" si="34"/>
        <v>52000.598131678795</v>
      </c>
      <c r="W64" s="5">
        <f t="shared" si="10"/>
        <v>52000.598131678795</v>
      </c>
      <c r="Z64" s="5">
        <f t="shared" si="36"/>
        <v>50374.401868321242</v>
      </c>
      <c r="AA64" s="5">
        <f t="shared" si="11"/>
        <v>50374.401868321242</v>
      </c>
      <c r="AG64" s="3"/>
      <c r="AH64" s="3"/>
      <c r="AI64" s="5"/>
      <c r="AJ64" s="5"/>
      <c r="AK64" s="5"/>
      <c r="AL64" s="5"/>
      <c r="AM64" s="5"/>
      <c r="AS64" s="5"/>
      <c r="AT64" s="5"/>
      <c r="AU64" s="5"/>
      <c r="AV64" s="5"/>
      <c r="BQ64" s="5"/>
    </row>
    <row r="65" spans="1:76" ht="12" customHeight="1" x14ac:dyDescent="0.2">
      <c r="A65" s="25">
        <v>18354</v>
      </c>
      <c r="C65" s="3">
        <v>2185000</v>
      </c>
      <c r="D65" s="3">
        <v>102375</v>
      </c>
      <c r="I65" s="3">
        <f>C65+E65+G65</f>
        <v>2185000</v>
      </c>
      <c r="J65" s="3">
        <f t="shared" si="31"/>
        <v>102375</v>
      </c>
      <c r="K65" s="3">
        <f t="shared" si="2"/>
        <v>2287375</v>
      </c>
      <c r="M65" s="3"/>
      <c r="N65" s="3"/>
      <c r="Q65" s="3">
        <f>U65+Y65+BN65</f>
        <v>2185000.0000000009</v>
      </c>
      <c r="R65" s="3">
        <f t="shared" si="32"/>
        <v>102375.00000000003</v>
      </c>
      <c r="S65" s="5">
        <f t="shared" si="9"/>
        <v>2287375.0000000009</v>
      </c>
      <c r="U65" s="5">
        <f t="shared" si="33"/>
        <v>1109854.0358263068</v>
      </c>
      <c r="V65" s="5">
        <f t="shared" si="34"/>
        <v>52000.598131678795</v>
      </c>
      <c r="W65" s="5">
        <f t="shared" si="10"/>
        <v>1161854.6339579856</v>
      </c>
      <c r="Y65" s="5">
        <f t="shared" si="35"/>
        <v>1075145.9641736939</v>
      </c>
      <c r="Z65" s="5">
        <f t="shared" si="36"/>
        <v>50374.401868321242</v>
      </c>
      <c r="AA65" s="5">
        <f t="shared" si="11"/>
        <v>1125520.3660420151</v>
      </c>
      <c r="AG65" s="3"/>
      <c r="AH65" s="3"/>
      <c r="AI65" s="5"/>
      <c r="AJ65" s="5"/>
      <c r="AK65" s="5"/>
      <c r="AL65" s="5"/>
      <c r="AM65" s="5"/>
      <c r="AS65" s="5"/>
      <c r="AT65" s="5"/>
      <c r="AU65" s="5"/>
      <c r="AV65" s="5"/>
      <c r="BQ65" s="5"/>
    </row>
    <row r="66" spans="1:76" ht="12" customHeight="1" x14ac:dyDescent="0.2">
      <c r="A66" s="25">
        <v>18537</v>
      </c>
      <c r="D66" s="3">
        <v>69600</v>
      </c>
      <c r="J66" s="3">
        <f t="shared" si="31"/>
        <v>69600</v>
      </c>
      <c r="K66" s="3">
        <f t="shared" si="2"/>
        <v>69600</v>
      </c>
      <c r="M66" s="3"/>
      <c r="N66" s="3"/>
      <c r="Q66" s="3"/>
      <c r="R66" s="3">
        <f t="shared" si="32"/>
        <v>69600.000000000029</v>
      </c>
      <c r="S66" s="5">
        <f t="shared" si="9"/>
        <v>69600.000000000029</v>
      </c>
      <c r="U66" s="5"/>
      <c r="V66" s="5">
        <f t="shared" si="34"/>
        <v>35352.787594284193</v>
      </c>
      <c r="W66" s="5">
        <f t="shared" si="10"/>
        <v>35352.787594284193</v>
      </c>
      <c r="Z66" s="5">
        <f t="shared" si="36"/>
        <v>34247.212405715829</v>
      </c>
      <c r="AA66" s="5">
        <f t="shared" si="11"/>
        <v>34247.212405715829</v>
      </c>
      <c r="AG66" s="3"/>
      <c r="AH66" s="3"/>
      <c r="AI66" s="5"/>
      <c r="AJ66" s="5"/>
      <c r="AK66" s="5"/>
      <c r="AL66" s="5"/>
      <c r="AM66" s="5"/>
      <c r="AS66" s="5"/>
      <c r="AT66" s="5"/>
      <c r="AU66" s="5"/>
      <c r="AV66" s="5"/>
      <c r="BQ66" s="5"/>
    </row>
    <row r="67" spans="1:76" ht="12" customHeight="1" x14ac:dyDescent="0.2">
      <c r="A67" s="25">
        <v>18719</v>
      </c>
      <c r="C67" s="3">
        <v>2275000</v>
      </c>
      <c r="D67" s="3">
        <v>69600</v>
      </c>
      <c r="I67" s="3">
        <f>C67+E67+G67</f>
        <v>2275000</v>
      </c>
      <c r="J67" s="3">
        <f t="shared" si="31"/>
        <v>69600</v>
      </c>
      <c r="K67" s="3">
        <f t="shared" si="2"/>
        <v>2344600</v>
      </c>
      <c r="M67" s="3"/>
      <c r="N67" s="3"/>
      <c r="Q67" s="3">
        <f>U67+Y67+BN67</f>
        <v>2275000.0000000009</v>
      </c>
      <c r="R67" s="3">
        <f t="shared" si="32"/>
        <v>69600.000000000029</v>
      </c>
      <c r="S67" s="5">
        <f t="shared" si="9"/>
        <v>2344600.0000000009</v>
      </c>
      <c r="U67" s="5">
        <f t="shared" si="33"/>
        <v>1155568.8473706399</v>
      </c>
      <c r="V67" s="5">
        <f t="shared" si="34"/>
        <v>35352.787594284193</v>
      </c>
      <c r="W67" s="5">
        <f t="shared" si="10"/>
        <v>1190921.6349649241</v>
      </c>
      <c r="Y67" s="5">
        <f t="shared" si="35"/>
        <v>1119431.1526293608</v>
      </c>
      <c r="Z67" s="5">
        <f t="shared" si="36"/>
        <v>34247.212405715829</v>
      </c>
      <c r="AA67" s="5">
        <f t="shared" si="11"/>
        <v>1153678.3650350766</v>
      </c>
      <c r="AG67" s="3"/>
      <c r="AH67" s="3"/>
      <c r="AI67" s="5"/>
      <c r="AJ67" s="5"/>
      <c r="AK67" s="5"/>
      <c r="AL67" s="5"/>
      <c r="AM67" s="5"/>
      <c r="AS67" s="5"/>
      <c r="AT67" s="5"/>
      <c r="AU67" s="5"/>
      <c r="AV67" s="5"/>
      <c r="BQ67" s="5"/>
    </row>
    <row r="68" spans="1:76" ht="12" customHeight="1" x14ac:dyDescent="0.2">
      <c r="A68" s="25">
        <v>18902</v>
      </c>
      <c r="D68" s="3">
        <v>35457</v>
      </c>
      <c r="J68" s="3">
        <f t="shared" si="31"/>
        <v>35457</v>
      </c>
      <c r="K68" s="3">
        <f t="shared" si="2"/>
        <v>35457</v>
      </c>
      <c r="M68" s="3"/>
      <c r="N68" s="3"/>
      <c r="Q68" s="3"/>
      <c r="R68" s="3">
        <f t="shared" si="32"/>
        <v>35457.000000000015</v>
      </c>
      <c r="S68" s="5">
        <f t="shared" si="9"/>
        <v>35457.000000000015</v>
      </c>
      <c r="U68" s="5"/>
      <c r="V68" s="5">
        <f t="shared" si="34"/>
        <v>18010.111921415726</v>
      </c>
      <c r="W68" s="5">
        <f t="shared" si="10"/>
        <v>18010.111921415726</v>
      </c>
      <c r="Z68" s="5">
        <f t="shared" si="36"/>
        <v>17446.888078584285</v>
      </c>
      <c r="AA68" s="5">
        <f t="shared" si="11"/>
        <v>17446.888078584285</v>
      </c>
      <c r="AG68" s="3"/>
      <c r="AH68" s="3"/>
      <c r="AI68" s="5"/>
      <c r="AJ68" s="5"/>
      <c r="AK68" s="5"/>
      <c r="AL68" s="5"/>
      <c r="AM68" s="5"/>
      <c r="AS68" s="5"/>
      <c r="AT68" s="5"/>
      <c r="AU68" s="5"/>
      <c r="AV68" s="5"/>
      <c r="BQ68" s="5"/>
    </row>
    <row r="69" spans="1:76" ht="12" customHeight="1" x14ac:dyDescent="0.2">
      <c r="A69" s="25">
        <v>19085</v>
      </c>
      <c r="C69" s="3">
        <v>2365000</v>
      </c>
      <c r="D69" s="3">
        <v>35475</v>
      </c>
      <c r="I69" s="3">
        <f>C69+E69+G69</f>
        <v>2365000</v>
      </c>
      <c r="J69" s="3">
        <f t="shared" si="31"/>
        <v>35475</v>
      </c>
      <c r="K69" s="3">
        <f t="shared" si="2"/>
        <v>2400475</v>
      </c>
      <c r="M69" s="3"/>
      <c r="N69" s="3"/>
      <c r="Q69" s="3">
        <f>U69+Y69+BN69</f>
        <v>2365000.0000000009</v>
      </c>
      <c r="R69" s="3">
        <f t="shared" si="32"/>
        <v>35475.000000000015</v>
      </c>
      <c r="S69" s="5">
        <f t="shared" si="9"/>
        <v>2400475.0000000009</v>
      </c>
      <c r="U69" s="5">
        <f t="shared" si="33"/>
        <v>1201283.6589149728</v>
      </c>
      <c r="V69" s="5">
        <f t="shared" si="34"/>
        <v>18019.254883724592</v>
      </c>
      <c r="W69" s="5">
        <f t="shared" si="10"/>
        <v>1219302.9137986973</v>
      </c>
      <c r="Y69" s="5">
        <f t="shared" si="35"/>
        <v>1163716.3410850279</v>
      </c>
      <c r="Z69" s="5">
        <f t="shared" si="36"/>
        <v>17455.745116275419</v>
      </c>
      <c r="AA69" s="5">
        <f t="shared" si="11"/>
        <v>1181172.0862013034</v>
      </c>
      <c r="AG69" s="3"/>
      <c r="AH69" s="3"/>
      <c r="AI69" s="5"/>
      <c r="AJ69" s="5"/>
      <c r="AK69" s="5"/>
      <c r="AL69" s="5"/>
      <c r="AM69" s="5"/>
      <c r="AS69" s="5"/>
      <c r="AT69" s="5"/>
      <c r="AU69" s="5"/>
      <c r="AV69" s="5"/>
      <c r="BQ69" s="5"/>
    </row>
    <row r="70" spans="1:76" ht="12" customHeight="1" x14ac:dyDescent="0.2">
      <c r="U70" s="5"/>
      <c r="V70" s="5"/>
      <c r="W70" s="5"/>
      <c r="AG70" s="5"/>
      <c r="AH70" s="3"/>
      <c r="AI70" s="5"/>
      <c r="AJ70" s="5"/>
      <c r="AK70" s="5"/>
      <c r="AL70" s="5"/>
      <c r="AM70" s="5"/>
      <c r="AS70" s="5"/>
      <c r="AT70" s="5"/>
      <c r="AU70" s="5"/>
      <c r="AV70" s="5"/>
      <c r="BQ70" s="5"/>
    </row>
    <row r="71" spans="1:76" ht="12" customHeight="1" thickBot="1" x14ac:dyDescent="0.25">
      <c r="A71" s="27" t="s">
        <v>4</v>
      </c>
      <c r="C71" s="28">
        <f>SUM(C10:C70)</f>
        <v>46385000</v>
      </c>
      <c r="D71" s="28">
        <f t="shared" ref="D71:K71" si="37">SUM(D10:D70)</f>
        <v>26435444</v>
      </c>
      <c r="E71" s="28">
        <f t="shared" si="37"/>
        <v>35630000</v>
      </c>
      <c r="F71" s="28">
        <f t="shared" si="37"/>
        <v>14693274</v>
      </c>
      <c r="G71" s="28">
        <f t="shared" si="37"/>
        <v>20880000</v>
      </c>
      <c r="H71" s="28">
        <f t="shared" si="37"/>
        <v>6293550</v>
      </c>
      <c r="I71" s="28">
        <f t="shared" si="37"/>
        <v>102895000</v>
      </c>
      <c r="J71" s="28">
        <f t="shared" si="37"/>
        <v>47422268</v>
      </c>
      <c r="K71" s="28">
        <f t="shared" si="37"/>
        <v>150317268</v>
      </c>
      <c r="M71" s="28">
        <f>SUM(M10:M70)</f>
        <v>20880000</v>
      </c>
      <c r="N71" s="28">
        <f>SUM(N10:N70)</f>
        <v>6293550</v>
      </c>
      <c r="O71" s="28">
        <f>SUM(O10:O70)</f>
        <v>27173550</v>
      </c>
      <c r="Q71" s="28">
        <f>SUM(Q10:Q70)</f>
        <v>46385000.000000007</v>
      </c>
      <c r="R71" s="28">
        <f>SUM(R10:R70)</f>
        <v>26435443.96600645</v>
      </c>
      <c r="S71" s="28">
        <f>SUM(S10:S70)</f>
        <v>72820443.966006458</v>
      </c>
      <c r="U71" s="28">
        <f>SUM(U10:U70)</f>
        <v>23553425.917037372</v>
      </c>
      <c r="V71" s="28">
        <f>SUM(V10:V70)</f>
        <v>13349804.934609544</v>
      </c>
      <c r="W71" s="28">
        <f>SUM(W10:W70)</f>
        <v>36903230.851646893</v>
      </c>
      <c r="Y71" s="28">
        <f>SUM(Y10:Y70)</f>
        <v>22824094.071250122</v>
      </c>
      <c r="Z71" s="28">
        <f>SUM(Z10:Z70)</f>
        <v>13007762.387456531</v>
      </c>
      <c r="AA71" s="28">
        <f>SUM(AA10:AA70)</f>
        <v>35831856.458706662</v>
      </c>
      <c r="AB71" s="28"/>
      <c r="AC71" s="28">
        <f>SUM(AC10:AC70)</f>
        <v>24601817.061269797</v>
      </c>
      <c r="AD71" s="28">
        <f>SUM(AD10:AD70)</f>
        <v>9057492.0399210099</v>
      </c>
      <c r="AE71" s="28">
        <f>SUM(AE10:AE70)</f>
        <v>33659309.101190805</v>
      </c>
      <c r="AG71" s="28">
        <f>SUM(AG10:AG70)</f>
        <v>11028182.805786457</v>
      </c>
      <c r="AH71" s="28">
        <f>SUM(AH10:AH70)</f>
        <v>5635781.8866039319</v>
      </c>
      <c r="AI71" s="28">
        <f>SUM(AI10:AI70)</f>
        <v>16663964.692390386</v>
      </c>
      <c r="AJ71" s="3"/>
      <c r="AK71" s="28">
        <f>SUM(AK10:AK64)</f>
        <v>6806.5560383772599</v>
      </c>
      <c r="AL71" s="28">
        <f>SUM(AL10:AL64)</f>
        <v>2461.3791827292716</v>
      </c>
      <c r="AM71" s="28">
        <f>SUM(AM10:AM64)</f>
        <v>9267.9352211065288</v>
      </c>
      <c r="AO71" s="28">
        <f>SUM(AO10:AO64)</f>
        <v>317977.87177463679</v>
      </c>
      <c r="AP71" s="28">
        <f>SUM(AP10:AP64)</f>
        <v>119699.00945130426</v>
      </c>
      <c r="AQ71" s="28">
        <f>SUM(AQ10:AQ64)</f>
        <v>437676.88122594112</v>
      </c>
      <c r="AS71" s="28">
        <f>SUM(AS10:AS64)</f>
        <v>52025.535258750002</v>
      </c>
      <c r="AT71" s="28">
        <f>SUM(AT10:AT64)</f>
        <v>113448.49799208003</v>
      </c>
      <c r="AU71" s="28">
        <f>SUM(AU10:AU64)</f>
        <v>165474.03325083002</v>
      </c>
      <c r="AV71" s="3"/>
      <c r="AW71" s="3"/>
      <c r="AX71" s="28">
        <f>SUM(AX10:AX64)</f>
        <v>105741.42587947764</v>
      </c>
      <c r="AY71" s="28">
        <f>SUM(AY10:AY64)</f>
        <v>39716.019232389772</v>
      </c>
      <c r="AZ71" s="28">
        <f>SUM(AZ10:AZ64)</f>
        <v>145457.44511186742</v>
      </c>
      <c r="BA71" s="3"/>
      <c r="BB71" s="28">
        <f>SUM(BB10:BB64)</f>
        <v>7349139.5910856845</v>
      </c>
      <c r="BC71" s="28">
        <f>SUM(BC10:BC64)</f>
        <v>2685771.7962364419</v>
      </c>
      <c r="BD71" s="28">
        <f>SUM(BD10:BD64)</f>
        <v>10034911.387322126</v>
      </c>
      <c r="BE71" s="3"/>
      <c r="BF71" s="28">
        <f>SUM(BF10:BF64)</f>
        <v>1950334.2399164308</v>
      </c>
      <c r="BG71" s="28">
        <f>SUM(BG10:BG64)</f>
        <v>709978.5635989072</v>
      </c>
      <c r="BH71" s="28">
        <f>SUM(BH10:BH64)</f>
        <v>2660312.8035153379</v>
      </c>
      <c r="BI71" s="3"/>
      <c r="BJ71" s="28">
        <f>SUM(BJ10:BJ64)</f>
        <v>45599.777636059778</v>
      </c>
      <c r="BK71" s="28">
        <f>SUM(BK10:BK64)</f>
        <v>16177.895384294341</v>
      </c>
      <c r="BL71" s="28">
        <f>SUM(BL10:BL64)</f>
        <v>61777.673020354137</v>
      </c>
      <c r="BM71" s="3"/>
      <c r="BN71" s="28">
        <f>SUM(BN10:BN64)</f>
        <v>7480.0117125212973</v>
      </c>
      <c r="BO71" s="28">
        <f>SUM(BO10:BO64)</f>
        <v>77876.643940377733</v>
      </c>
      <c r="BP71" s="28">
        <f>SUM(BP10:BP64)</f>
        <v>85356.655652899033</v>
      </c>
      <c r="BQ71" s="5"/>
      <c r="BR71" s="28">
        <f>SUM(BR10:BR64)</f>
        <v>1200557.8081970387</v>
      </c>
      <c r="BS71" s="28">
        <f>SUM(BS10:BS64)</f>
        <v>1948528.7255257869</v>
      </c>
      <c r="BT71" s="28">
        <f>SUM(BT10:BT64)</f>
        <v>3149086.533722824</v>
      </c>
      <c r="BV71" s="28">
        <f>SUM(BV10:BV64)</f>
        <v>210836.81565</v>
      </c>
      <c r="BW71" s="28">
        <f>SUM(BW10:BW64)</f>
        <v>386086.65126148</v>
      </c>
      <c r="BX71" s="28">
        <f>SUM(BX10:BX64)</f>
        <v>596923.46691148006</v>
      </c>
    </row>
    <row r="72" spans="1:76" ht="13.5" thickTop="1" x14ac:dyDescent="0.2">
      <c r="U72" s="5"/>
      <c r="V72" s="5"/>
      <c r="W72" s="5"/>
      <c r="BN72" s="5"/>
      <c r="BO72" s="5"/>
      <c r="BP72" s="5"/>
      <c r="BQ72" s="5"/>
    </row>
    <row r="73" spans="1:76" x14ac:dyDescent="0.2">
      <c r="L73" s="3"/>
      <c r="U73" s="5"/>
      <c r="V73" s="5"/>
      <c r="W73" s="5"/>
      <c r="AH73" s="5"/>
      <c r="BN73" s="5"/>
      <c r="BO73" s="5"/>
      <c r="BP73" s="5"/>
      <c r="BQ73" s="5"/>
    </row>
    <row r="74" spans="1:76" x14ac:dyDescent="0.2">
      <c r="U74" s="5"/>
      <c r="V74" s="5"/>
      <c r="W74" s="5"/>
      <c r="BN74" s="5"/>
      <c r="BO74" s="5"/>
      <c r="BP74" s="5"/>
      <c r="BQ74" s="5"/>
    </row>
    <row r="75" spans="1:76" x14ac:dyDescent="0.2">
      <c r="U75" s="5"/>
      <c r="V75" s="5"/>
      <c r="W75" s="5"/>
      <c r="AG75" s="5"/>
      <c r="AH75" s="5"/>
      <c r="AK75" s="5"/>
      <c r="AL75" s="5"/>
      <c r="AS75" s="5"/>
      <c r="AT75" s="5"/>
      <c r="BN75" s="5"/>
      <c r="BO75" s="5"/>
      <c r="BP75" s="5"/>
      <c r="BQ75" s="5"/>
    </row>
    <row r="76" spans="1:76" x14ac:dyDescent="0.2">
      <c r="U76" s="5"/>
      <c r="V76" s="5"/>
      <c r="W76" s="5"/>
      <c r="AO76"/>
      <c r="AP76"/>
      <c r="AX76"/>
      <c r="AY76"/>
      <c r="BB76"/>
      <c r="BC76"/>
      <c r="BF76"/>
      <c r="BG76"/>
      <c r="BJ76"/>
      <c r="BK76"/>
      <c r="BN76"/>
      <c r="BO76"/>
      <c r="BP76" s="5"/>
      <c r="BQ76" s="5"/>
      <c r="BR76"/>
      <c r="BS76"/>
      <c r="BV76"/>
      <c r="BW76"/>
    </row>
    <row r="77" spans="1:76" x14ac:dyDescent="0.2">
      <c r="U77" s="5"/>
      <c r="V77" s="5"/>
      <c r="W77" s="5"/>
      <c r="AG77" s="5"/>
      <c r="AH77" s="5"/>
      <c r="AK77" s="5"/>
      <c r="AL77" s="5"/>
      <c r="AS77" s="5"/>
      <c r="AT77" s="5"/>
      <c r="BN77" s="5"/>
      <c r="BO77" s="5"/>
      <c r="BP77" s="5"/>
      <c r="BQ77" s="5"/>
    </row>
    <row r="78" spans="1:76" x14ac:dyDescent="0.2">
      <c r="U78" s="5"/>
      <c r="V78" s="5"/>
      <c r="W78" s="5"/>
      <c r="BN78" s="5"/>
      <c r="BO78" s="5"/>
      <c r="BP78" s="5"/>
      <c r="BQ78" s="5"/>
    </row>
    <row r="79" spans="1:76" x14ac:dyDescent="0.2">
      <c r="A79"/>
      <c r="U79" s="5"/>
      <c r="V79" s="5"/>
      <c r="W79" s="5"/>
      <c r="BN79" s="5"/>
      <c r="BO79" s="5"/>
      <c r="BP79" s="5"/>
      <c r="BQ79" s="5"/>
    </row>
    <row r="80" spans="1:76" x14ac:dyDescent="0.2">
      <c r="A80"/>
      <c r="U80" s="5"/>
      <c r="V80" s="5"/>
      <c r="W80" s="5"/>
      <c r="BN80" s="5"/>
      <c r="BO80" s="5"/>
      <c r="BP80" s="5"/>
      <c r="BQ80" s="5"/>
    </row>
    <row r="81" spans="1:69" x14ac:dyDescent="0.2">
      <c r="A81"/>
      <c r="U81" s="5"/>
      <c r="V81" s="5"/>
      <c r="W81" s="5"/>
      <c r="BN81" s="5"/>
      <c r="BO81" s="5"/>
      <c r="BP81" s="5"/>
      <c r="BQ81" s="5"/>
    </row>
    <row r="82" spans="1:69" x14ac:dyDescent="0.2">
      <c r="A82"/>
      <c r="U82" s="5"/>
      <c r="V82" s="5"/>
      <c r="W82" s="5"/>
      <c r="BN82" s="5"/>
      <c r="BO82" s="5"/>
      <c r="BP82" s="5"/>
      <c r="BQ82" s="5"/>
    </row>
    <row r="83" spans="1:69" x14ac:dyDescent="0.2">
      <c r="A83"/>
      <c r="U83" s="5"/>
      <c r="V83" s="5"/>
      <c r="W83" s="5"/>
      <c r="BN83" s="5"/>
      <c r="BO83" s="5"/>
      <c r="BP83" s="5"/>
      <c r="BQ83" s="5"/>
    </row>
    <row r="84" spans="1:69" x14ac:dyDescent="0.2">
      <c r="A84"/>
      <c r="M84"/>
      <c r="N84"/>
      <c r="O84"/>
      <c r="Q84"/>
      <c r="R84"/>
      <c r="S84"/>
      <c r="U84" s="5"/>
      <c r="V84" s="5"/>
      <c r="W84" s="5"/>
      <c r="AC84"/>
      <c r="AD84"/>
      <c r="AE84"/>
      <c r="BN84" s="5"/>
      <c r="BO84" s="5"/>
      <c r="BP84" s="5"/>
      <c r="BQ84" s="5"/>
    </row>
    <row r="85" spans="1:69" x14ac:dyDescent="0.2">
      <c r="A85"/>
      <c r="C85"/>
      <c r="D85"/>
      <c r="E85"/>
      <c r="F85"/>
      <c r="G85"/>
      <c r="H85"/>
      <c r="I85"/>
      <c r="J85"/>
      <c r="K85"/>
      <c r="L85"/>
      <c r="M85"/>
      <c r="N85"/>
      <c r="O85"/>
      <c r="P85"/>
      <c r="Q85"/>
      <c r="R85"/>
      <c r="S85"/>
      <c r="T85"/>
      <c r="U85" s="5"/>
      <c r="V85" s="5"/>
      <c r="W85" s="5"/>
      <c r="AC85"/>
      <c r="AD85"/>
      <c r="AE85"/>
      <c r="AF85"/>
      <c r="AN85"/>
      <c r="BN85" s="5"/>
      <c r="BO85" s="5"/>
      <c r="BP85" s="5"/>
      <c r="BQ85" s="5"/>
    </row>
    <row r="86" spans="1:69" x14ac:dyDescent="0.2">
      <c r="A86"/>
      <c r="C86"/>
      <c r="D86"/>
      <c r="E86"/>
      <c r="F86"/>
      <c r="G86"/>
      <c r="H86"/>
      <c r="I86"/>
      <c r="J86"/>
      <c r="K86"/>
      <c r="L86"/>
      <c r="M86"/>
      <c r="N86"/>
      <c r="O86"/>
      <c r="P86"/>
      <c r="Q86"/>
      <c r="R86"/>
      <c r="S86"/>
      <c r="T86"/>
      <c r="U86" s="5"/>
      <c r="V86" s="5"/>
      <c r="W86" s="5"/>
      <c r="AC86"/>
      <c r="AD86"/>
      <c r="AE86"/>
      <c r="AF86"/>
      <c r="AN86"/>
      <c r="BN86" s="5"/>
      <c r="BO86" s="5"/>
      <c r="BP86" s="5"/>
      <c r="BQ86" s="5"/>
    </row>
    <row r="87" spans="1:69" x14ac:dyDescent="0.2">
      <c r="A87"/>
      <c r="C87"/>
      <c r="D87"/>
      <c r="E87"/>
      <c r="F87"/>
      <c r="G87"/>
      <c r="H87"/>
      <c r="I87"/>
      <c r="J87"/>
      <c r="K87"/>
      <c r="L87"/>
      <c r="M87"/>
      <c r="N87"/>
      <c r="O87"/>
      <c r="P87"/>
      <c r="Q87"/>
      <c r="R87"/>
      <c r="S87"/>
      <c r="T87"/>
      <c r="U87" s="5"/>
      <c r="V87" s="5"/>
      <c r="W87" s="5"/>
      <c r="AC87"/>
      <c r="AD87"/>
      <c r="AE87"/>
      <c r="AF87"/>
      <c r="AN87"/>
      <c r="BN87" s="5"/>
      <c r="BO87" s="5"/>
      <c r="BP87" s="5"/>
      <c r="BQ87" s="5"/>
    </row>
    <row r="88" spans="1:69" x14ac:dyDescent="0.2">
      <c r="A88"/>
      <c r="C88"/>
      <c r="D88"/>
      <c r="E88"/>
      <c r="F88"/>
      <c r="G88"/>
      <c r="H88"/>
      <c r="I88"/>
      <c r="J88"/>
      <c r="K88"/>
      <c r="L88"/>
      <c r="M88"/>
      <c r="N88"/>
      <c r="O88"/>
      <c r="P88"/>
      <c r="Q88"/>
      <c r="R88"/>
      <c r="S88"/>
      <c r="T88"/>
      <c r="U88" s="5"/>
      <c r="V88" s="5"/>
      <c r="W88" s="5"/>
      <c r="AC88"/>
      <c r="AD88"/>
      <c r="AE88"/>
      <c r="AF88"/>
      <c r="AN88"/>
      <c r="BN88" s="5"/>
      <c r="BO88" s="5"/>
      <c r="BP88" s="5"/>
      <c r="BQ88" s="5"/>
    </row>
    <row r="89" spans="1:69" x14ac:dyDescent="0.2">
      <c r="A89"/>
      <c r="C89"/>
      <c r="D89"/>
      <c r="E89"/>
      <c r="F89"/>
      <c r="G89"/>
      <c r="H89"/>
      <c r="I89"/>
      <c r="J89"/>
      <c r="K89"/>
      <c r="L89"/>
      <c r="M89"/>
      <c r="N89"/>
      <c r="O89"/>
      <c r="P89"/>
      <c r="Q89"/>
      <c r="R89"/>
      <c r="S89"/>
      <c r="T89"/>
      <c r="U89" s="5"/>
      <c r="V89" s="5"/>
      <c r="W89" s="5"/>
      <c r="AC89"/>
      <c r="AD89"/>
      <c r="AE89"/>
      <c r="AF89"/>
      <c r="AN89"/>
      <c r="BN89" s="5"/>
      <c r="BO89" s="5"/>
      <c r="BP89" s="5"/>
      <c r="BQ89" s="5"/>
    </row>
    <row r="90" spans="1:69" x14ac:dyDescent="0.2">
      <c r="A90"/>
      <c r="C90"/>
      <c r="D90"/>
      <c r="E90"/>
      <c r="F90"/>
      <c r="G90"/>
      <c r="H90"/>
      <c r="I90"/>
      <c r="J90"/>
      <c r="K90"/>
      <c r="L90"/>
      <c r="M90"/>
      <c r="N90"/>
      <c r="O90"/>
      <c r="P90"/>
      <c r="Q90"/>
      <c r="R90"/>
      <c r="S90"/>
      <c r="T90"/>
      <c r="U90" s="5"/>
      <c r="V90" s="5"/>
      <c r="W90" s="5"/>
      <c r="AC90"/>
      <c r="AD90"/>
      <c r="AE90"/>
      <c r="AF90"/>
      <c r="AN90"/>
      <c r="BN90" s="5"/>
      <c r="BO90" s="5"/>
      <c r="BP90" s="5"/>
      <c r="BQ90" s="5"/>
    </row>
    <row r="91" spans="1:69" x14ac:dyDescent="0.2">
      <c r="A91"/>
      <c r="C91"/>
      <c r="D91"/>
      <c r="E91"/>
      <c r="F91"/>
      <c r="G91"/>
      <c r="H91"/>
      <c r="I91"/>
      <c r="J91"/>
      <c r="K91"/>
      <c r="L91"/>
      <c r="M91"/>
      <c r="N91"/>
      <c r="O91"/>
      <c r="P91"/>
      <c r="Q91"/>
      <c r="R91"/>
      <c r="S91"/>
      <c r="T91"/>
      <c r="U91" s="5"/>
      <c r="V91" s="5"/>
      <c r="W91" s="5"/>
      <c r="AC91"/>
      <c r="AD91"/>
      <c r="AE91"/>
      <c r="AF91"/>
      <c r="AN91"/>
      <c r="BN91" s="5"/>
      <c r="BO91" s="5"/>
      <c r="BP91" s="5"/>
      <c r="BQ91" s="5"/>
    </row>
    <row r="92" spans="1:69" x14ac:dyDescent="0.2">
      <c r="A92"/>
      <c r="C92"/>
      <c r="D92"/>
      <c r="E92"/>
      <c r="F92"/>
      <c r="G92"/>
      <c r="H92"/>
      <c r="I92"/>
      <c r="J92"/>
      <c r="K92"/>
      <c r="L92"/>
      <c r="M92"/>
      <c r="N92"/>
      <c r="O92"/>
      <c r="P92"/>
      <c r="Q92"/>
      <c r="R92"/>
      <c r="S92"/>
      <c r="T92"/>
      <c r="U92" s="5"/>
      <c r="V92" s="5"/>
      <c r="W92" s="5"/>
      <c r="AC92"/>
      <c r="AD92"/>
      <c r="AE92"/>
      <c r="AF92"/>
      <c r="AN92"/>
      <c r="BN92" s="5"/>
      <c r="BO92" s="5"/>
      <c r="BP92" s="5"/>
      <c r="BQ92" s="5"/>
    </row>
    <row r="93" spans="1:69" x14ac:dyDescent="0.2">
      <c r="A93"/>
      <c r="C93"/>
      <c r="D93"/>
      <c r="E93"/>
      <c r="F93"/>
      <c r="G93"/>
      <c r="H93"/>
      <c r="I93"/>
      <c r="J93"/>
      <c r="K93"/>
      <c r="L93"/>
      <c r="M93"/>
      <c r="N93"/>
      <c r="O93"/>
      <c r="P93"/>
      <c r="Q93"/>
      <c r="R93"/>
      <c r="S93"/>
      <c r="T93"/>
      <c r="U93" s="5"/>
      <c r="V93" s="5"/>
      <c r="W93" s="5"/>
      <c r="AC93"/>
      <c r="AD93"/>
      <c r="AE93"/>
      <c r="AF93"/>
      <c r="AN93"/>
      <c r="BN93" s="5"/>
      <c r="BO93" s="5"/>
      <c r="BP93" s="5"/>
      <c r="BQ93" s="5"/>
    </row>
    <row r="94" spans="1:69" x14ac:dyDescent="0.2">
      <c r="A94"/>
      <c r="C94"/>
      <c r="D94"/>
      <c r="E94"/>
      <c r="F94"/>
      <c r="G94"/>
      <c r="H94"/>
      <c r="I94"/>
      <c r="J94"/>
      <c r="K94"/>
      <c r="L94"/>
      <c r="M94"/>
      <c r="N94"/>
      <c r="O94"/>
      <c r="P94"/>
      <c r="Q94"/>
      <c r="R94"/>
      <c r="S94"/>
      <c r="T94"/>
      <c r="U94" s="5"/>
      <c r="V94" s="5"/>
      <c r="W94" s="5"/>
      <c r="AC94"/>
      <c r="AD94"/>
      <c r="AE94"/>
      <c r="AF94"/>
      <c r="AN94"/>
      <c r="BN94" s="5"/>
      <c r="BO94" s="5"/>
      <c r="BP94" s="5"/>
      <c r="BQ94" s="5"/>
    </row>
    <row r="95" spans="1:69" x14ac:dyDescent="0.2">
      <c r="A95"/>
      <c r="C95"/>
      <c r="D95"/>
      <c r="E95"/>
      <c r="F95"/>
      <c r="G95"/>
      <c r="H95"/>
      <c r="I95"/>
      <c r="J95"/>
      <c r="K95"/>
      <c r="L95"/>
      <c r="M95"/>
      <c r="N95"/>
      <c r="O95"/>
      <c r="P95"/>
      <c r="Q95"/>
      <c r="R95"/>
      <c r="S95"/>
      <c r="T95"/>
      <c r="U95" s="5"/>
      <c r="V95" s="5"/>
      <c r="W95" s="5"/>
      <c r="AC95"/>
      <c r="AD95"/>
      <c r="AE95"/>
      <c r="AF95"/>
      <c r="AN95"/>
      <c r="BN95" s="5"/>
      <c r="BO95" s="5"/>
      <c r="BP95" s="5"/>
      <c r="BQ95" s="5"/>
    </row>
    <row r="96" spans="1:69" x14ac:dyDescent="0.2">
      <c r="A96"/>
      <c r="C96"/>
      <c r="D96"/>
      <c r="E96"/>
      <c r="F96"/>
      <c r="G96"/>
      <c r="H96"/>
      <c r="I96"/>
      <c r="J96"/>
      <c r="K96"/>
      <c r="L96"/>
      <c r="M96"/>
      <c r="N96"/>
      <c r="O96"/>
      <c r="P96"/>
      <c r="Q96"/>
      <c r="R96"/>
      <c r="S96"/>
      <c r="T96"/>
      <c r="U96" s="5"/>
      <c r="V96" s="5"/>
      <c r="W96" s="5"/>
      <c r="AC96"/>
      <c r="AD96"/>
      <c r="AE96"/>
      <c r="AF96"/>
      <c r="AN96"/>
      <c r="BN96" s="5"/>
      <c r="BO96" s="5"/>
      <c r="BP96" s="5"/>
      <c r="BQ96" s="5"/>
    </row>
    <row r="97" spans="1:69" x14ac:dyDescent="0.2">
      <c r="A97"/>
      <c r="C97"/>
      <c r="D97"/>
      <c r="E97"/>
      <c r="F97"/>
      <c r="G97"/>
      <c r="H97"/>
      <c r="I97"/>
      <c r="J97"/>
      <c r="K97"/>
      <c r="L97"/>
      <c r="M97"/>
      <c r="N97"/>
      <c r="O97"/>
      <c r="P97"/>
      <c r="Q97"/>
      <c r="R97"/>
      <c r="S97"/>
      <c r="T97"/>
      <c r="U97" s="5"/>
      <c r="V97" s="5"/>
      <c r="W97" s="5"/>
      <c r="AC97"/>
      <c r="AD97"/>
      <c r="AE97"/>
      <c r="AF97"/>
      <c r="AN97"/>
      <c r="BN97" s="5"/>
      <c r="BO97" s="5"/>
      <c r="BP97" s="5"/>
      <c r="BQ97" s="5"/>
    </row>
    <row r="98" spans="1:69" x14ac:dyDescent="0.2">
      <c r="A98"/>
      <c r="C98"/>
      <c r="D98"/>
      <c r="E98"/>
      <c r="F98"/>
      <c r="G98"/>
      <c r="H98"/>
      <c r="I98"/>
      <c r="J98"/>
      <c r="K98"/>
      <c r="L98"/>
      <c r="M98"/>
      <c r="N98"/>
      <c r="O98"/>
      <c r="P98"/>
      <c r="Q98"/>
      <c r="R98"/>
      <c r="S98"/>
      <c r="T98"/>
      <c r="U98" s="5"/>
      <c r="V98" s="5"/>
      <c r="W98" s="5"/>
      <c r="AC98"/>
      <c r="AD98"/>
      <c r="AE98"/>
      <c r="AF98"/>
      <c r="AN98"/>
      <c r="BN98" s="5"/>
      <c r="BO98" s="5"/>
      <c r="BP98" s="5"/>
      <c r="BQ98" s="5"/>
    </row>
    <row r="99" spans="1:69" x14ac:dyDescent="0.2">
      <c r="A99"/>
      <c r="C99"/>
      <c r="D99"/>
      <c r="E99"/>
      <c r="F99"/>
      <c r="G99"/>
      <c r="H99"/>
      <c r="I99"/>
      <c r="J99"/>
      <c r="K99"/>
      <c r="L99"/>
      <c r="M99"/>
      <c r="N99"/>
      <c r="O99"/>
      <c r="P99"/>
      <c r="Q99"/>
      <c r="R99"/>
      <c r="S99"/>
      <c r="T99"/>
      <c r="U99" s="5"/>
      <c r="V99" s="5"/>
      <c r="W99" s="5"/>
      <c r="AC99"/>
      <c r="AD99"/>
      <c r="AE99"/>
      <c r="AF99"/>
      <c r="AN99"/>
      <c r="BN99" s="5"/>
      <c r="BO99" s="5"/>
      <c r="BP99" s="5"/>
      <c r="BQ99" s="5"/>
    </row>
    <row r="100" spans="1:69" x14ac:dyDescent="0.2">
      <c r="A100"/>
      <c r="C100"/>
      <c r="D100"/>
      <c r="E100"/>
      <c r="F100"/>
      <c r="G100"/>
      <c r="H100"/>
      <c r="I100"/>
      <c r="J100"/>
      <c r="K100"/>
      <c r="L100"/>
      <c r="M100"/>
      <c r="N100"/>
      <c r="O100"/>
      <c r="P100"/>
      <c r="Q100"/>
      <c r="R100"/>
      <c r="S100"/>
      <c r="T100"/>
      <c r="U100" s="5"/>
      <c r="V100" s="5"/>
      <c r="W100" s="5"/>
      <c r="AC100"/>
      <c r="AD100"/>
      <c r="AE100"/>
      <c r="AF100"/>
      <c r="AN100"/>
      <c r="BN100" s="5"/>
      <c r="BO100" s="5"/>
      <c r="BP100" s="5"/>
      <c r="BQ100" s="5"/>
    </row>
    <row r="101" spans="1:69" x14ac:dyDescent="0.2">
      <c r="A101"/>
      <c r="C101"/>
      <c r="D101"/>
      <c r="E101"/>
      <c r="F101"/>
      <c r="G101"/>
      <c r="H101"/>
      <c r="I101"/>
      <c r="J101"/>
      <c r="K101"/>
      <c r="L101"/>
      <c r="M101"/>
      <c r="N101"/>
      <c r="O101"/>
      <c r="P101"/>
      <c r="Q101"/>
      <c r="R101"/>
      <c r="S101"/>
      <c r="T101"/>
      <c r="U101" s="5"/>
      <c r="V101" s="5"/>
      <c r="W101" s="5"/>
      <c r="AC101"/>
      <c r="AD101"/>
      <c r="AE101"/>
      <c r="AF101"/>
      <c r="AN101"/>
      <c r="BN101" s="5"/>
      <c r="BO101" s="5"/>
      <c r="BP101" s="5"/>
      <c r="BQ101" s="5"/>
    </row>
    <row r="102" spans="1:69" x14ac:dyDescent="0.2">
      <c r="A102"/>
      <c r="C102"/>
      <c r="D102"/>
      <c r="E102"/>
      <c r="F102"/>
      <c r="G102"/>
      <c r="H102"/>
      <c r="I102"/>
      <c r="J102"/>
      <c r="K102"/>
      <c r="L102"/>
      <c r="M102"/>
      <c r="N102"/>
      <c r="O102"/>
      <c r="P102"/>
      <c r="Q102"/>
      <c r="R102"/>
      <c r="S102"/>
      <c r="T102"/>
      <c r="U102" s="5"/>
      <c r="V102" s="5"/>
      <c r="W102" s="5"/>
      <c r="AC102"/>
      <c r="AD102"/>
      <c r="AE102"/>
      <c r="AF102"/>
      <c r="AN102"/>
      <c r="BN102" s="5"/>
      <c r="BO102" s="5"/>
      <c r="BP102" s="5"/>
      <c r="BQ102" s="5"/>
    </row>
    <row r="103" spans="1:69" x14ac:dyDescent="0.2">
      <c r="A103"/>
      <c r="C103"/>
      <c r="D103"/>
      <c r="E103"/>
      <c r="F103"/>
      <c r="G103"/>
      <c r="H103"/>
      <c r="I103"/>
      <c r="J103"/>
      <c r="K103"/>
      <c r="L103"/>
      <c r="M103"/>
      <c r="N103"/>
      <c r="O103"/>
      <c r="P103"/>
      <c r="Q103"/>
      <c r="R103"/>
      <c r="S103"/>
      <c r="T103"/>
      <c r="U103" s="5"/>
      <c r="V103" s="5"/>
      <c r="W103" s="5"/>
      <c r="AC103"/>
      <c r="AD103"/>
      <c r="AE103"/>
      <c r="AF103"/>
      <c r="AN103"/>
      <c r="BN103" s="5"/>
      <c r="BO103" s="5"/>
      <c r="BP103" s="5"/>
      <c r="BQ103" s="5"/>
    </row>
    <row r="104" spans="1:69" x14ac:dyDescent="0.2">
      <c r="A104"/>
      <c r="C104"/>
      <c r="D104"/>
      <c r="E104"/>
      <c r="F104"/>
      <c r="G104"/>
      <c r="H104"/>
      <c r="I104"/>
      <c r="J104"/>
      <c r="K104"/>
      <c r="L104"/>
      <c r="M104"/>
      <c r="N104"/>
      <c r="O104"/>
      <c r="P104"/>
      <c r="Q104"/>
      <c r="R104"/>
      <c r="S104"/>
      <c r="T104"/>
      <c r="U104" s="5"/>
      <c r="V104" s="5"/>
      <c r="W104" s="5"/>
      <c r="AC104"/>
      <c r="AD104"/>
      <c r="AE104"/>
      <c r="AF104"/>
      <c r="AN104"/>
      <c r="BN104" s="5"/>
      <c r="BO104" s="5"/>
      <c r="BP104" s="5"/>
      <c r="BQ104" s="5"/>
    </row>
    <row r="105" spans="1:69" x14ac:dyDescent="0.2">
      <c r="A105"/>
      <c r="C105"/>
      <c r="D105"/>
      <c r="E105"/>
      <c r="F105"/>
      <c r="G105"/>
      <c r="H105"/>
      <c r="I105"/>
      <c r="J105"/>
      <c r="K105"/>
      <c r="L105"/>
      <c r="M105"/>
      <c r="N105"/>
      <c r="O105"/>
      <c r="P105"/>
      <c r="Q105"/>
      <c r="R105"/>
      <c r="S105"/>
      <c r="T105"/>
      <c r="U105" s="5"/>
      <c r="V105" s="5"/>
      <c r="W105" s="5"/>
      <c r="AC105"/>
      <c r="AD105"/>
      <c r="AE105"/>
      <c r="AF105"/>
      <c r="AN105"/>
      <c r="BN105" s="5"/>
      <c r="BO105" s="5"/>
      <c r="BP105" s="5"/>
      <c r="BQ105" s="5"/>
    </row>
    <row r="106" spans="1:69" x14ac:dyDescent="0.2">
      <c r="C106"/>
      <c r="D106"/>
      <c r="E106"/>
      <c r="F106"/>
      <c r="G106"/>
      <c r="H106"/>
      <c r="I106"/>
      <c r="J106"/>
      <c r="K106"/>
      <c r="L106"/>
      <c r="M106"/>
      <c r="N106"/>
      <c r="O106"/>
      <c r="P106"/>
      <c r="Q106"/>
      <c r="R106"/>
      <c r="S106"/>
      <c r="T106"/>
      <c r="U106" s="5"/>
      <c r="V106" s="5"/>
      <c r="W106" s="5"/>
      <c r="AC106"/>
      <c r="AD106"/>
      <c r="AE106"/>
      <c r="AF106"/>
      <c r="AN106"/>
      <c r="BN106" s="5"/>
      <c r="BO106" s="5"/>
      <c r="BP106" s="5"/>
      <c r="BQ106" s="5"/>
    </row>
    <row r="107" spans="1:69" x14ac:dyDescent="0.2">
      <c r="C107"/>
      <c r="D107"/>
      <c r="E107"/>
      <c r="F107"/>
      <c r="G107"/>
      <c r="H107"/>
      <c r="I107"/>
      <c r="J107"/>
      <c r="K107"/>
      <c r="L107"/>
      <c r="M107"/>
      <c r="N107"/>
      <c r="O107"/>
      <c r="P107"/>
      <c r="Q107"/>
      <c r="R107"/>
      <c r="S107"/>
      <c r="T107"/>
      <c r="U107" s="5"/>
      <c r="V107" s="5"/>
      <c r="W107" s="5"/>
      <c r="AC107"/>
      <c r="AD107"/>
      <c r="AE107"/>
      <c r="AF107"/>
      <c r="AN107"/>
      <c r="BN107" s="5"/>
      <c r="BO107" s="5"/>
      <c r="BP107" s="5"/>
      <c r="BQ107" s="5"/>
    </row>
    <row r="108" spans="1:69" x14ac:dyDescent="0.2">
      <c r="C108"/>
      <c r="D108"/>
      <c r="E108"/>
      <c r="F108"/>
      <c r="G108"/>
      <c r="H108"/>
      <c r="I108"/>
      <c r="J108"/>
      <c r="K108"/>
      <c r="L108"/>
      <c r="M108"/>
      <c r="N108"/>
      <c r="O108"/>
      <c r="P108"/>
      <c r="Q108"/>
      <c r="R108"/>
      <c r="S108"/>
      <c r="T108"/>
      <c r="U108" s="5"/>
      <c r="V108" s="5"/>
      <c r="W108" s="5"/>
      <c r="AC108"/>
      <c r="AD108"/>
      <c r="AE108"/>
      <c r="AF108"/>
      <c r="AN108"/>
      <c r="BN108" s="5"/>
      <c r="BO108" s="5"/>
      <c r="BP108" s="5"/>
      <c r="BQ108" s="5"/>
    </row>
    <row r="109" spans="1:69" x14ac:dyDescent="0.2">
      <c r="C109"/>
      <c r="D109"/>
      <c r="E109"/>
      <c r="F109"/>
      <c r="G109"/>
      <c r="H109"/>
      <c r="I109"/>
      <c r="J109"/>
      <c r="K109"/>
      <c r="L109"/>
      <c r="M109"/>
      <c r="N109"/>
      <c r="O109"/>
      <c r="P109"/>
      <c r="Q109"/>
      <c r="R109"/>
      <c r="S109"/>
      <c r="T109"/>
      <c r="U109" s="5"/>
      <c r="V109" s="5"/>
      <c r="W109" s="5"/>
      <c r="AC109"/>
      <c r="AD109"/>
      <c r="AE109"/>
      <c r="AF109"/>
      <c r="AN109"/>
      <c r="BN109" s="5"/>
      <c r="BO109" s="5"/>
      <c r="BP109" s="5"/>
      <c r="BQ109" s="5"/>
    </row>
    <row r="110" spans="1:69" x14ac:dyDescent="0.2">
      <c r="C110"/>
      <c r="D110"/>
      <c r="E110"/>
      <c r="F110"/>
      <c r="G110"/>
      <c r="H110"/>
      <c r="I110"/>
      <c r="J110"/>
      <c r="K110"/>
      <c r="L110"/>
      <c r="M110"/>
      <c r="N110"/>
      <c r="O110"/>
      <c r="P110"/>
      <c r="Q110"/>
      <c r="R110"/>
      <c r="S110"/>
      <c r="T110"/>
      <c r="U110" s="5"/>
      <c r="V110" s="5"/>
      <c r="W110" s="5"/>
      <c r="AC110"/>
      <c r="AD110"/>
      <c r="AE110"/>
      <c r="AF110"/>
      <c r="AN110"/>
      <c r="BN110" s="5"/>
      <c r="BO110" s="5"/>
      <c r="BP110" s="5"/>
      <c r="BQ110" s="5"/>
    </row>
    <row r="111" spans="1:69" x14ac:dyDescent="0.2">
      <c r="C111"/>
      <c r="D111"/>
      <c r="E111"/>
      <c r="F111"/>
      <c r="G111"/>
      <c r="H111"/>
      <c r="I111"/>
      <c r="J111"/>
      <c r="K111"/>
      <c r="L111"/>
      <c r="P111"/>
      <c r="T111"/>
      <c r="U111" s="5"/>
      <c r="V111" s="5"/>
      <c r="W111" s="5"/>
      <c r="AF111"/>
      <c r="AN111"/>
      <c r="BN111" s="5"/>
      <c r="BO111" s="5"/>
      <c r="BP111" s="5"/>
      <c r="BQ111" s="5"/>
    </row>
    <row r="112" spans="1:69" x14ac:dyDescent="0.2">
      <c r="U112" s="5"/>
      <c r="V112" s="5"/>
      <c r="W112" s="5"/>
      <c r="BN112" s="5"/>
      <c r="BO112" s="5"/>
      <c r="BP112" s="5"/>
      <c r="BQ112" s="5"/>
    </row>
    <row r="113" spans="21:69" x14ac:dyDescent="0.2">
      <c r="U113" s="5"/>
      <c r="V113" s="5"/>
      <c r="W113" s="5"/>
      <c r="BN113" s="5"/>
      <c r="BO113" s="5"/>
      <c r="BP113" s="5"/>
      <c r="BQ113" s="5"/>
    </row>
    <row r="114" spans="21:69" x14ac:dyDescent="0.2">
      <c r="U114" s="5"/>
      <c r="V114" s="5"/>
      <c r="W114" s="5"/>
      <c r="BN114" s="5"/>
      <c r="BO114" s="5"/>
      <c r="BP114" s="5"/>
      <c r="BQ114" s="5"/>
    </row>
    <row r="115" spans="21:69" x14ac:dyDescent="0.2">
      <c r="U115" s="5"/>
      <c r="V115" s="5"/>
      <c r="W115" s="5"/>
      <c r="BN115" s="5"/>
      <c r="BO115" s="5"/>
      <c r="BP115" s="5"/>
      <c r="BQ115" s="5"/>
    </row>
    <row r="116" spans="21:69" x14ac:dyDescent="0.2">
      <c r="U116" s="5"/>
      <c r="V116" s="5"/>
      <c r="W116" s="5"/>
      <c r="BN116" s="5"/>
      <c r="BO116" s="5"/>
      <c r="BP116" s="5"/>
      <c r="BQ116" s="5"/>
    </row>
    <row r="117" spans="21:69" x14ac:dyDescent="0.2">
      <c r="U117" s="5"/>
      <c r="V117" s="5"/>
      <c r="W117" s="5"/>
      <c r="BN117" s="5"/>
      <c r="BO117" s="5"/>
      <c r="BP117" s="5"/>
      <c r="BQ117" s="5"/>
    </row>
    <row r="118" spans="21:69" x14ac:dyDescent="0.2">
      <c r="U118" s="5"/>
      <c r="V118" s="5"/>
      <c r="W118" s="5"/>
      <c r="BN118" s="5"/>
      <c r="BO118" s="5"/>
      <c r="BP118" s="5"/>
      <c r="BQ118" s="5"/>
    </row>
    <row r="119" spans="21:69" x14ac:dyDescent="0.2">
      <c r="U119" s="5"/>
      <c r="V119" s="5"/>
      <c r="W119" s="5"/>
      <c r="BN119" s="5"/>
      <c r="BO119" s="5"/>
      <c r="BP119" s="5"/>
      <c r="BQ119" s="5"/>
    </row>
    <row r="120" spans="21:69" x14ac:dyDescent="0.2">
      <c r="U120" s="5"/>
      <c r="V120" s="5"/>
      <c r="W120" s="5"/>
      <c r="BN120" s="5"/>
      <c r="BO120" s="5"/>
      <c r="BP120" s="5"/>
      <c r="BQ120" s="5"/>
    </row>
    <row r="121" spans="21:69" x14ac:dyDescent="0.2">
      <c r="U121" s="5"/>
      <c r="V121" s="5"/>
      <c r="W121" s="5"/>
      <c r="BN121" s="5"/>
      <c r="BO121" s="5"/>
      <c r="BP121" s="5"/>
      <c r="BQ121" s="5"/>
    </row>
    <row r="122" spans="21:69" x14ac:dyDescent="0.2">
      <c r="U122" s="5"/>
      <c r="V122" s="5"/>
      <c r="W122" s="5"/>
      <c r="BN122" s="5"/>
      <c r="BO122" s="5"/>
      <c r="BP122" s="5"/>
      <c r="BQ122" s="5"/>
    </row>
    <row r="123" spans="21:69" x14ac:dyDescent="0.2">
      <c r="U123" s="5"/>
      <c r="V123" s="5"/>
      <c r="W123" s="5"/>
      <c r="BN123" s="5"/>
      <c r="BO123" s="5"/>
      <c r="BP123" s="5"/>
      <c r="BQ123" s="5"/>
    </row>
    <row r="124" spans="21:69" x14ac:dyDescent="0.2">
      <c r="U124" s="5"/>
      <c r="V124" s="5"/>
      <c r="W124" s="5"/>
      <c r="BN124" s="5"/>
      <c r="BO124" s="5"/>
      <c r="BP124" s="5"/>
      <c r="BQ124" s="5"/>
    </row>
    <row r="125" spans="21:69" x14ac:dyDescent="0.2">
      <c r="U125" s="5"/>
      <c r="V125" s="5"/>
      <c r="W125" s="5"/>
      <c r="BN125" s="5"/>
      <c r="BO125" s="5"/>
      <c r="BP125" s="5"/>
      <c r="BQ125" s="5"/>
    </row>
    <row r="126" spans="21:69" x14ac:dyDescent="0.2">
      <c r="U126" s="5"/>
      <c r="V126" s="5"/>
      <c r="W126" s="5"/>
      <c r="BN126" s="5"/>
      <c r="BO126" s="5"/>
      <c r="BP126" s="5"/>
      <c r="BQ126" s="5"/>
    </row>
    <row r="127" spans="21:69" x14ac:dyDescent="0.2">
      <c r="U127" s="5"/>
      <c r="V127" s="5"/>
      <c r="W127" s="5"/>
      <c r="BN127" s="5"/>
      <c r="BO127" s="5"/>
      <c r="BP127" s="5"/>
      <c r="BQ127" s="5"/>
    </row>
    <row r="128" spans="21:69" x14ac:dyDescent="0.2">
      <c r="U128" s="5"/>
      <c r="V128" s="5"/>
      <c r="W128" s="5"/>
      <c r="BN128" s="5"/>
      <c r="BO128" s="5"/>
      <c r="BP128" s="5"/>
      <c r="BQ128" s="5"/>
    </row>
    <row r="129" spans="21:69" x14ac:dyDescent="0.2">
      <c r="U129" s="5"/>
      <c r="V129" s="5"/>
      <c r="W129" s="5"/>
      <c r="BN129" s="5"/>
      <c r="BO129" s="5"/>
      <c r="BP129" s="5"/>
      <c r="BQ129" s="5"/>
    </row>
    <row r="130" spans="21:69" x14ac:dyDescent="0.2">
      <c r="U130" s="5"/>
      <c r="V130" s="5"/>
      <c r="W130" s="5"/>
      <c r="BN130" s="5"/>
      <c r="BO130" s="5"/>
      <c r="BP130" s="5"/>
      <c r="BQ130" s="5"/>
    </row>
    <row r="131" spans="21:69" x14ac:dyDescent="0.2">
      <c r="U131" s="5"/>
      <c r="V131" s="5"/>
      <c r="W131" s="5"/>
      <c r="BN131" s="5"/>
      <c r="BO131" s="5"/>
      <c r="BP131" s="5"/>
      <c r="BQ131" s="5"/>
    </row>
    <row r="132" spans="21:69" x14ac:dyDescent="0.2">
      <c r="U132" s="5"/>
      <c r="V132" s="5"/>
      <c r="W132" s="5"/>
      <c r="BN132" s="5"/>
      <c r="BO132" s="5"/>
      <c r="BP132" s="5"/>
      <c r="BQ132" s="5"/>
    </row>
    <row r="133" spans="21:69" x14ac:dyDescent="0.2">
      <c r="U133" s="5"/>
      <c r="V133" s="5"/>
      <c r="W133" s="5"/>
      <c r="BN133" s="5"/>
      <c r="BO133" s="5"/>
      <c r="BP133" s="5"/>
      <c r="BQ133" s="5"/>
    </row>
    <row r="134" spans="21:69" x14ac:dyDescent="0.2">
      <c r="U134" s="5"/>
      <c r="V134" s="5"/>
      <c r="W134" s="5"/>
      <c r="BN134" s="5"/>
      <c r="BO134" s="5"/>
      <c r="BP134" s="5"/>
      <c r="BQ134" s="5"/>
    </row>
    <row r="135" spans="21:69" x14ac:dyDescent="0.2">
      <c r="U135" s="5"/>
      <c r="V135" s="5"/>
      <c r="W135" s="5"/>
      <c r="BN135" s="5"/>
      <c r="BO135" s="5"/>
      <c r="BP135" s="5"/>
      <c r="BQ135" s="5"/>
    </row>
    <row r="136" spans="21:69" x14ac:dyDescent="0.2">
      <c r="U136" s="5"/>
      <c r="V136" s="5"/>
      <c r="W136" s="5"/>
      <c r="BN136" s="5"/>
      <c r="BO136" s="5"/>
      <c r="BP136" s="5"/>
      <c r="BQ136" s="5"/>
    </row>
    <row r="137" spans="21:69" x14ac:dyDescent="0.2">
      <c r="U137" s="5"/>
      <c r="V137" s="5"/>
      <c r="W137" s="5"/>
      <c r="BN137" s="5"/>
      <c r="BO137" s="5"/>
      <c r="BP137" s="5"/>
      <c r="BQ137" s="5"/>
    </row>
    <row r="138" spans="21:69" x14ac:dyDescent="0.2">
      <c r="U138" s="5"/>
      <c r="V138" s="5"/>
      <c r="W138" s="5"/>
      <c r="BN138" s="5"/>
      <c r="BO138" s="5"/>
      <c r="BP138" s="5"/>
      <c r="BQ138" s="5"/>
    </row>
    <row r="139" spans="21:69" x14ac:dyDescent="0.2">
      <c r="U139" s="5"/>
      <c r="V139" s="5"/>
      <c r="W139" s="5"/>
      <c r="BN139" s="5"/>
      <c r="BO139" s="5"/>
      <c r="BP139" s="5"/>
      <c r="BQ139" s="5"/>
    </row>
    <row r="140" spans="21:69" x14ac:dyDescent="0.2">
      <c r="U140" s="5"/>
      <c r="V140" s="5"/>
      <c r="W140" s="5"/>
      <c r="BN140" s="5"/>
      <c r="BO140" s="5"/>
      <c r="BP140" s="5"/>
      <c r="BQ140" s="5"/>
    </row>
    <row r="141" spans="21:69" x14ac:dyDescent="0.2">
      <c r="U141" s="5"/>
      <c r="V141" s="5"/>
      <c r="W141" s="5"/>
      <c r="BN141" s="5"/>
      <c r="BO141" s="5"/>
      <c r="BP141" s="5"/>
      <c r="BQ141" s="5"/>
    </row>
    <row r="142" spans="21:69" x14ac:dyDescent="0.2">
      <c r="U142" s="5"/>
      <c r="V142" s="5"/>
      <c r="W142" s="5"/>
      <c r="BN142" s="5"/>
      <c r="BO142" s="5"/>
      <c r="BP142" s="5"/>
      <c r="BQ142" s="5"/>
    </row>
    <row r="143" spans="21:69" x14ac:dyDescent="0.2">
      <c r="U143" s="5"/>
      <c r="V143" s="5"/>
      <c r="W143" s="5"/>
      <c r="BN143" s="5"/>
      <c r="BO143" s="5"/>
      <c r="BP143" s="5"/>
      <c r="BQ143" s="5"/>
    </row>
    <row r="144" spans="21:69" x14ac:dyDescent="0.2">
      <c r="U144" s="5"/>
      <c r="V144" s="5"/>
      <c r="W144" s="5"/>
      <c r="BN144" s="5"/>
      <c r="BO144" s="5"/>
      <c r="BP144" s="5"/>
      <c r="BQ144" s="5"/>
    </row>
    <row r="145" spans="21:69" x14ac:dyDescent="0.2">
      <c r="U145" s="5"/>
      <c r="V145" s="5"/>
      <c r="W145" s="5"/>
      <c r="BN145" s="5"/>
      <c r="BO145" s="5"/>
      <c r="BP145" s="5"/>
      <c r="BQ145" s="5"/>
    </row>
    <row r="146" spans="21:69" x14ac:dyDescent="0.2">
      <c r="U146" s="5"/>
      <c r="V146" s="5"/>
      <c r="W146" s="5"/>
      <c r="BN146" s="5"/>
      <c r="BO146" s="5"/>
      <c r="BP146" s="5"/>
      <c r="BQ146" s="5"/>
    </row>
    <row r="147" spans="21:69" x14ac:dyDescent="0.2">
      <c r="U147" s="5"/>
      <c r="V147" s="5"/>
      <c r="W147" s="5"/>
      <c r="BN147" s="5"/>
      <c r="BO147" s="5"/>
      <c r="BP147" s="5"/>
      <c r="BQ147" s="5"/>
    </row>
    <row r="148" spans="21:69" x14ac:dyDescent="0.2">
      <c r="U148" s="5"/>
      <c r="V148" s="5"/>
      <c r="W148" s="5"/>
      <c r="BN148" s="5"/>
      <c r="BO148" s="5"/>
      <c r="BP148" s="5"/>
      <c r="BQ148" s="5"/>
    </row>
    <row r="149" spans="21:69" x14ac:dyDescent="0.2">
      <c r="U149" s="5"/>
      <c r="V149" s="5"/>
      <c r="W149" s="5"/>
      <c r="BN149" s="5"/>
      <c r="BO149" s="5"/>
      <c r="BP149" s="5"/>
      <c r="BQ149" s="5"/>
    </row>
    <row r="150" spans="21:69" x14ac:dyDescent="0.2">
      <c r="U150" s="5"/>
      <c r="V150" s="5"/>
      <c r="W150" s="5"/>
      <c r="BN150" s="5"/>
      <c r="BO150" s="5"/>
      <c r="BP150" s="5"/>
      <c r="BQ150" s="5"/>
    </row>
    <row r="151" spans="21:69" x14ac:dyDescent="0.2">
      <c r="U151" s="5"/>
      <c r="V151" s="5"/>
      <c r="W151" s="5"/>
      <c r="BN151" s="5"/>
      <c r="BO151" s="5"/>
      <c r="BP151" s="5"/>
      <c r="BQ151" s="5"/>
    </row>
    <row r="152" spans="21:69" x14ac:dyDescent="0.2">
      <c r="U152" s="5"/>
      <c r="V152" s="5"/>
      <c r="W152" s="5"/>
      <c r="BN152" s="5"/>
      <c r="BO152" s="5"/>
      <c r="BP152" s="5"/>
      <c r="BQ152" s="5"/>
    </row>
    <row r="153" spans="21:69" x14ac:dyDescent="0.2">
      <c r="U153" s="5"/>
      <c r="V153" s="5"/>
      <c r="W153" s="5"/>
      <c r="BN153" s="5"/>
      <c r="BO153" s="5"/>
      <c r="BP153" s="5"/>
      <c r="BQ153" s="5"/>
    </row>
    <row r="154" spans="21:69" x14ac:dyDescent="0.2">
      <c r="U154" s="5"/>
      <c r="V154" s="5"/>
      <c r="W154" s="5"/>
      <c r="BN154" s="5"/>
      <c r="BO154" s="5"/>
      <c r="BP154" s="5"/>
      <c r="BQ154" s="5"/>
    </row>
    <row r="155" spans="21:69" x14ac:dyDescent="0.2">
      <c r="U155" s="5"/>
      <c r="V155" s="5"/>
      <c r="W155" s="5"/>
      <c r="BN155" s="5"/>
      <c r="BO155" s="5"/>
      <c r="BP155" s="5"/>
      <c r="BQ155" s="5"/>
    </row>
    <row r="156" spans="21:69" x14ac:dyDescent="0.2">
      <c r="U156" s="5"/>
      <c r="V156" s="5"/>
      <c r="W156" s="5"/>
      <c r="BN156" s="5"/>
      <c r="BO156" s="5"/>
      <c r="BP156" s="5"/>
      <c r="BQ156" s="5"/>
    </row>
    <row r="157" spans="21:69" x14ac:dyDescent="0.2">
      <c r="U157" s="5"/>
      <c r="V157" s="5"/>
      <c r="W157" s="5"/>
      <c r="BN157" s="5"/>
      <c r="BO157" s="5"/>
      <c r="BP157" s="5"/>
      <c r="BQ157" s="5"/>
    </row>
    <row r="158" spans="21:69" x14ac:dyDescent="0.2">
      <c r="U158" s="5"/>
      <c r="V158" s="5"/>
      <c r="W158" s="5"/>
      <c r="BN158" s="5"/>
      <c r="BO158" s="5"/>
      <c r="BP158" s="5"/>
      <c r="BQ158" s="5"/>
    </row>
    <row r="159" spans="21:69" x14ac:dyDescent="0.2">
      <c r="U159" s="5"/>
      <c r="V159" s="5"/>
      <c r="W159" s="5"/>
      <c r="BN159" s="5"/>
      <c r="BO159" s="5"/>
      <c r="BP159" s="5"/>
      <c r="BQ159" s="5"/>
    </row>
    <row r="160" spans="21:69" x14ac:dyDescent="0.2">
      <c r="U160" s="5"/>
      <c r="V160" s="5"/>
      <c r="W160" s="5"/>
      <c r="BN160" s="5"/>
      <c r="BO160" s="5"/>
      <c r="BP160" s="5"/>
      <c r="BQ160" s="5"/>
    </row>
    <row r="161" spans="21:69" x14ac:dyDescent="0.2">
      <c r="U161" s="5"/>
      <c r="V161" s="5"/>
      <c r="W161" s="5"/>
      <c r="BN161" s="5"/>
      <c r="BO161" s="5"/>
      <c r="BP161" s="5"/>
      <c r="BQ161" s="5"/>
    </row>
    <row r="162" spans="21:69" x14ac:dyDescent="0.2">
      <c r="U162" s="5"/>
      <c r="V162" s="5"/>
      <c r="W162" s="5"/>
      <c r="BN162" s="5"/>
      <c r="BO162" s="5"/>
      <c r="BP162" s="5"/>
      <c r="BQ162" s="5"/>
    </row>
    <row r="163" spans="21:69" x14ac:dyDescent="0.2">
      <c r="U163" s="5"/>
      <c r="V163" s="5"/>
      <c r="W163" s="5"/>
      <c r="BN163" s="5"/>
      <c r="BO163" s="5"/>
      <c r="BP163" s="5"/>
      <c r="BQ163" s="5"/>
    </row>
    <row r="164" spans="21:69" x14ac:dyDescent="0.2">
      <c r="U164" s="5"/>
      <c r="V164" s="5"/>
      <c r="W164" s="5"/>
      <c r="BN164" s="5"/>
      <c r="BO164" s="5"/>
      <c r="BP164" s="5"/>
      <c r="BQ164" s="5"/>
    </row>
    <row r="165" spans="21:69" x14ac:dyDescent="0.2">
      <c r="U165" s="5"/>
      <c r="V165" s="5"/>
      <c r="W165" s="5"/>
      <c r="BN165" s="5"/>
      <c r="BO165" s="5"/>
      <c r="BP165" s="5"/>
      <c r="BQ165" s="5"/>
    </row>
    <row r="166" spans="21:69" x14ac:dyDescent="0.2">
      <c r="U166" s="5"/>
      <c r="V166" s="5"/>
      <c r="W166" s="5"/>
      <c r="BN166" s="5"/>
      <c r="BO166" s="5"/>
      <c r="BP166" s="5"/>
      <c r="BQ166" s="5"/>
    </row>
    <row r="167" spans="21:69" x14ac:dyDescent="0.2">
      <c r="U167" s="5"/>
      <c r="V167" s="5"/>
      <c r="W167" s="5"/>
      <c r="BN167" s="5"/>
      <c r="BO167" s="5"/>
      <c r="BP167" s="5"/>
      <c r="BQ167" s="5"/>
    </row>
    <row r="168" spans="21:69" x14ac:dyDescent="0.2">
      <c r="U168" s="5"/>
      <c r="V168" s="5"/>
      <c r="W168" s="5"/>
      <c r="BN168" s="5"/>
      <c r="BO168" s="5"/>
      <c r="BP168" s="5"/>
      <c r="BQ168" s="5"/>
    </row>
    <row r="169" spans="21:69" x14ac:dyDescent="0.2">
      <c r="U169" s="5"/>
      <c r="V169" s="5"/>
      <c r="W169" s="5"/>
      <c r="BN169" s="5"/>
      <c r="BO169" s="5"/>
      <c r="BP169" s="5"/>
      <c r="BQ169" s="5"/>
    </row>
    <row r="170" spans="21:69" x14ac:dyDescent="0.2">
      <c r="U170" s="5"/>
      <c r="V170" s="5"/>
      <c r="W170" s="5"/>
      <c r="BN170" s="5"/>
      <c r="BO170" s="5"/>
      <c r="BP170" s="5"/>
      <c r="BQ170" s="5"/>
    </row>
    <row r="171" spans="21:69" x14ac:dyDescent="0.2">
      <c r="U171" s="5"/>
      <c r="V171" s="5"/>
      <c r="W171" s="5"/>
      <c r="BN171" s="5"/>
      <c r="BO171" s="5"/>
      <c r="BP171" s="5"/>
      <c r="BQ171" s="5"/>
    </row>
    <row r="172" spans="21:69" x14ac:dyDescent="0.2">
      <c r="U172" s="5"/>
      <c r="V172" s="5"/>
      <c r="W172" s="5"/>
      <c r="BN172" s="5"/>
      <c r="BO172" s="5"/>
      <c r="BP172" s="5"/>
      <c r="BQ172" s="5"/>
    </row>
    <row r="173" spans="21:69" x14ac:dyDescent="0.2">
      <c r="U173" s="5"/>
      <c r="V173" s="5"/>
      <c r="W173" s="5"/>
      <c r="BN173" s="5"/>
      <c r="BO173" s="5"/>
      <c r="BP173" s="5"/>
      <c r="BQ173" s="5"/>
    </row>
    <row r="174" spans="21:69" x14ac:dyDescent="0.2">
      <c r="U174" s="5"/>
      <c r="V174" s="5"/>
      <c r="W174" s="5"/>
      <c r="BN174" s="5"/>
      <c r="BO174" s="5"/>
      <c r="BP174" s="5"/>
      <c r="BQ174" s="5"/>
    </row>
    <row r="175" spans="21:69" x14ac:dyDescent="0.2">
      <c r="U175" s="5"/>
      <c r="V175" s="5"/>
      <c r="W175" s="5"/>
      <c r="BN175" s="5"/>
      <c r="BO175" s="5"/>
      <c r="BP175" s="5"/>
      <c r="BQ175" s="5"/>
    </row>
    <row r="176" spans="21:69" x14ac:dyDescent="0.2">
      <c r="U176" s="5"/>
      <c r="V176" s="5"/>
      <c r="W176" s="5"/>
      <c r="BN176" s="5"/>
      <c r="BO176" s="5"/>
      <c r="BP176" s="5"/>
      <c r="BQ176" s="5"/>
    </row>
    <row r="177" spans="21:69" x14ac:dyDescent="0.2">
      <c r="U177" s="5"/>
      <c r="V177" s="5"/>
      <c r="W177" s="5"/>
      <c r="BN177" s="5"/>
      <c r="BO177" s="5"/>
      <c r="BP177" s="5"/>
      <c r="BQ177" s="5"/>
    </row>
    <row r="178" spans="21:69" x14ac:dyDescent="0.2">
      <c r="U178" s="5"/>
      <c r="V178" s="5"/>
      <c r="W178" s="5"/>
      <c r="BN178" s="5"/>
      <c r="BO178" s="5"/>
      <c r="BP178" s="5"/>
      <c r="BQ178" s="5"/>
    </row>
    <row r="179" spans="21:69" x14ac:dyDescent="0.2">
      <c r="U179" s="5"/>
      <c r="V179" s="5"/>
      <c r="W179" s="5"/>
      <c r="BN179" s="5"/>
      <c r="BO179" s="5"/>
      <c r="BP179" s="5"/>
      <c r="BQ179" s="5"/>
    </row>
    <row r="180" spans="21:69" x14ac:dyDescent="0.2">
      <c r="U180" s="5"/>
      <c r="V180" s="5"/>
      <c r="W180" s="5"/>
      <c r="BN180" s="5"/>
      <c r="BO180" s="5"/>
      <c r="BP180" s="5"/>
      <c r="BQ180" s="5"/>
    </row>
    <row r="181" spans="21:69" x14ac:dyDescent="0.2">
      <c r="U181" s="5"/>
      <c r="V181" s="5"/>
      <c r="W181" s="5"/>
      <c r="BN181" s="5"/>
      <c r="BO181" s="5"/>
      <c r="BP181" s="5"/>
      <c r="BQ181" s="5"/>
    </row>
    <row r="182" spans="21:69" x14ac:dyDescent="0.2">
      <c r="U182" s="5"/>
      <c r="V182" s="5"/>
      <c r="W182" s="5"/>
      <c r="BN182" s="5"/>
      <c r="BO182" s="5"/>
      <c r="BP182" s="5"/>
      <c r="BQ182" s="5"/>
    </row>
    <row r="183" spans="21:69" x14ac:dyDescent="0.2">
      <c r="U183" s="5"/>
      <c r="V183" s="5"/>
      <c r="W183" s="5"/>
      <c r="BN183" s="5"/>
      <c r="BO183" s="5"/>
      <c r="BP183" s="5"/>
      <c r="BQ183" s="5"/>
    </row>
    <row r="184" spans="21:69" x14ac:dyDescent="0.2">
      <c r="U184" s="5"/>
      <c r="V184" s="5"/>
      <c r="W184" s="5"/>
      <c r="BN184" s="5"/>
      <c r="BO184" s="5"/>
      <c r="BP184" s="5"/>
      <c r="BQ184" s="5"/>
    </row>
    <row r="185" spans="21:69" x14ac:dyDescent="0.2">
      <c r="U185" s="5"/>
      <c r="V185" s="5"/>
      <c r="W185" s="5"/>
      <c r="BN185" s="5"/>
      <c r="BO185" s="5"/>
      <c r="BP185" s="5"/>
      <c r="BQ185" s="5"/>
    </row>
    <row r="186" spans="21:69" x14ac:dyDescent="0.2">
      <c r="U186" s="5"/>
      <c r="V186" s="5"/>
      <c r="W186" s="5"/>
      <c r="BN186" s="5"/>
      <c r="BO186" s="5"/>
      <c r="BP186" s="5"/>
      <c r="BQ186" s="5"/>
    </row>
    <row r="187" spans="21:69" x14ac:dyDescent="0.2">
      <c r="U187" s="5"/>
      <c r="V187" s="5"/>
      <c r="W187" s="5"/>
      <c r="BN187" s="5"/>
      <c r="BO187" s="5"/>
      <c r="BP187" s="5"/>
      <c r="BQ187" s="5"/>
    </row>
    <row r="188" spans="21:69" x14ac:dyDescent="0.2">
      <c r="U188" s="5"/>
      <c r="V188" s="5"/>
      <c r="W188" s="5"/>
      <c r="BN188" s="5"/>
      <c r="BO188" s="5"/>
      <c r="BP188" s="5"/>
      <c r="BQ188" s="5"/>
    </row>
    <row r="189" spans="21:69" x14ac:dyDescent="0.2">
      <c r="U189" s="5"/>
      <c r="V189" s="5"/>
      <c r="W189" s="5"/>
      <c r="BN189" s="5"/>
      <c r="BO189" s="5"/>
      <c r="BP189" s="5"/>
      <c r="BQ189" s="5"/>
    </row>
    <row r="190" spans="21:69" x14ac:dyDescent="0.2">
      <c r="U190" s="5"/>
      <c r="V190" s="5"/>
      <c r="W190" s="5"/>
      <c r="BN190" s="5"/>
      <c r="BO190" s="5"/>
      <c r="BP190" s="5"/>
      <c r="BQ190" s="5"/>
    </row>
    <row r="191" spans="21:69" x14ac:dyDescent="0.2">
      <c r="U191" s="5"/>
      <c r="V191" s="5"/>
      <c r="W191" s="5"/>
      <c r="BN191" s="5"/>
      <c r="BO191" s="5"/>
      <c r="BP191" s="5"/>
      <c r="BQ191" s="5"/>
    </row>
    <row r="192" spans="21:69" x14ac:dyDescent="0.2">
      <c r="U192" s="5"/>
      <c r="V192" s="5"/>
      <c r="W192" s="5"/>
      <c r="BN192" s="5"/>
      <c r="BO192" s="5"/>
      <c r="BP192" s="5"/>
      <c r="BQ192" s="5"/>
    </row>
    <row r="193" spans="21:69" x14ac:dyDescent="0.2">
      <c r="U193" s="5"/>
      <c r="V193" s="5"/>
      <c r="W193" s="5"/>
      <c r="BN193" s="5"/>
      <c r="BO193" s="5"/>
      <c r="BP193" s="5"/>
      <c r="BQ193" s="5"/>
    </row>
    <row r="194" spans="21:69" x14ac:dyDescent="0.2">
      <c r="U194" s="5"/>
      <c r="V194" s="5"/>
      <c r="W194" s="5"/>
      <c r="BN194" s="5"/>
      <c r="BO194" s="5"/>
      <c r="BP194" s="5"/>
      <c r="BQ194" s="5"/>
    </row>
    <row r="195" spans="21:69" x14ac:dyDescent="0.2">
      <c r="U195" s="5"/>
      <c r="V195" s="5"/>
      <c r="W195" s="5"/>
      <c r="BN195" s="5"/>
      <c r="BO195" s="5"/>
      <c r="BP195" s="5"/>
      <c r="BQ195" s="5"/>
    </row>
    <row r="196" spans="21:69" x14ac:dyDescent="0.2">
      <c r="U196" s="5"/>
      <c r="V196" s="5"/>
      <c r="W196" s="5"/>
      <c r="BN196" s="5"/>
      <c r="BO196" s="5"/>
      <c r="BP196" s="5"/>
      <c r="BQ196" s="5"/>
    </row>
    <row r="197" spans="21:69" x14ac:dyDescent="0.2">
      <c r="U197" s="5"/>
      <c r="V197" s="5"/>
      <c r="W197" s="5"/>
      <c r="BN197" s="5"/>
      <c r="BO197" s="5"/>
      <c r="BP197" s="5"/>
      <c r="BQ197" s="5"/>
    </row>
    <row r="198" spans="21:69" x14ac:dyDescent="0.2">
      <c r="U198" s="5"/>
      <c r="V198" s="5"/>
      <c r="W198" s="5"/>
      <c r="BN198" s="5"/>
      <c r="BO198" s="5"/>
      <c r="BP198" s="5"/>
      <c r="BQ198" s="5"/>
    </row>
    <row r="199" spans="21:69" x14ac:dyDescent="0.2">
      <c r="U199" s="5"/>
      <c r="V199" s="5"/>
      <c r="W199" s="5"/>
      <c r="BN199" s="5"/>
      <c r="BO199" s="5"/>
      <c r="BP199" s="5"/>
      <c r="BQ199" s="5"/>
    </row>
    <row r="200" spans="21:69" x14ac:dyDescent="0.2">
      <c r="U200" s="5"/>
      <c r="V200" s="5"/>
      <c r="W200" s="5"/>
      <c r="BN200" s="5"/>
      <c r="BO200" s="5"/>
      <c r="BP200" s="5"/>
      <c r="BQ200" s="5"/>
    </row>
    <row r="201" spans="21:69" x14ac:dyDescent="0.2">
      <c r="U201" s="5"/>
      <c r="V201" s="5"/>
      <c r="W201" s="5"/>
      <c r="BN201" s="5"/>
      <c r="BO201" s="5"/>
      <c r="BP201" s="5"/>
      <c r="BQ201" s="5"/>
    </row>
    <row r="202" spans="21:69" x14ac:dyDescent="0.2">
      <c r="U202" s="5"/>
      <c r="V202" s="5"/>
      <c r="W202" s="5"/>
      <c r="BN202" s="5"/>
      <c r="BO202" s="5"/>
      <c r="BP202" s="5"/>
      <c r="BQ202" s="5"/>
    </row>
    <row r="203" spans="21:69" x14ac:dyDescent="0.2">
      <c r="U203" s="5"/>
      <c r="V203" s="5"/>
      <c r="W203" s="5"/>
      <c r="BN203" s="5"/>
      <c r="BO203" s="5"/>
      <c r="BP203" s="5"/>
      <c r="BQ203" s="5"/>
    </row>
    <row r="204" spans="21:69" x14ac:dyDescent="0.2">
      <c r="U204" s="5"/>
      <c r="V204" s="5"/>
      <c r="W204" s="5"/>
      <c r="BN204" s="5"/>
      <c r="BO204" s="5"/>
      <c r="BP204" s="5"/>
      <c r="BQ204" s="5"/>
    </row>
    <row r="205" spans="21:69" x14ac:dyDescent="0.2">
      <c r="U205" s="5"/>
      <c r="V205" s="5"/>
      <c r="W205" s="5"/>
      <c r="BN205" s="5"/>
      <c r="BO205" s="5"/>
      <c r="BP205" s="5"/>
      <c r="BQ205" s="5"/>
    </row>
    <row r="206" spans="21:69" x14ac:dyDescent="0.2">
      <c r="U206" s="5"/>
      <c r="V206" s="5"/>
      <c r="W206" s="5"/>
      <c r="BN206" s="5"/>
      <c r="BO206" s="5"/>
      <c r="BP206" s="5"/>
      <c r="BQ206" s="5"/>
    </row>
    <row r="207" spans="21:69" x14ac:dyDescent="0.2">
      <c r="U207" s="5"/>
      <c r="V207" s="5"/>
      <c r="W207" s="5"/>
      <c r="BN207" s="5"/>
      <c r="BO207" s="5"/>
      <c r="BP207" s="5"/>
      <c r="BQ207" s="5"/>
    </row>
    <row r="208" spans="21:69" x14ac:dyDescent="0.2">
      <c r="U208" s="5"/>
      <c r="V208" s="5"/>
      <c r="W208" s="5"/>
      <c r="BN208" s="5"/>
      <c r="BO208" s="5"/>
      <c r="BP208" s="5"/>
      <c r="BQ208" s="5"/>
    </row>
    <row r="209" spans="21:69" x14ac:dyDescent="0.2">
      <c r="U209" s="5"/>
      <c r="V209" s="5"/>
      <c r="W209" s="5"/>
      <c r="BN209" s="5"/>
      <c r="BO209" s="5"/>
      <c r="BP209" s="5"/>
      <c r="BQ209" s="5"/>
    </row>
    <row r="210" spans="21:69" x14ac:dyDescent="0.2">
      <c r="U210" s="5"/>
      <c r="V210" s="5"/>
      <c r="W210" s="5"/>
      <c r="BN210" s="5"/>
      <c r="BO210" s="5"/>
      <c r="BP210" s="5"/>
      <c r="BQ210" s="5"/>
    </row>
    <row r="211" spans="21:69" x14ac:dyDescent="0.2">
      <c r="U211" s="5"/>
      <c r="V211" s="5"/>
      <c r="W211" s="5"/>
      <c r="BN211" s="5"/>
      <c r="BO211" s="5"/>
      <c r="BP211" s="5"/>
      <c r="BQ211" s="5"/>
    </row>
    <row r="212" spans="21:69" x14ac:dyDescent="0.2">
      <c r="U212" s="5"/>
      <c r="V212" s="5"/>
      <c r="W212" s="5"/>
      <c r="BN212" s="5"/>
      <c r="BO212" s="5"/>
      <c r="BP212" s="5"/>
      <c r="BQ212" s="5"/>
    </row>
    <row r="213" spans="21:69" x14ac:dyDescent="0.2">
      <c r="U213" s="5"/>
      <c r="V213" s="5"/>
      <c r="W213" s="5"/>
      <c r="BN213" s="5"/>
      <c r="BO213" s="5"/>
      <c r="BP213" s="5"/>
      <c r="BQ213" s="5"/>
    </row>
    <row r="214" spans="21:69" x14ac:dyDescent="0.2">
      <c r="U214" s="5"/>
      <c r="V214" s="5"/>
      <c r="W214" s="5"/>
      <c r="BN214" s="5"/>
      <c r="BO214" s="5"/>
      <c r="BP214" s="5"/>
      <c r="BQ214" s="5"/>
    </row>
    <row r="215" spans="21:69" x14ac:dyDescent="0.2">
      <c r="U215" s="5"/>
      <c r="V215" s="5"/>
      <c r="W215" s="5"/>
      <c r="BN215" s="5"/>
      <c r="BO215" s="5"/>
      <c r="BP215" s="5"/>
      <c r="BQ215" s="5"/>
    </row>
    <row r="216" spans="21:69" x14ac:dyDescent="0.2">
      <c r="U216" s="5"/>
      <c r="V216" s="5"/>
      <c r="W216" s="5"/>
      <c r="BN216" s="5"/>
      <c r="BO216" s="5"/>
      <c r="BP216" s="5"/>
      <c r="BQ216" s="5"/>
    </row>
    <row r="217" spans="21:69" x14ac:dyDescent="0.2">
      <c r="U217" s="5"/>
      <c r="V217" s="5"/>
      <c r="W217" s="5"/>
      <c r="BN217" s="5"/>
      <c r="BO217" s="5"/>
      <c r="BP217" s="5"/>
      <c r="BQ217" s="5"/>
    </row>
    <row r="218" spans="21:69" x14ac:dyDescent="0.2">
      <c r="U218" s="5"/>
      <c r="V218" s="5"/>
      <c r="W218" s="5"/>
      <c r="BN218" s="5"/>
      <c r="BO218" s="5"/>
      <c r="BP218" s="5"/>
      <c r="BQ218" s="5"/>
    </row>
    <row r="219" spans="21:69" x14ac:dyDescent="0.2">
      <c r="U219" s="5"/>
      <c r="V219" s="5"/>
      <c r="W219" s="5"/>
      <c r="BN219" s="5"/>
      <c r="BO219" s="5"/>
      <c r="BP219" s="5"/>
      <c r="BQ219" s="5"/>
    </row>
    <row r="220" spans="21:69" x14ac:dyDescent="0.2">
      <c r="U220" s="5"/>
      <c r="V220" s="5"/>
      <c r="W220" s="5"/>
      <c r="BN220" s="5"/>
      <c r="BO220" s="5"/>
      <c r="BP220" s="5"/>
      <c r="BQ220" s="5"/>
    </row>
    <row r="221" spans="21:69" x14ac:dyDescent="0.2">
      <c r="U221" s="5"/>
      <c r="V221" s="5"/>
      <c r="W221" s="5"/>
      <c r="BN221" s="5"/>
      <c r="BO221" s="5"/>
      <c r="BP221" s="5"/>
      <c r="BQ221" s="5"/>
    </row>
    <row r="222" spans="21:69" x14ac:dyDescent="0.2">
      <c r="U222" s="5"/>
      <c r="V222" s="5"/>
      <c r="W222" s="5"/>
      <c r="BN222" s="5"/>
      <c r="BO222" s="5"/>
      <c r="BP222" s="5"/>
      <c r="BQ222" s="5"/>
    </row>
    <row r="223" spans="21:69" x14ac:dyDescent="0.2">
      <c r="U223" s="5"/>
      <c r="V223" s="5"/>
      <c r="W223" s="5"/>
      <c r="BN223" s="5"/>
      <c r="BO223" s="5"/>
      <c r="BP223" s="5"/>
      <c r="BQ223" s="5"/>
    </row>
    <row r="224" spans="21:69" x14ac:dyDescent="0.2">
      <c r="U224" s="5"/>
      <c r="V224" s="5"/>
      <c r="W224" s="5"/>
      <c r="BN224" s="5"/>
      <c r="BO224" s="5"/>
      <c r="BP224" s="5"/>
      <c r="BQ224" s="5"/>
    </row>
    <row r="225" spans="21:69" x14ac:dyDescent="0.2">
      <c r="U225" s="5"/>
      <c r="V225" s="5"/>
      <c r="W225" s="5"/>
      <c r="BN225" s="5"/>
      <c r="BO225" s="5"/>
      <c r="BP225" s="5"/>
      <c r="BQ225" s="5"/>
    </row>
    <row r="226" spans="21:69" x14ac:dyDescent="0.2">
      <c r="U226" s="5"/>
      <c r="V226" s="5"/>
      <c r="W226" s="5"/>
      <c r="BN226" s="5"/>
      <c r="BO226" s="5"/>
      <c r="BP226" s="5"/>
      <c r="BQ226" s="5"/>
    </row>
    <row r="227" spans="21:69" x14ac:dyDescent="0.2">
      <c r="U227" s="5"/>
      <c r="V227" s="5"/>
      <c r="W227" s="5"/>
      <c r="BN227" s="5"/>
      <c r="BO227" s="5"/>
      <c r="BP227" s="5"/>
      <c r="BQ227" s="5"/>
    </row>
    <row r="228" spans="21:69" x14ac:dyDescent="0.2">
      <c r="U228" s="5"/>
      <c r="V228" s="5"/>
      <c r="W228" s="5"/>
      <c r="BN228" s="5"/>
      <c r="BO228" s="5"/>
      <c r="BP228" s="5"/>
      <c r="BQ228" s="5"/>
    </row>
    <row r="229" spans="21:69" x14ac:dyDescent="0.2">
      <c r="U229" s="5"/>
      <c r="V229" s="5"/>
      <c r="W229" s="5"/>
      <c r="BN229" s="5"/>
      <c r="BO229" s="5"/>
      <c r="BP229" s="5"/>
      <c r="BQ229" s="5"/>
    </row>
    <row r="230" spans="21:69" x14ac:dyDescent="0.2">
      <c r="U230" s="5"/>
      <c r="V230" s="5"/>
      <c r="W230" s="5"/>
      <c r="BN230" s="5"/>
      <c r="BO230" s="5"/>
      <c r="BP230" s="5"/>
      <c r="BQ230" s="5"/>
    </row>
    <row r="231" spans="21:69" x14ac:dyDescent="0.2">
      <c r="U231" s="5"/>
      <c r="V231" s="5"/>
      <c r="W231" s="5"/>
      <c r="BN231" s="5"/>
      <c r="BO231" s="5"/>
      <c r="BP231" s="5"/>
      <c r="BQ231" s="5"/>
    </row>
    <row r="232" spans="21:69" x14ac:dyDescent="0.2">
      <c r="U232" s="5"/>
      <c r="V232" s="5"/>
      <c r="W232" s="5"/>
      <c r="BN232" s="5"/>
      <c r="BO232" s="5"/>
      <c r="BP232" s="5"/>
      <c r="BQ232" s="5"/>
    </row>
    <row r="233" spans="21:69" x14ac:dyDescent="0.2">
      <c r="U233" s="5"/>
      <c r="V233" s="5"/>
      <c r="W233" s="5"/>
      <c r="BN233" s="5"/>
      <c r="BO233" s="5"/>
      <c r="BP233" s="5"/>
      <c r="BQ233" s="5"/>
    </row>
    <row r="234" spans="21:69" x14ac:dyDescent="0.2">
      <c r="U234" s="5"/>
      <c r="V234" s="5"/>
      <c r="W234" s="5"/>
      <c r="BN234" s="5"/>
      <c r="BO234" s="5"/>
      <c r="BP234" s="5"/>
      <c r="BQ234" s="5"/>
    </row>
    <row r="235" spans="21:69" x14ac:dyDescent="0.2">
      <c r="U235" s="5"/>
      <c r="V235" s="5"/>
      <c r="W235" s="5"/>
      <c r="BN235" s="5"/>
      <c r="BO235" s="5"/>
      <c r="BP235" s="5"/>
      <c r="BQ235" s="5"/>
    </row>
    <row r="236" spans="21:69" x14ac:dyDescent="0.2">
      <c r="U236" s="5"/>
      <c r="V236" s="5"/>
      <c r="W236" s="5"/>
      <c r="BN236" s="5"/>
      <c r="BO236" s="5"/>
      <c r="BP236" s="5"/>
      <c r="BQ236" s="5"/>
    </row>
    <row r="237" spans="21:69" x14ac:dyDescent="0.2">
      <c r="U237" s="5"/>
      <c r="V237" s="5"/>
      <c r="W237" s="5"/>
      <c r="BN237" s="5"/>
      <c r="BO237" s="5"/>
      <c r="BP237" s="5"/>
      <c r="BQ237" s="5"/>
    </row>
    <row r="238" spans="21:69" x14ac:dyDescent="0.2">
      <c r="U238" s="5"/>
      <c r="V238" s="5"/>
      <c r="W238" s="5"/>
      <c r="BN238" s="5"/>
      <c r="BO238" s="5"/>
      <c r="BP238" s="5"/>
      <c r="BQ238" s="5"/>
    </row>
    <row r="239" spans="21:69" x14ac:dyDescent="0.2">
      <c r="U239" s="5"/>
      <c r="V239" s="5"/>
      <c r="W239" s="5"/>
      <c r="BN239" s="5"/>
      <c r="BO239" s="5"/>
      <c r="BP239" s="5"/>
      <c r="BQ239" s="5"/>
    </row>
    <row r="240" spans="21:69" x14ac:dyDescent="0.2">
      <c r="U240" s="5"/>
      <c r="V240" s="5"/>
      <c r="W240" s="5"/>
      <c r="BN240" s="5"/>
      <c r="BO240" s="5"/>
      <c r="BP240" s="5"/>
      <c r="BQ240" s="5"/>
    </row>
    <row r="241" spans="21:69" x14ac:dyDescent="0.2">
      <c r="U241" s="5"/>
      <c r="V241" s="5"/>
      <c r="W241" s="5"/>
      <c r="BN241" s="5"/>
      <c r="BO241" s="5"/>
      <c r="BP241" s="5"/>
      <c r="BQ241" s="5"/>
    </row>
    <row r="242" spans="21:69" x14ac:dyDescent="0.2">
      <c r="U242" s="5"/>
      <c r="V242" s="5"/>
      <c r="W242" s="5"/>
      <c r="BN242" s="5"/>
      <c r="BO242" s="5"/>
      <c r="BP242" s="5"/>
      <c r="BQ242" s="5"/>
    </row>
    <row r="243" spans="21:69" x14ac:dyDescent="0.2">
      <c r="U243" s="5"/>
      <c r="V243" s="5"/>
      <c r="W243" s="5"/>
      <c r="BN243" s="5"/>
      <c r="BO243" s="5"/>
      <c r="BP243" s="5"/>
      <c r="BQ243" s="5"/>
    </row>
    <row r="244" spans="21:69" x14ac:dyDescent="0.2">
      <c r="U244" s="5"/>
      <c r="V244" s="5"/>
      <c r="W244" s="5"/>
      <c r="BN244" s="5"/>
      <c r="BO244" s="5"/>
      <c r="BP244" s="5"/>
      <c r="BQ244" s="5"/>
    </row>
    <row r="245" spans="21:69" x14ac:dyDescent="0.2">
      <c r="U245" s="5"/>
      <c r="V245" s="5"/>
      <c r="W245" s="5"/>
      <c r="BN245" s="5"/>
      <c r="BO245" s="5"/>
      <c r="BP245" s="5"/>
      <c r="BQ245" s="5"/>
    </row>
    <row r="246" spans="21:69" x14ac:dyDescent="0.2">
      <c r="U246" s="5"/>
      <c r="V246" s="5"/>
      <c r="W246" s="5"/>
      <c r="BN246" s="5"/>
      <c r="BO246" s="5"/>
      <c r="BP246" s="5"/>
      <c r="BQ246" s="5"/>
    </row>
    <row r="247" spans="21:69" x14ac:dyDescent="0.2">
      <c r="U247" s="5"/>
      <c r="V247" s="5"/>
      <c r="W247" s="5"/>
      <c r="BN247" s="5"/>
      <c r="BO247" s="5"/>
      <c r="BP247" s="5"/>
      <c r="BQ247" s="5"/>
    </row>
    <row r="248" spans="21:69" x14ac:dyDescent="0.2">
      <c r="U248" s="5"/>
      <c r="V248" s="5"/>
      <c r="W248" s="5"/>
      <c r="BN248" s="5"/>
      <c r="BO248" s="5"/>
      <c r="BP248" s="5"/>
      <c r="BQ248" s="5"/>
    </row>
    <row r="249" spans="21:69" x14ac:dyDescent="0.2">
      <c r="U249" s="5"/>
      <c r="V249" s="5"/>
      <c r="W249" s="5"/>
      <c r="BN249" s="5"/>
      <c r="BO249" s="5"/>
      <c r="BP249" s="5"/>
      <c r="BQ249" s="5"/>
    </row>
    <row r="250" spans="21:69" x14ac:dyDescent="0.2">
      <c r="U250" s="5"/>
      <c r="V250" s="5"/>
      <c r="W250" s="5"/>
      <c r="BN250" s="5"/>
      <c r="BO250" s="5"/>
      <c r="BP250" s="5"/>
      <c r="BQ250" s="5"/>
    </row>
    <row r="251" spans="21:69" x14ac:dyDescent="0.2">
      <c r="U251" s="5"/>
      <c r="V251" s="5"/>
      <c r="W251" s="5"/>
      <c r="BN251" s="5"/>
      <c r="BO251" s="5"/>
      <c r="BP251" s="5"/>
      <c r="BQ251" s="5"/>
    </row>
    <row r="252" spans="21:69" x14ac:dyDescent="0.2">
      <c r="U252" s="5"/>
      <c r="V252" s="5"/>
      <c r="W252" s="5"/>
      <c r="BN252" s="5"/>
      <c r="BO252" s="5"/>
      <c r="BP252" s="5"/>
      <c r="BQ252" s="5"/>
    </row>
    <row r="253" spans="21:69" x14ac:dyDescent="0.2">
      <c r="U253" s="5"/>
      <c r="V253" s="5"/>
      <c r="W253" s="5"/>
      <c r="BN253" s="5"/>
      <c r="BO253" s="5"/>
      <c r="BP253" s="5"/>
      <c r="BQ253" s="5"/>
    </row>
    <row r="254" spans="21:69" x14ac:dyDescent="0.2">
      <c r="U254" s="5"/>
      <c r="V254" s="5"/>
      <c r="W254" s="5"/>
      <c r="BN254" s="5"/>
      <c r="BO254" s="5"/>
      <c r="BP254" s="5"/>
      <c r="BQ254" s="5"/>
    </row>
    <row r="255" spans="21:69" x14ac:dyDescent="0.2">
      <c r="U255" s="5"/>
      <c r="V255" s="5"/>
      <c r="W255" s="5"/>
      <c r="BN255" s="5"/>
      <c r="BO255" s="5"/>
      <c r="BP255" s="5"/>
      <c r="BQ255" s="5"/>
    </row>
    <row r="256" spans="21:69" x14ac:dyDescent="0.2">
      <c r="U256" s="5"/>
      <c r="V256" s="5"/>
      <c r="W256" s="5"/>
      <c r="BN256" s="5"/>
      <c r="BO256" s="5"/>
      <c r="BP256" s="5"/>
      <c r="BQ256" s="5"/>
    </row>
    <row r="257" spans="21:69" x14ac:dyDescent="0.2">
      <c r="U257" s="5"/>
      <c r="V257" s="5"/>
      <c r="W257" s="5"/>
      <c r="BN257" s="5"/>
      <c r="BO257" s="5"/>
      <c r="BP257" s="5"/>
      <c r="BQ257" s="5"/>
    </row>
    <row r="258" spans="21:69" x14ac:dyDescent="0.2">
      <c r="U258" s="5"/>
      <c r="V258" s="5"/>
      <c r="W258" s="5"/>
      <c r="BN258" s="5"/>
      <c r="BO258" s="5"/>
      <c r="BP258" s="5"/>
      <c r="BQ258" s="5"/>
    </row>
    <row r="259" spans="21:69" x14ac:dyDescent="0.2">
      <c r="U259" s="5"/>
      <c r="V259" s="5"/>
      <c r="W259" s="5"/>
      <c r="BN259" s="5"/>
      <c r="BO259" s="5"/>
      <c r="BP259" s="5"/>
      <c r="BQ259" s="5"/>
    </row>
    <row r="260" spans="21:69" x14ac:dyDescent="0.2">
      <c r="U260" s="5"/>
      <c r="V260" s="5"/>
      <c r="W260" s="5"/>
      <c r="BN260" s="5"/>
      <c r="BO260" s="5"/>
      <c r="BP260" s="5"/>
      <c r="BQ260" s="5"/>
    </row>
    <row r="261" spans="21:69" x14ac:dyDescent="0.2">
      <c r="U261" s="5"/>
      <c r="V261" s="5"/>
      <c r="W261" s="5"/>
      <c r="BN261" s="5"/>
      <c r="BO261" s="5"/>
      <c r="BP261" s="5"/>
      <c r="BQ261" s="5"/>
    </row>
    <row r="262" spans="21:69" x14ac:dyDescent="0.2">
      <c r="U262" s="5"/>
      <c r="V262" s="5"/>
      <c r="W262" s="5"/>
      <c r="BN262" s="5"/>
      <c r="BO262" s="5"/>
      <c r="BP262" s="5"/>
      <c r="BQ262" s="5"/>
    </row>
    <row r="263" spans="21:69" x14ac:dyDescent="0.2">
      <c r="U263" s="5"/>
      <c r="V263" s="5"/>
      <c r="W263" s="5"/>
      <c r="BN263" s="5"/>
      <c r="BO263" s="5"/>
      <c r="BP263" s="5"/>
      <c r="BQ263" s="5"/>
    </row>
    <row r="264" spans="21:69" x14ac:dyDescent="0.2">
      <c r="U264" s="5"/>
      <c r="V264" s="5"/>
      <c r="W264" s="5"/>
      <c r="BN264" s="5"/>
      <c r="BO264" s="5"/>
      <c r="BP264" s="5"/>
      <c r="BQ264" s="5"/>
    </row>
    <row r="265" spans="21:69" x14ac:dyDescent="0.2">
      <c r="U265" s="5"/>
      <c r="V265" s="5"/>
      <c r="W265" s="5"/>
      <c r="BN265" s="5"/>
      <c r="BO265" s="5"/>
      <c r="BP265" s="5"/>
      <c r="BQ265" s="5"/>
    </row>
    <row r="266" spans="21:69" x14ac:dyDescent="0.2">
      <c r="U266" s="5"/>
      <c r="V266" s="5"/>
      <c r="W266" s="5"/>
      <c r="BN266" s="5"/>
      <c r="BO266" s="5"/>
      <c r="BP266" s="5"/>
      <c r="BQ266" s="5"/>
    </row>
    <row r="267" spans="21:69" x14ac:dyDescent="0.2">
      <c r="U267" s="5"/>
      <c r="V267" s="5"/>
      <c r="W267" s="5"/>
      <c r="BN267" s="5"/>
      <c r="BO267" s="5"/>
      <c r="BP267" s="5"/>
      <c r="BQ267" s="5"/>
    </row>
    <row r="268" spans="21:69" x14ac:dyDescent="0.2">
      <c r="U268" s="5"/>
      <c r="V268" s="5"/>
      <c r="W268" s="5"/>
      <c r="BN268" s="5"/>
      <c r="BO268" s="5"/>
      <c r="BP268" s="5"/>
      <c r="BQ268" s="5"/>
    </row>
    <row r="269" spans="21:69" x14ac:dyDescent="0.2">
      <c r="U269" s="5"/>
      <c r="V269" s="5"/>
      <c r="W269" s="5"/>
      <c r="BN269" s="5"/>
      <c r="BO269" s="5"/>
      <c r="BP269" s="5"/>
      <c r="BQ269" s="5"/>
    </row>
    <row r="270" spans="21:69" x14ac:dyDescent="0.2">
      <c r="U270" s="5"/>
      <c r="V270" s="5"/>
      <c r="W270" s="5"/>
      <c r="BN270" s="5"/>
      <c r="BO270" s="5"/>
      <c r="BP270" s="5"/>
      <c r="BQ270" s="5"/>
    </row>
    <row r="271" spans="21:69" x14ac:dyDescent="0.2">
      <c r="U271" s="5"/>
      <c r="V271" s="5"/>
      <c r="W271" s="5"/>
      <c r="BN271" s="5"/>
      <c r="BO271" s="5"/>
      <c r="BP271" s="5"/>
      <c r="BQ271" s="5"/>
    </row>
    <row r="272" spans="21:69" x14ac:dyDescent="0.2">
      <c r="U272" s="5"/>
      <c r="V272" s="5"/>
      <c r="W272" s="5"/>
      <c r="BN272" s="5"/>
      <c r="BO272" s="5"/>
      <c r="BP272" s="5"/>
      <c r="BQ272" s="5"/>
    </row>
    <row r="273" spans="21:69" x14ac:dyDescent="0.2">
      <c r="U273" s="5"/>
      <c r="V273" s="5"/>
      <c r="W273" s="5"/>
      <c r="BN273" s="5"/>
      <c r="BO273" s="5"/>
      <c r="BP273" s="5"/>
      <c r="BQ273" s="5"/>
    </row>
    <row r="274" spans="21:69" x14ac:dyDescent="0.2">
      <c r="U274" s="5"/>
      <c r="V274" s="5"/>
      <c r="W274" s="5"/>
      <c r="BN274" s="5"/>
      <c r="BO274" s="5"/>
      <c r="BP274" s="5"/>
      <c r="BQ274" s="5"/>
    </row>
    <row r="275" spans="21:69" x14ac:dyDescent="0.2">
      <c r="U275" s="5"/>
      <c r="V275" s="5"/>
      <c r="W275" s="5"/>
      <c r="BN275" s="5"/>
      <c r="BO275" s="5"/>
      <c r="BP275" s="5"/>
      <c r="BQ275" s="5"/>
    </row>
    <row r="276" spans="21:69" x14ac:dyDescent="0.2">
      <c r="U276" s="5"/>
      <c r="V276" s="5"/>
      <c r="W276" s="5"/>
      <c r="BN276" s="5"/>
      <c r="BO276" s="5"/>
      <c r="BP276" s="5"/>
      <c r="BQ276" s="5"/>
    </row>
    <row r="277" spans="21:69" x14ac:dyDescent="0.2">
      <c r="U277" s="5"/>
      <c r="V277" s="5"/>
      <c r="W277" s="5"/>
      <c r="BN277" s="5"/>
      <c r="BO277" s="5"/>
      <c r="BP277" s="5"/>
      <c r="BQ277" s="5"/>
    </row>
    <row r="278" spans="21:69" x14ac:dyDescent="0.2">
      <c r="U278" s="5"/>
      <c r="V278" s="5"/>
      <c r="W278" s="5"/>
      <c r="BN278" s="5"/>
      <c r="BO278" s="5"/>
      <c r="BP278" s="5"/>
      <c r="BQ278" s="5"/>
    </row>
    <row r="279" spans="21:69" x14ac:dyDescent="0.2">
      <c r="U279" s="5"/>
      <c r="V279" s="5"/>
      <c r="W279" s="5"/>
      <c r="BN279" s="5"/>
      <c r="BO279" s="5"/>
      <c r="BP279" s="5"/>
      <c r="BQ279" s="5"/>
    </row>
    <row r="280" spans="21:69" x14ac:dyDescent="0.2">
      <c r="U280" s="5"/>
      <c r="V280" s="5"/>
      <c r="W280" s="5"/>
      <c r="BN280" s="5"/>
      <c r="BO280" s="5"/>
      <c r="BP280" s="5"/>
      <c r="BQ280" s="5"/>
    </row>
    <row r="281" spans="21:69" x14ac:dyDescent="0.2">
      <c r="U281" s="5"/>
      <c r="V281" s="5"/>
      <c r="W281" s="5"/>
      <c r="BN281" s="5"/>
      <c r="BO281" s="5"/>
      <c r="BP281" s="5"/>
      <c r="BQ281" s="5"/>
    </row>
    <row r="282" spans="21:69" x14ac:dyDescent="0.2">
      <c r="U282" s="5"/>
      <c r="V282" s="5"/>
      <c r="W282" s="5"/>
      <c r="BN282" s="5"/>
      <c r="BO282" s="5"/>
      <c r="BP282" s="5"/>
      <c r="BQ282" s="5"/>
    </row>
    <row r="283" spans="21:69" x14ac:dyDescent="0.2">
      <c r="U283" s="5"/>
      <c r="V283" s="5"/>
      <c r="W283" s="5"/>
      <c r="BN283" s="5"/>
      <c r="BO283" s="5"/>
      <c r="BP283" s="5"/>
      <c r="BQ283" s="5"/>
    </row>
    <row r="284" spans="21:69" x14ac:dyDescent="0.2">
      <c r="U284" s="5"/>
      <c r="V284" s="5"/>
      <c r="W284" s="5"/>
      <c r="BN284" s="5"/>
      <c r="BO284" s="5"/>
      <c r="BP284" s="5"/>
      <c r="BQ284" s="5"/>
    </row>
    <row r="285" spans="21:69" x14ac:dyDescent="0.2">
      <c r="U285" s="5"/>
      <c r="V285" s="5"/>
      <c r="W285" s="5"/>
      <c r="BN285" s="5"/>
      <c r="BO285" s="5"/>
      <c r="BP285" s="5"/>
      <c r="BQ285" s="5"/>
    </row>
    <row r="286" spans="21:69" x14ac:dyDescent="0.2">
      <c r="U286" s="5"/>
      <c r="V286" s="5"/>
      <c r="W286" s="5"/>
      <c r="BN286" s="5"/>
      <c r="BO286" s="5"/>
      <c r="BP286" s="5"/>
      <c r="BQ286" s="5"/>
    </row>
    <row r="287" spans="21:69" x14ac:dyDescent="0.2">
      <c r="U287" s="5"/>
      <c r="V287" s="5"/>
      <c r="W287" s="5"/>
      <c r="BN287" s="5"/>
      <c r="BO287" s="5"/>
      <c r="BP287" s="5"/>
      <c r="BQ287" s="5"/>
    </row>
    <row r="288" spans="21:69" x14ac:dyDescent="0.2">
      <c r="U288" s="5"/>
      <c r="V288" s="5"/>
      <c r="W288" s="5"/>
      <c r="BN288" s="5"/>
      <c r="BO288" s="5"/>
      <c r="BP288" s="5"/>
      <c r="BQ288" s="5"/>
    </row>
    <row r="289" spans="21:69" x14ac:dyDescent="0.2">
      <c r="U289" s="5"/>
      <c r="V289" s="5"/>
      <c r="W289" s="5"/>
      <c r="BN289" s="5"/>
      <c r="BO289" s="5"/>
      <c r="BP289" s="5"/>
      <c r="BQ289" s="5"/>
    </row>
    <row r="290" spans="21:69" x14ac:dyDescent="0.2">
      <c r="U290" s="5"/>
      <c r="V290" s="5"/>
      <c r="W290" s="5"/>
      <c r="BN290" s="5"/>
      <c r="BO290" s="5"/>
      <c r="BP290" s="5"/>
      <c r="BQ290" s="5"/>
    </row>
    <row r="291" spans="21:69" x14ac:dyDescent="0.2">
      <c r="U291" s="5"/>
      <c r="V291" s="5"/>
      <c r="W291" s="5"/>
      <c r="BN291" s="5"/>
      <c r="BO291" s="5"/>
      <c r="BP291" s="5"/>
      <c r="BQ291" s="5"/>
    </row>
    <row r="292" spans="21:69" x14ac:dyDescent="0.2">
      <c r="U292" s="5"/>
      <c r="V292" s="5"/>
      <c r="W292" s="5"/>
      <c r="BN292" s="5"/>
      <c r="BO292" s="5"/>
      <c r="BP292" s="5"/>
      <c r="BQ292" s="5"/>
    </row>
    <row r="293" spans="21:69" x14ac:dyDescent="0.2">
      <c r="U293" s="5"/>
      <c r="V293" s="5"/>
      <c r="W293" s="5"/>
      <c r="BN293" s="5"/>
      <c r="BO293" s="5"/>
      <c r="BP293" s="5"/>
      <c r="BQ293" s="5"/>
    </row>
    <row r="294" spans="21:69" x14ac:dyDescent="0.2">
      <c r="U294" s="5"/>
      <c r="V294" s="5"/>
      <c r="W294" s="5"/>
      <c r="BN294" s="5"/>
      <c r="BO294" s="5"/>
      <c r="BP294" s="5"/>
      <c r="BQ294" s="5"/>
    </row>
    <row r="295" spans="21:69" x14ac:dyDescent="0.2">
      <c r="U295" s="5"/>
      <c r="V295" s="5"/>
      <c r="W295" s="5"/>
      <c r="BN295" s="5"/>
      <c r="BO295" s="5"/>
      <c r="BP295" s="5"/>
      <c r="BQ295" s="5"/>
    </row>
    <row r="296" spans="21:69" x14ac:dyDescent="0.2">
      <c r="U296" s="5"/>
      <c r="V296" s="5"/>
      <c r="W296" s="5"/>
      <c r="BN296" s="5"/>
      <c r="BO296" s="5"/>
      <c r="BP296" s="5"/>
      <c r="BQ296" s="5"/>
    </row>
    <row r="297" spans="21:69" x14ac:dyDescent="0.2">
      <c r="U297" s="5"/>
      <c r="V297" s="5"/>
      <c r="W297" s="5"/>
      <c r="BN297" s="5"/>
      <c r="BO297" s="5"/>
      <c r="BP297" s="5"/>
      <c r="BQ297" s="5"/>
    </row>
    <row r="298" spans="21:69" x14ac:dyDescent="0.2">
      <c r="U298" s="5"/>
      <c r="V298" s="5"/>
      <c r="W298" s="5"/>
      <c r="BN298" s="5"/>
      <c r="BO298" s="5"/>
      <c r="BP298" s="5"/>
      <c r="BQ298" s="5"/>
    </row>
    <row r="299" spans="21:69" x14ac:dyDescent="0.2">
      <c r="U299" s="5"/>
      <c r="V299" s="5"/>
      <c r="W299" s="5"/>
      <c r="BN299" s="5"/>
      <c r="BO299" s="5"/>
      <c r="BP299" s="5"/>
      <c r="BQ299" s="5"/>
    </row>
    <row r="300" spans="21:69" x14ac:dyDescent="0.2">
      <c r="U300" s="5"/>
      <c r="V300" s="5"/>
      <c r="W300" s="5"/>
      <c r="BN300" s="5"/>
      <c r="BO300" s="5"/>
      <c r="BP300" s="5"/>
      <c r="BQ300" s="5"/>
    </row>
    <row r="301" spans="21:69" x14ac:dyDescent="0.2">
      <c r="U301" s="5"/>
      <c r="V301" s="5"/>
      <c r="W301" s="5"/>
      <c r="BN301" s="5"/>
      <c r="BO301" s="5"/>
      <c r="BP301" s="5"/>
      <c r="BQ301" s="5"/>
    </row>
    <row r="302" spans="21:69" x14ac:dyDescent="0.2">
      <c r="U302" s="5"/>
      <c r="V302" s="5"/>
      <c r="W302" s="5"/>
      <c r="BN302" s="5"/>
      <c r="BO302" s="5"/>
      <c r="BP302" s="5"/>
      <c r="BQ302" s="5"/>
    </row>
    <row r="303" spans="21:69" x14ac:dyDescent="0.2">
      <c r="U303" s="5"/>
      <c r="V303" s="5"/>
      <c r="W303" s="5"/>
      <c r="BN303" s="5"/>
      <c r="BO303" s="5"/>
      <c r="BP303" s="5"/>
      <c r="BQ303" s="5"/>
    </row>
    <row r="304" spans="21:69" x14ac:dyDescent="0.2">
      <c r="U304" s="5"/>
      <c r="V304" s="5"/>
      <c r="W304" s="5"/>
      <c r="BN304" s="5"/>
      <c r="BO304" s="5"/>
      <c r="BP304" s="5"/>
      <c r="BQ304" s="5"/>
    </row>
    <row r="305" spans="21:69" x14ac:dyDescent="0.2">
      <c r="U305" s="5"/>
      <c r="V305" s="5"/>
      <c r="W305" s="5"/>
      <c r="BN305" s="5"/>
      <c r="BO305" s="5"/>
      <c r="BP305" s="5"/>
      <c r="BQ305" s="5"/>
    </row>
    <row r="306" spans="21:69" x14ac:dyDescent="0.2">
      <c r="U306" s="5"/>
      <c r="V306" s="5"/>
      <c r="W306" s="5"/>
      <c r="BN306" s="5"/>
      <c r="BO306" s="5"/>
      <c r="BP306" s="5"/>
      <c r="BQ306" s="5"/>
    </row>
    <row r="307" spans="21:69" x14ac:dyDescent="0.2">
      <c r="U307" s="5"/>
      <c r="V307" s="5"/>
      <c r="W307" s="5"/>
      <c r="BN307" s="5"/>
      <c r="BO307" s="5"/>
      <c r="BP307" s="5"/>
      <c r="BQ307" s="5"/>
    </row>
    <row r="308" spans="21:69" x14ac:dyDescent="0.2">
      <c r="U308" s="5"/>
      <c r="V308" s="5"/>
      <c r="W308" s="5"/>
      <c r="BN308" s="5"/>
      <c r="BO308" s="5"/>
      <c r="BP308" s="5"/>
      <c r="BQ308" s="5"/>
    </row>
    <row r="309" spans="21:69" x14ac:dyDescent="0.2">
      <c r="U309" s="5"/>
      <c r="V309" s="5"/>
      <c r="W309" s="5"/>
      <c r="BN309" s="5"/>
      <c r="BO309" s="5"/>
      <c r="BP309" s="5"/>
      <c r="BQ309" s="5"/>
    </row>
    <row r="310" spans="21:69" x14ac:dyDescent="0.2">
      <c r="U310" s="5"/>
      <c r="V310" s="5"/>
      <c r="W310" s="5"/>
      <c r="BN310" s="5"/>
      <c r="BO310" s="5"/>
      <c r="BP310" s="5"/>
      <c r="BQ310" s="5"/>
    </row>
    <row r="311" spans="21:69" x14ac:dyDescent="0.2">
      <c r="U311" s="5"/>
      <c r="V311" s="5"/>
      <c r="W311" s="5"/>
      <c r="BN311" s="5"/>
      <c r="BO311" s="5"/>
      <c r="BP311" s="5"/>
      <c r="BQ311" s="5"/>
    </row>
    <row r="312" spans="21:69" x14ac:dyDescent="0.2">
      <c r="U312" s="5"/>
      <c r="V312" s="5"/>
      <c r="W312" s="5"/>
      <c r="BN312" s="5"/>
      <c r="BO312" s="5"/>
      <c r="BP312" s="5"/>
      <c r="BQ312" s="5"/>
    </row>
    <row r="313" spans="21:69" x14ac:dyDescent="0.2">
      <c r="U313" s="5"/>
      <c r="V313" s="5"/>
      <c r="W313" s="5"/>
      <c r="BN313" s="5"/>
      <c r="BO313" s="5"/>
      <c r="BP313" s="5"/>
      <c r="BQ313" s="5"/>
    </row>
    <row r="314" spans="21:69" x14ac:dyDescent="0.2">
      <c r="U314" s="5"/>
      <c r="V314" s="5"/>
      <c r="W314" s="5"/>
      <c r="BN314" s="5"/>
      <c r="BO314" s="5"/>
      <c r="BP314" s="5"/>
      <c r="BQ314" s="5"/>
    </row>
    <row r="315" spans="21:69" x14ac:dyDescent="0.2">
      <c r="U315" s="5"/>
      <c r="V315" s="5"/>
      <c r="W315" s="5"/>
      <c r="BN315" s="5"/>
      <c r="BO315" s="5"/>
      <c r="BP315" s="5"/>
      <c r="BQ315" s="5"/>
    </row>
    <row r="316" spans="21:69" x14ac:dyDescent="0.2">
      <c r="U316" s="5"/>
      <c r="V316" s="5"/>
      <c r="W316" s="5"/>
      <c r="BN316" s="5"/>
      <c r="BO316" s="5"/>
      <c r="BP316" s="5"/>
      <c r="BQ316" s="5"/>
    </row>
    <row r="317" spans="21:69" x14ac:dyDescent="0.2">
      <c r="U317" s="5"/>
      <c r="V317" s="5"/>
      <c r="W317" s="5"/>
      <c r="BN317" s="5"/>
      <c r="BO317" s="5"/>
      <c r="BP317" s="5"/>
      <c r="BQ317" s="5"/>
    </row>
    <row r="318" spans="21:69" x14ac:dyDescent="0.2">
      <c r="U318" s="5"/>
      <c r="V318" s="5"/>
      <c r="W318" s="5"/>
      <c r="BN318" s="5"/>
      <c r="BO318" s="5"/>
      <c r="BP318" s="5"/>
      <c r="BQ318" s="5"/>
    </row>
    <row r="319" spans="21:69" x14ac:dyDescent="0.2">
      <c r="U319" s="5"/>
      <c r="V319" s="5"/>
      <c r="W319" s="5"/>
      <c r="BN319" s="5"/>
      <c r="BO319" s="5"/>
      <c r="BP319" s="5"/>
      <c r="BQ319" s="5"/>
    </row>
    <row r="320" spans="21:69" x14ac:dyDescent="0.2">
      <c r="U320" s="5"/>
      <c r="V320" s="5"/>
      <c r="W320" s="5"/>
      <c r="BN320" s="5"/>
      <c r="BO320" s="5"/>
      <c r="BP320" s="5"/>
      <c r="BQ320" s="5"/>
    </row>
    <row r="321" spans="21:69" x14ac:dyDescent="0.2">
      <c r="U321" s="5"/>
      <c r="V321" s="5"/>
      <c r="W321" s="5"/>
      <c r="BN321" s="5"/>
      <c r="BO321" s="5"/>
      <c r="BP321" s="5"/>
      <c r="BQ321" s="5"/>
    </row>
    <row r="322" spans="21:69" x14ac:dyDescent="0.2">
      <c r="U322" s="5"/>
      <c r="V322" s="5"/>
      <c r="W322" s="5"/>
      <c r="BN322" s="5"/>
      <c r="BO322" s="5"/>
      <c r="BP322" s="5"/>
      <c r="BQ322" s="5"/>
    </row>
    <row r="323" spans="21:69" x14ac:dyDescent="0.2">
      <c r="U323" s="5"/>
      <c r="V323" s="5"/>
      <c r="W323" s="5"/>
      <c r="BN323" s="5"/>
      <c r="BO323" s="5"/>
      <c r="BP323" s="5"/>
      <c r="BQ323" s="5"/>
    </row>
    <row r="324" spans="21:69" x14ac:dyDescent="0.2">
      <c r="U324" s="5"/>
      <c r="V324" s="5"/>
      <c r="W324" s="5"/>
      <c r="BN324" s="5"/>
      <c r="BO324" s="5"/>
      <c r="BP324" s="5"/>
      <c r="BQ324" s="5"/>
    </row>
    <row r="325" spans="21:69" x14ac:dyDescent="0.2">
      <c r="U325" s="5"/>
      <c r="V325" s="5"/>
      <c r="W325" s="5"/>
      <c r="BN325" s="5"/>
      <c r="BO325" s="5"/>
      <c r="BP325" s="5"/>
      <c r="BQ325" s="5"/>
    </row>
    <row r="326" spans="21:69" x14ac:dyDescent="0.2">
      <c r="U326" s="5"/>
      <c r="V326" s="5"/>
      <c r="W326" s="5"/>
      <c r="BN326" s="5"/>
      <c r="BO326" s="5"/>
      <c r="BP326" s="5"/>
      <c r="BQ326" s="5"/>
    </row>
    <row r="327" spans="21:69" x14ac:dyDescent="0.2">
      <c r="U327" s="5"/>
      <c r="V327" s="5"/>
      <c r="W327" s="5"/>
      <c r="BN327" s="5"/>
      <c r="BO327" s="5"/>
      <c r="BP327" s="5"/>
      <c r="BQ327" s="5"/>
    </row>
    <row r="328" spans="21:69" x14ac:dyDescent="0.2">
      <c r="U328" s="5"/>
      <c r="V328" s="5"/>
      <c r="W328" s="5"/>
      <c r="BN328" s="5"/>
      <c r="BO328" s="5"/>
      <c r="BP328" s="5"/>
      <c r="BQ328" s="5"/>
    </row>
    <row r="329" spans="21:69" x14ac:dyDescent="0.2">
      <c r="U329" s="5"/>
      <c r="V329" s="5"/>
      <c r="W329" s="5"/>
      <c r="BN329" s="5"/>
      <c r="BO329" s="5"/>
      <c r="BP329" s="5"/>
      <c r="BQ329" s="5"/>
    </row>
    <row r="330" spans="21:69" x14ac:dyDescent="0.2">
      <c r="U330" s="5"/>
      <c r="V330" s="5"/>
      <c r="W330" s="5"/>
      <c r="BN330" s="5"/>
      <c r="BO330" s="5"/>
      <c r="BP330" s="5"/>
      <c r="BQ330" s="5"/>
    </row>
    <row r="331" spans="21:69" x14ac:dyDescent="0.2">
      <c r="U331" s="5"/>
      <c r="V331" s="5"/>
      <c r="W331" s="5"/>
      <c r="BN331" s="5"/>
      <c r="BO331" s="5"/>
      <c r="BP331" s="5"/>
      <c r="BQ331" s="5"/>
    </row>
    <row r="332" spans="21:69" x14ac:dyDescent="0.2">
      <c r="U332" s="5"/>
      <c r="V332" s="5"/>
      <c r="W332" s="5"/>
      <c r="BN332" s="5"/>
      <c r="BO332" s="5"/>
      <c r="BP332" s="5"/>
      <c r="BQ332" s="5"/>
    </row>
    <row r="333" spans="21:69" x14ac:dyDescent="0.2">
      <c r="U333" s="5"/>
      <c r="V333" s="5"/>
      <c r="W333" s="5"/>
      <c r="BN333" s="5"/>
      <c r="BO333" s="5"/>
      <c r="BP333" s="5"/>
      <c r="BQ333" s="5"/>
    </row>
    <row r="334" spans="21:69" x14ac:dyDescent="0.2">
      <c r="U334" s="5"/>
      <c r="V334" s="5"/>
      <c r="W334" s="5"/>
      <c r="BN334" s="5"/>
      <c r="BO334" s="5"/>
      <c r="BP334" s="5"/>
      <c r="BQ334" s="5"/>
    </row>
    <row r="335" spans="21:69" x14ac:dyDescent="0.2">
      <c r="U335" s="5"/>
      <c r="V335" s="5"/>
      <c r="W335" s="5"/>
      <c r="BN335" s="5"/>
      <c r="BO335" s="5"/>
      <c r="BP335" s="5"/>
      <c r="BQ335" s="5"/>
    </row>
    <row r="336" spans="21:69" x14ac:dyDescent="0.2">
      <c r="U336" s="5"/>
      <c r="V336" s="5"/>
      <c r="W336" s="5"/>
      <c r="BN336" s="5"/>
      <c r="BO336" s="5"/>
      <c r="BP336" s="5"/>
      <c r="BQ336" s="5"/>
    </row>
    <row r="337" spans="21:69" x14ac:dyDescent="0.2">
      <c r="U337" s="5"/>
      <c r="V337" s="5"/>
      <c r="W337" s="5"/>
      <c r="BN337" s="5"/>
      <c r="BO337" s="5"/>
      <c r="BP337" s="5"/>
      <c r="BQ337" s="5"/>
    </row>
    <row r="338" spans="21:69" x14ac:dyDescent="0.2">
      <c r="U338" s="5"/>
      <c r="V338" s="5"/>
      <c r="W338" s="5"/>
      <c r="BN338" s="5"/>
      <c r="BO338" s="5"/>
      <c r="BP338" s="5"/>
      <c r="BQ338" s="5"/>
    </row>
    <row r="339" spans="21:69" x14ac:dyDescent="0.2">
      <c r="U339" s="5"/>
      <c r="V339" s="5"/>
      <c r="W339" s="5"/>
      <c r="BN339" s="5"/>
      <c r="BO339" s="5"/>
      <c r="BP339" s="5"/>
      <c r="BQ339" s="5"/>
    </row>
    <row r="340" spans="21:69" x14ac:dyDescent="0.2">
      <c r="U340" s="5"/>
      <c r="V340" s="5"/>
      <c r="W340" s="5"/>
      <c r="BN340" s="5"/>
      <c r="BO340" s="5"/>
      <c r="BP340" s="5"/>
      <c r="BQ340" s="5"/>
    </row>
    <row r="341" spans="21:69" x14ac:dyDescent="0.2">
      <c r="U341" s="5"/>
      <c r="V341" s="5"/>
      <c r="W341" s="5"/>
      <c r="BN341" s="5"/>
      <c r="BO341" s="5"/>
      <c r="BP341" s="5"/>
      <c r="BQ341" s="5"/>
    </row>
    <row r="342" spans="21:69" x14ac:dyDescent="0.2">
      <c r="U342" s="5"/>
      <c r="V342" s="5"/>
      <c r="W342" s="5"/>
      <c r="BN342" s="5"/>
      <c r="BO342" s="5"/>
      <c r="BP342" s="5"/>
      <c r="BQ342" s="5"/>
    </row>
    <row r="343" spans="21:69" x14ac:dyDescent="0.2">
      <c r="U343" s="5"/>
      <c r="V343" s="5"/>
      <c r="W343" s="5"/>
      <c r="BN343" s="5"/>
      <c r="BO343" s="5"/>
      <c r="BP343" s="5"/>
      <c r="BQ343" s="5"/>
    </row>
    <row r="344" spans="21:69" x14ac:dyDescent="0.2">
      <c r="U344" s="5"/>
      <c r="V344" s="5"/>
      <c r="W344" s="5"/>
      <c r="BN344" s="5"/>
      <c r="BO344" s="5"/>
      <c r="BP344" s="5"/>
      <c r="BQ344" s="5"/>
    </row>
    <row r="345" spans="21:69" x14ac:dyDescent="0.2">
      <c r="U345" s="5"/>
      <c r="V345" s="5"/>
      <c r="W345" s="5"/>
      <c r="BN345" s="5"/>
      <c r="BO345" s="5"/>
      <c r="BP345" s="5"/>
      <c r="BQ345" s="5"/>
    </row>
    <row r="346" spans="21:69" x14ac:dyDescent="0.2">
      <c r="U346" s="5"/>
      <c r="V346" s="5"/>
      <c r="W346" s="5"/>
      <c r="BN346" s="5"/>
      <c r="BO346" s="5"/>
      <c r="BP346" s="5"/>
      <c r="BQ346" s="5"/>
    </row>
    <row r="347" spans="21:69" x14ac:dyDescent="0.2">
      <c r="U347" s="5"/>
      <c r="V347" s="5"/>
      <c r="W347" s="5"/>
      <c r="BN347" s="5"/>
      <c r="BO347" s="5"/>
      <c r="BP347" s="5"/>
      <c r="BQ347" s="5"/>
    </row>
    <row r="348" spans="21:69" x14ac:dyDescent="0.2">
      <c r="U348" s="5"/>
      <c r="V348" s="5"/>
      <c r="W348" s="5"/>
      <c r="BN348" s="5"/>
      <c r="BO348" s="5"/>
      <c r="BP348" s="5"/>
      <c r="BQ348" s="5"/>
    </row>
    <row r="349" spans="21:69" x14ac:dyDescent="0.2">
      <c r="U349" s="5"/>
      <c r="V349" s="5"/>
      <c r="W349" s="5"/>
      <c r="BN349" s="5"/>
      <c r="BO349" s="5"/>
      <c r="BP349" s="5"/>
      <c r="BQ349" s="5"/>
    </row>
    <row r="350" spans="21:69" x14ac:dyDescent="0.2">
      <c r="U350" s="5"/>
      <c r="V350" s="5"/>
      <c r="W350" s="5"/>
      <c r="BN350" s="5"/>
      <c r="BO350" s="5"/>
      <c r="BP350" s="5"/>
      <c r="BQ350" s="5"/>
    </row>
    <row r="351" spans="21:69" x14ac:dyDescent="0.2">
      <c r="U351" s="5"/>
      <c r="V351" s="5"/>
      <c r="W351" s="5"/>
      <c r="BN351" s="5"/>
      <c r="BO351" s="5"/>
      <c r="BP351" s="5"/>
      <c r="BQ351" s="5"/>
    </row>
    <row r="352" spans="21:69" x14ac:dyDescent="0.2">
      <c r="U352" s="5"/>
      <c r="V352" s="5"/>
      <c r="W352" s="5"/>
      <c r="BN352" s="5"/>
      <c r="BO352" s="5"/>
      <c r="BP352" s="5"/>
      <c r="BQ352" s="5"/>
    </row>
    <row r="353" spans="21:69" x14ac:dyDescent="0.2">
      <c r="U353" s="5"/>
      <c r="V353" s="5"/>
      <c r="W353" s="5"/>
      <c r="BN353" s="5"/>
      <c r="BO353" s="5"/>
      <c r="BP353" s="5"/>
      <c r="BQ353" s="5"/>
    </row>
    <row r="354" spans="21:69" x14ac:dyDescent="0.2">
      <c r="U354" s="5"/>
      <c r="V354" s="5"/>
      <c r="W354" s="5"/>
      <c r="BN354" s="5"/>
      <c r="BO354" s="5"/>
      <c r="BP354" s="5"/>
      <c r="BQ354" s="5"/>
    </row>
    <row r="355" spans="21:69" x14ac:dyDescent="0.2">
      <c r="U355" s="5"/>
      <c r="V355" s="5"/>
      <c r="W355" s="5"/>
      <c r="BN355" s="5"/>
      <c r="BO355" s="5"/>
      <c r="BP355" s="5"/>
      <c r="BQ355" s="5"/>
    </row>
    <row r="356" spans="21:69" x14ac:dyDescent="0.2">
      <c r="U356" s="5"/>
      <c r="V356" s="5"/>
      <c r="W356" s="5"/>
      <c r="BN356" s="5"/>
      <c r="BO356" s="5"/>
      <c r="BP356" s="5"/>
      <c r="BQ356" s="5"/>
    </row>
    <row r="357" spans="21:69" x14ac:dyDescent="0.2">
      <c r="U357" s="5"/>
      <c r="V357" s="5"/>
      <c r="W357" s="5"/>
      <c r="BN357" s="5"/>
      <c r="BO357" s="5"/>
      <c r="BP357" s="5"/>
      <c r="BQ357" s="5"/>
    </row>
    <row r="358" spans="21:69" x14ac:dyDescent="0.2">
      <c r="U358" s="5"/>
      <c r="V358" s="5"/>
      <c r="W358" s="5"/>
      <c r="BN358" s="5"/>
      <c r="BO358" s="5"/>
      <c r="BP358" s="5"/>
      <c r="BQ358" s="5"/>
    </row>
    <row r="359" spans="21:69" x14ac:dyDescent="0.2">
      <c r="U359" s="5"/>
      <c r="V359" s="5"/>
      <c r="W359" s="5"/>
      <c r="BN359" s="5"/>
      <c r="BO359" s="5"/>
      <c r="BP359" s="5"/>
      <c r="BQ359" s="5"/>
    </row>
    <row r="360" spans="21:69" x14ac:dyDescent="0.2">
      <c r="U360" s="5"/>
      <c r="V360" s="5"/>
      <c r="W360" s="5"/>
      <c r="BN360" s="5"/>
      <c r="BO360" s="5"/>
      <c r="BP360" s="5"/>
      <c r="BQ360" s="5"/>
    </row>
    <row r="361" spans="21:69" x14ac:dyDescent="0.2">
      <c r="U361" s="5"/>
      <c r="V361" s="5"/>
      <c r="W361" s="5"/>
      <c r="BN361" s="5"/>
      <c r="BO361" s="5"/>
      <c r="BP361" s="5"/>
      <c r="BQ361" s="5"/>
    </row>
    <row r="362" spans="21:69" x14ac:dyDescent="0.2">
      <c r="U362" s="5"/>
      <c r="V362" s="5"/>
      <c r="W362" s="5"/>
      <c r="BN362" s="5"/>
      <c r="BO362" s="5"/>
      <c r="BP362" s="5"/>
      <c r="BQ362" s="5"/>
    </row>
    <row r="363" spans="21:69" x14ac:dyDescent="0.2">
      <c r="U363" s="5"/>
      <c r="V363" s="5"/>
      <c r="W363" s="5"/>
      <c r="BN363" s="5"/>
      <c r="BO363" s="5"/>
      <c r="BP363" s="5"/>
      <c r="BQ363" s="5"/>
    </row>
    <row r="364" spans="21:69" x14ac:dyDescent="0.2">
      <c r="U364" s="5"/>
      <c r="V364" s="5"/>
      <c r="W364" s="5"/>
      <c r="BN364" s="5"/>
      <c r="BO364" s="5"/>
      <c r="BP364" s="5"/>
      <c r="BQ364" s="5"/>
    </row>
    <row r="365" spans="21:69" x14ac:dyDescent="0.2">
      <c r="U365" s="5"/>
      <c r="V365" s="5"/>
      <c r="W365" s="5"/>
      <c r="BN365" s="5"/>
      <c r="BO365" s="5"/>
      <c r="BP365" s="5"/>
      <c r="BQ365" s="5"/>
    </row>
    <row r="366" spans="21:69" x14ac:dyDescent="0.2">
      <c r="U366" s="5"/>
      <c r="V366" s="5"/>
      <c r="W366" s="5"/>
      <c r="BN366" s="5"/>
      <c r="BO366" s="5"/>
      <c r="BP366" s="5"/>
      <c r="BQ366" s="5"/>
    </row>
    <row r="367" spans="21:69" x14ac:dyDescent="0.2">
      <c r="U367" s="5"/>
      <c r="V367" s="5"/>
      <c r="W367" s="5"/>
      <c r="BN367" s="5"/>
      <c r="BO367" s="5"/>
      <c r="BP367" s="5"/>
      <c r="BQ367" s="5"/>
    </row>
    <row r="368" spans="21:69" x14ac:dyDescent="0.2">
      <c r="U368" s="5"/>
      <c r="V368" s="5"/>
      <c r="W368" s="5"/>
      <c r="BN368" s="5"/>
      <c r="BO368" s="5"/>
      <c r="BP368" s="5"/>
      <c r="BQ368" s="5"/>
    </row>
    <row r="369" spans="21:69" x14ac:dyDescent="0.2">
      <c r="U369" s="5"/>
      <c r="V369" s="5"/>
      <c r="W369" s="5"/>
      <c r="BN369" s="5"/>
      <c r="BO369" s="5"/>
      <c r="BP369" s="5"/>
      <c r="BQ369" s="5"/>
    </row>
    <row r="370" spans="21:69" x14ac:dyDescent="0.2">
      <c r="U370" s="5"/>
      <c r="V370" s="5"/>
      <c r="W370" s="5"/>
      <c r="BN370" s="5"/>
      <c r="BO370" s="5"/>
      <c r="BP370" s="5"/>
      <c r="BQ370" s="5"/>
    </row>
    <row r="371" spans="21:69" x14ac:dyDescent="0.2">
      <c r="U371" s="5"/>
      <c r="V371" s="5"/>
      <c r="W371" s="5"/>
      <c r="BN371" s="5"/>
      <c r="BO371" s="5"/>
      <c r="BP371" s="5"/>
      <c r="BQ371" s="5"/>
    </row>
    <row r="372" spans="21:69" x14ac:dyDescent="0.2">
      <c r="U372" s="5"/>
      <c r="V372" s="5"/>
      <c r="W372" s="5"/>
      <c r="BN372" s="5"/>
      <c r="BO372" s="5"/>
      <c r="BP372" s="5"/>
      <c r="BQ372" s="5"/>
    </row>
    <row r="373" spans="21:69" x14ac:dyDescent="0.2">
      <c r="U373" s="5"/>
      <c r="V373" s="5"/>
      <c r="W373" s="5"/>
      <c r="BN373" s="5"/>
      <c r="BO373" s="5"/>
      <c r="BP373" s="5"/>
      <c r="BQ373" s="5"/>
    </row>
    <row r="374" spans="21:69" x14ac:dyDescent="0.2">
      <c r="U374" s="5"/>
      <c r="V374" s="5"/>
      <c r="W374" s="5"/>
      <c r="BN374" s="5"/>
      <c r="BO374" s="5"/>
      <c r="BP374" s="5"/>
      <c r="BQ374" s="5"/>
    </row>
    <row r="375" spans="21:69" x14ac:dyDescent="0.2">
      <c r="U375" s="5"/>
      <c r="V375" s="5"/>
      <c r="W375" s="5"/>
      <c r="BN375" s="5"/>
      <c r="BO375" s="5"/>
      <c r="BP375" s="5"/>
      <c r="BQ375" s="5"/>
    </row>
    <row r="376" spans="21:69" x14ac:dyDescent="0.2">
      <c r="U376" s="5"/>
      <c r="V376" s="5"/>
      <c r="W376" s="5"/>
      <c r="BN376" s="5"/>
      <c r="BO376" s="5"/>
      <c r="BP376" s="5"/>
      <c r="BQ376" s="5"/>
    </row>
    <row r="377" spans="21:69" x14ac:dyDescent="0.2">
      <c r="U377" s="5"/>
      <c r="V377" s="5"/>
      <c r="W377" s="5"/>
      <c r="BN377" s="5"/>
      <c r="BO377" s="5"/>
      <c r="BP377" s="5"/>
      <c r="BQ377" s="5"/>
    </row>
    <row r="378" spans="21:69" x14ac:dyDescent="0.2">
      <c r="U378" s="5"/>
      <c r="V378" s="5"/>
      <c r="W378" s="5"/>
      <c r="BN378" s="5"/>
      <c r="BO378" s="5"/>
      <c r="BP378" s="5"/>
      <c r="BQ378" s="5"/>
    </row>
    <row r="379" spans="21:69" x14ac:dyDescent="0.2">
      <c r="U379" s="5"/>
      <c r="V379" s="5"/>
      <c r="W379" s="5"/>
      <c r="BN379" s="5"/>
      <c r="BO379" s="5"/>
      <c r="BP379" s="5"/>
      <c r="BQ379" s="5"/>
    </row>
    <row r="380" spans="21:69" x14ac:dyDescent="0.2">
      <c r="U380" s="5"/>
      <c r="V380" s="5"/>
      <c r="W380" s="5"/>
      <c r="BN380" s="5"/>
      <c r="BO380" s="5"/>
      <c r="BP380" s="5"/>
      <c r="BQ380" s="5"/>
    </row>
    <row r="381" spans="21:69" x14ac:dyDescent="0.2">
      <c r="U381" s="5"/>
      <c r="V381" s="5"/>
      <c r="W381" s="5"/>
      <c r="BN381" s="5"/>
      <c r="BO381" s="5"/>
      <c r="BP381" s="5"/>
      <c r="BQ381" s="5"/>
    </row>
    <row r="382" spans="21:69" x14ac:dyDescent="0.2">
      <c r="U382" s="5"/>
      <c r="V382" s="5"/>
      <c r="W382" s="5"/>
      <c r="BN382" s="5"/>
      <c r="BO382" s="5"/>
      <c r="BP382" s="5"/>
      <c r="BQ382" s="5"/>
    </row>
    <row r="383" spans="21:69" x14ac:dyDescent="0.2">
      <c r="U383" s="5"/>
      <c r="V383" s="5"/>
      <c r="W383" s="5"/>
      <c r="BN383" s="5"/>
      <c r="BO383" s="5"/>
      <c r="BP383" s="5"/>
      <c r="BQ383" s="5"/>
    </row>
    <row r="384" spans="21:69" x14ac:dyDescent="0.2">
      <c r="U384" s="5"/>
      <c r="V384" s="5"/>
      <c r="W384" s="5"/>
      <c r="BN384" s="5"/>
      <c r="BO384" s="5"/>
      <c r="BP384" s="5"/>
      <c r="BQ384" s="5"/>
    </row>
    <row r="385" spans="21:69" x14ac:dyDescent="0.2">
      <c r="U385" s="5"/>
      <c r="V385" s="5"/>
      <c r="W385" s="5"/>
      <c r="BN385" s="5"/>
      <c r="BO385" s="5"/>
      <c r="BP385" s="5"/>
      <c r="BQ385" s="5"/>
    </row>
    <row r="386" spans="21:69" x14ac:dyDescent="0.2">
      <c r="U386" s="5"/>
      <c r="V386" s="5"/>
      <c r="W386" s="5"/>
      <c r="BN386" s="5"/>
      <c r="BO386" s="5"/>
      <c r="BP386" s="5"/>
      <c r="BQ386" s="5"/>
    </row>
    <row r="387" spans="21:69" x14ac:dyDescent="0.2">
      <c r="U387" s="5"/>
      <c r="V387" s="5"/>
      <c r="W387" s="5"/>
      <c r="BN387" s="5"/>
      <c r="BO387" s="5"/>
      <c r="BP387" s="5"/>
      <c r="BQ387" s="5"/>
    </row>
    <row r="388" spans="21:69" x14ac:dyDescent="0.2">
      <c r="U388" s="5"/>
      <c r="V388" s="5"/>
      <c r="W388" s="5"/>
      <c r="BN388" s="5"/>
      <c r="BO388" s="5"/>
      <c r="BP388" s="5"/>
      <c r="BQ388" s="5"/>
    </row>
    <row r="389" spans="21:69" x14ac:dyDescent="0.2">
      <c r="U389" s="5"/>
      <c r="V389" s="5"/>
      <c r="W389" s="5"/>
      <c r="BN389" s="5"/>
      <c r="BO389" s="5"/>
      <c r="BP389" s="5"/>
      <c r="BQ389" s="5"/>
    </row>
    <row r="390" spans="21:69" x14ac:dyDescent="0.2">
      <c r="U390" s="5"/>
      <c r="V390" s="5"/>
      <c r="W390" s="5"/>
      <c r="BN390" s="5"/>
      <c r="BO390" s="5"/>
      <c r="BP390" s="5"/>
      <c r="BQ390" s="5"/>
    </row>
    <row r="391" spans="21:69" x14ac:dyDescent="0.2">
      <c r="U391" s="5"/>
      <c r="V391" s="5"/>
      <c r="W391" s="5"/>
      <c r="BN391" s="5"/>
      <c r="BO391" s="5"/>
      <c r="BP391" s="5"/>
      <c r="BQ391" s="5"/>
    </row>
    <row r="392" spans="21:69" x14ac:dyDescent="0.2">
      <c r="U392" s="5"/>
      <c r="V392" s="5"/>
      <c r="W392" s="5"/>
      <c r="BN392" s="5"/>
      <c r="BO392" s="5"/>
      <c r="BP392" s="5"/>
      <c r="BQ392" s="5"/>
    </row>
    <row r="393" spans="21:69" x14ac:dyDescent="0.2">
      <c r="U393" s="5"/>
      <c r="V393" s="5"/>
      <c r="W393" s="5"/>
      <c r="BN393" s="5"/>
      <c r="BO393" s="5"/>
      <c r="BP393" s="5"/>
      <c r="BQ393" s="5"/>
    </row>
    <row r="394" spans="21:69" x14ac:dyDescent="0.2">
      <c r="U394" s="5"/>
      <c r="V394" s="5"/>
      <c r="W394" s="5"/>
      <c r="BN394" s="5"/>
      <c r="BO394" s="5"/>
      <c r="BP394" s="5"/>
      <c r="BQ394" s="5"/>
    </row>
    <row r="395" spans="21:69" x14ac:dyDescent="0.2">
      <c r="U395" s="5"/>
      <c r="V395" s="5"/>
      <c r="W395" s="5"/>
      <c r="BN395" s="5"/>
      <c r="BO395" s="5"/>
      <c r="BP395" s="5"/>
      <c r="BQ395" s="5"/>
    </row>
    <row r="396" spans="21:69" x14ac:dyDescent="0.2">
      <c r="U396" s="5"/>
      <c r="V396" s="5"/>
      <c r="W396" s="5"/>
      <c r="BN396" s="5"/>
      <c r="BO396" s="5"/>
      <c r="BP396" s="5"/>
      <c r="BQ396" s="5"/>
    </row>
    <row r="397" spans="21:69" x14ac:dyDescent="0.2">
      <c r="U397" s="5"/>
      <c r="V397" s="5"/>
      <c r="W397" s="5"/>
      <c r="BN397" s="5"/>
      <c r="BO397" s="5"/>
      <c r="BP397" s="5"/>
      <c r="BQ397" s="5"/>
    </row>
    <row r="398" spans="21:69" x14ac:dyDescent="0.2">
      <c r="U398" s="5"/>
      <c r="V398" s="5"/>
      <c r="W398" s="5"/>
      <c r="BN398" s="5"/>
      <c r="BO398" s="5"/>
      <c r="BP398" s="5"/>
      <c r="BQ398" s="5"/>
    </row>
    <row r="399" spans="21:69" x14ac:dyDescent="0.2">
      <c r="U399" s="5"/>
      <c r="V399" s="5"/>
      <c r="W399" s="5"/>
      <c r="BN399" s="5"/>
      <c r="BO399" s="5"/>
      <c r="BP399" s="5"/>
      <c r="BQ399" s="5"/>
    </row>
    <row r="400" spans="21:69" x14ac:dyDescent="0.2">
      <c r="U400" s="5"/>
      <c r="V400" s="5"/>
      <c r="W400" s="5"/>
      <c r="BN400" s="5"/>
      <c r="BO400" s="5"/>
      <c r="BP400" s="5"/>
      <c r="BQ400" s="5"/>
    </row>
    <row r="401" spans="21:69" x14ac:dyDescent="0.2">
      <c r="U401" s="5"/>
      <c r="V401" s="5"/>
      <c r="W401" s="5"/>
      <c r="BN401" s="5"/>
      <c r="BO401" s="5"/>
      <c r="BP401" s="5"/>
      <c r="BQ401" s="5"/>
    </row>
    <row r="402" spans="21:69" x14ac:dyDescent="0.2">
      <c r="U402" s="5"/>
      <c r="V402" s="5"/>
      <c r="W402" s="5"/>
      <c r="BN402" s="5"/>
      <c r="BO402" s="5"/>
      <c r="BP402" s="5"/>
      <c r="BQ402" s="5"/>
    </row>
    <row r="403" spans="21:69" x14ac:dyDescent="0.2">
      <c r="U403" s="5"/>
      <c r="V403" s="5"/>
      <c r="W403" s="5"/>
      <c r="BN403" s="5"/>
      <c r="BO403" s="5"/>
      <c r="BP403" s="5"/>
      <c r="BQ403" s="5"/>
    </row>
    <row r="404" spans="21:69" x14ac:dyDescent="0.2">
      <c r="U404" s="5"/>
      <c r="V404" s="5"/>
      <c r="W404" s="5"/>
      <c r="BN404" s="5"/>
      <c r="BO404" s="5"/>
      <c r="BP404" s="5"/>
      <c r="BQ404" s="5"/>
    </row>
    <row r="405" spans="21:69" x14ac:dyDescent="0.2">
      <c r="U405" s="5"/>
      <c r="V405" s="5"/>
      <c r="W405" s="5"/>
      <c r="BN405" s="5"/>
      <c r="BO405" s="5"/>
      <c r="BP405" s="5"/>
      <c r="BQ405" s="5"/>
    </row>
    <row r="406" spans="21:69" x14ac:dyDescent="0.2">
      <c r="U406" s="5"/>
      <c r="V406" s="5"/>
      <c r="W406" s="5"/>
      <c r="BN406" s="5"/>
      <c r="BO406" s="5"/>
      <c r="BP406" s="5"/>
      <c r="BQ406" s="5"/>
    </row>
    <row r="407" spans="21:69" x14ac:dyDescent="0.2">
      <c r="U407" s="5"/>
      <c r="V407" s="5"/>
      <c r="W407" s="5"/>
      <c r="BN407" s="5"/>
      <c r="BO407" s="5"/>
      <c r="BP407" s="5"/>
      <c r="BQ407" s="5"/>
    </row>
    <row r="408" spans="21:69" x14ac:dyDescent="0.2">
      <c r="U408" s="5"/>
      <c r="V408" s="5"/>
      <c r="W408" s="5"/>
      <c r="BN408" s="5"/>
      <c r="BO408" s="5"/>
      <c r="BP408" s="5"/>
      <c r="BQ408" s="5"/>
    </row>
    <row r="409" spans="21:69" x14ac:dyDescent="0.2">
      <c r="U409" s="5"/>
      <c r="V409" s="5"/>
      <c r="W409" s="5"/>
      <c r="BN409" s="5"/>
      <c r="BO409" s="5"/>
      <c r="BP409" s="5"/>
      <c r="BQ409" s="5"/>
    </row>
    <row r="410" spans="21:69" x14ac:dyDescent="0.2">
      <c r="U410" s="5"/>
      <c r="V410" s="5"/>
      <c r="W410" s="5"/>
      <c r="BN410" s="5"/>
      <c r="BO410" s="5"/>
      <c r="BP410" s="5"/>
      <c r="BQ410" s="5"/>
    </row>
    <row r="411" spans="21:69" x14ac:dyDescent="0.2">
      <c r="U411" s="5"/>
      <c r="V411" s="5"/>
      <c r="W411" s="5"/>
      <c r="BN411" s="5"/>
      <c r="BO411" s="5"/>
      <c r="BP411" s="5"/>
      <c r="BQ411" s="5"/>
    </row>
    <row r="412" spans="21:69" x14ac:dyDescent="0.2">
      <c r="U412" s="5"/>
      <c r="V412" s="5"/>
      <c r="W412" s="5"/>
      <c r="BN412" s="5"/>
      <c r="BO412" s="5"/>
      <c r="BP412" s="5"/>
      <c r="BQ412" s="5"/>
    </row>
    <row r="413" spans="21:69" x14ac:dyDescent="0.2">
      <c r="U413" s="5"/>
      <c r="V413" s="5"/>
      <c r="W413" s="5"/>
      <c r="BN413" s="5"/>
      <c r="BO413" s="5"/>
      <c r="BP413" s="5"/>
      <c r="BQ413" s="5"/>
    </row>
    <row r="414" spans="21:69" x14ac:dyDescent="0.2">
      <c r="U414" s="5"/>
      <c r="V414" s="5"/>
      <c r="W414" s="5"/>
      <c r="BN414" s="5"/>
      <c r="BO414" s="5"/>
      <c r="BP414" s="5"/>
      <c r="BQ414" s="5"/>
    </row>
    <row r="415" spans="21:69" x14ac:dyDescent="0.2">
      <c r="U415" s="5"/>
      <c r="V415" s="5"/>
      <c r="W415" s="5"/>
      <c r="BN415" s="5"/>
      <c r="BO415" s="5"/>
      <c r="BP415" s="5"/>
      <c r="BQ415" s="5"/>
    </row>
    <row r="416" spans="21:69" x14ac:dyDescent="0.2">
      <c r="U416" s="5"/>
      <c r="V416" s="5"/>
      <c r="W416" s="5"/>
      <c r="BN416" s="5"/>
      <c r="BO416" s="5"/>
      <c r="BP416" s="5"/>
      <c r="BQ416" s="5"/>
    </row>
    <row r="417" spans="21:69" x14ac:dyDescent="0.2">
      <c r="U417" s="5"/>
      <c r="V417" s="5"/>
      <c r="W417" s="5"/>
      <c r="BN417" s="5"/>
      <c r="BO417" s="5"/>
      <c r="BP417" s="5"/>
      <c r="BQ417" s="5"/>
    </row>
    <row r="418" spans="21:69" x14ac:dyDescent="0.2">
      <c r="U418" s="5"/>
      <c r="V418" s="5"/>
      <c r="W418" s="5"/>
      <c r="BN418" s="5"/>
      <c r="BO418" s="5"/>
      <c r="BP418" s="5"/>
      <c r="BQ418" s="5"/>
    </row>
    <row r="419" spans="21:69" x14ac:dyDescent="0.2">
      <c r="U419" s="5"/>
      <c r="V419" s="5"/>
      <c r="W419" s="5"/>
      <c r="BN419" s="5"/>
      <c r="BO419" s="5"/>
      <c r="BP419" s="5"/>
      <c r="BQ419" s="5"/>
    </row>
    <row r="420" spans="21:69" x14ac:dyDescent="0.2">
      <c r="U420" s="5"/>
      <c r="V420" s="5"/>
      <c r="W420" s="5"/>
      <c r="BN420" s="5"/>
      <c r="BO420" s="5"/>
      <c r="BP420" s="5"/>
      <c r="BQ420" s="5"/>
    </row>
    <row r="421" spans="21:69" x14ac:dyDescent="0.2">
      <c r="U421" s="5"/>
      <c r="V421" s="5"/>
      <c r="W421" s="5"/>
      <c r="BN421" s="5"/>
      <c r="BO421" s="5"/>
      <c r="BP421" s="5"/>
      <c r="BQ421" s="5"/>
    </row>
    <row r="422" spans="21:69" x14ac:dyDescent="0.2">
      <c r="U422" s="5"/>
      <c r="V422" s="5"/>
      <c r="W422" s="5"/>
      <c r="BN422" s="5"/>
      <c r="BO422" s="5"/>
      <c r="BP422" s="5"/>
      <c r="BQ422" s="5"/>
    </row>
    <row r="423" spans="21:69" x14ac:dyDescent="0.2">
      <c r="U423" s="5"/>
      <c r="V423" s="5"/>
      <c r="W423" s="5"/>
      <c r="BN423" s="5"/>
      <c r="BO423" s="5"/>
      <c r="BP423" s="5"/>
      <c r="BQ423" s="5"/>
    </row>
    <row r="424" spans="21:69" x14ac:dyDescent="0.2">
      <c r="U424" s="5"/>
      <c r="V424" s="5"/>
      <c r="W424" s="5"/>
      <c r="BN424" s="5"/>
      <c r="BO424" s="5"/>
      <c r="BP424" s="5"/>
      <c r="BQ424" s="5"/>
    </row>
    <row r="425" spans="21:69" x14ac:dyDescent="0.2">
      <c r="U425" s="5"/>
      <c r="V425" s="5"/>
      <c r="W425" s="5"/>
      <c r="BN425" s="5"/>
      <c r="BO425" s="5"/>
      <c r="BP425" s="5"/>
      <c r="BQ425" s="5"/>
    </row>
    <row r="426" spans="21:69" x14ac:dyDescent="0.2">
      <c r="U426" s="5"/>
      <c r="V426" s="5"/>
      <c r="W426" s="5"/>
      <c r="BN426" s="5"/>
      <c r="BO426" s="5"/>
      <c r="BP426" s="5"/>
      <c r="BQ426" s="5"/>
    </row>
    <row r="427" spans="21:69" x14ac:dyDescent="0.2">
      <c r="U427" s="5"/>
      <c r="V427" s="5"/>
      <c r="W427" s="5"/>
      <c r="BN427" s="5"/>
      <c r="BO427" s="5"/>
      <c r="BP427" s="5"/>
      <c r="BQ427" s="5"/>
    </row>
    <row r="428" spans="21:69" x14ac:dyDescent="0.2">
      <c r="U428" s="5"/>
      <c r="V428" s="5"/>
      <c r="W428" s="5"/>
      <c r="BN428" s="5"/>
      <c r="BO428" s="5"/>
      <c r="BP428" s="5"/>
      <c r="BQ428" s="5"/>
    </row>
    <row r="429" spans="21:69" x14ac:dyDescent="0.2">
      <c r="U429" s="5"/>
      <c r="V429" s="5"/>
      <c r="W429" s="5"/>
      <c r="BN429" s="5"/>
      <c r="BO429" s="5"/>
      <c r="BP429" s="5"/>
      <c r="BQ429" s="5"/>
    </row>
    <row r="430" spans="21:69" x14ac:dyDescent="0.2">
      <c r="U430" s="5"/>
      <c r="V430" s="5"/>
      <c r="W430" s="5"/>
      <c r="BN430" s="5"/>
      <c r="BO430" s="5"/>
      <c r="BP430" s="5"/>
      <c r="BQ430" s="5"/>
    </row>
    <row r="431" spans="21:69" x14ac:dyDescent="0.2">
      <c r="U431" s="5"/>
      <c r="V431" s="5"/>
      <c r="W431" s="5"/>
      <c r="BN431" s="5"/>
      <c r="BO431" s="5"/>
      <c r="BP431" s="5"/>
      <c r="BQ431" s="5"/>
    </row>
    <row r="432" spans="21:69" x14ac:dyDescent="0.2">
      <c r="U432" s="5"/>
      <c r="V432" s="5"/>
      <c r="W432" s="5"/>
      <c r="BN432" s="5"/>
      <c r="BO432" s="5"/>
      <c r="BP432" s="5"/>
      <c r="BQ432" s="5"/>
    </row>
    <row r="433" spans="21:69" x14ac:dyDescent="0.2">
      <c r="U433" s="5"/>
      <c r="V433" s="5"/>
      <c r="W433" s="5"/>
      <c r="BN433" s="5"/>
      <c r="BO433" s="5"/>
      <c r="BP433" s="5"/>
      <c r="BQ433" s="5"/>
    </row>
    <row r="434" spans="21:69" x14ac:dyDescent="0.2">
      <c r="U434" s="5"/>
      <c r="V434" s="5"/>
      <c r="W434" s="5"/>
      <c r="BN434" s="5"/>
      <c r="BO434" s="5"/>
      <c r="BP434" s="5"/>
      <c r="BQ434" s="5"/>
    </row>
    <row r="435" spans="21:69" x14ac:dyDescent="0.2">
      <c r="U435" s="5"/>
      <c r="V435" s="5"/>
      <c r="W435" s="5"/>
      <c r="BN435" s="5"/>
      <c r="BO435" s="5"/>
      <c r="BP435" s="5"/>
      <c r="BQ435" s="5"/>
    </row>
    <row r="436" spans="21:69" x14ac:dyDescent="0.2">
      <c r="U436" s="5"/>
      <c r="V436" s="5"/>
      <c r="W436" s="5"/>
      <c r="BN436" s="5"/>
      <c r="BO436" s="5"/>
      <c r="BP436" s="5"/>
      <c r="BQ436" s="5"/>
    </row>
    <row r="437" spans="21:69" x14ac:dyDescent="0.2">
      <c r="U437" s="5"/>
      <c r="V437" s="5"/>
      <c r="W437" s="5"/>
      <c r="BN437" s="5"/>
      <c r="BO437" s="5"/>
      <c r="BP437" s="5"/>
      <c r="BQ437" s="5"/>
    </row>
    <row r="438" spans="21:69" x14ac:dyDescent="0.2">
      <c r="U438" s="5"/>
      <c r="V438" s="5"/>
      <c r="W438" s="5"/>
      <c r="BN438" s="5"/>
      <c r="BO438" s="5"/>
      <c r="BP438" s="5"/>
      <c r="BQ438" s="5"/>
    </row>
    <row r="439" spans="21:69" x14ac:dyDescent="0.2">
      <c r="U439" s="5"/>
      <c r="V439" s="5"/>
      <c r="W439" s="5"/>
      <c r="BN439" s="5"/>
      <c r="BO439" s="5"/>
      <c r="BP439" s="5"/>
      <c r="BQ439" s="5"/>
    </row>
    <row r="440" spans="21:69" x14ac:dyDescent="0.2">
      <c r="U440" s="5"/>
      <c r="V440" s="5"/>
      <c r="W440" s="5"/>
      <c r="BN440" s="5"/>
      <c r="BO440" s="5"/>
      <c r="BP440" s="5"/>
      <c r="BQ440" s="5"/>
    </row>
    <row r="441" spans="21:69" x14ac:dyDescent="0.2">
      <c r="U441" s="5"/>
      <c r="V441" s="5"/>
      <c r="W441" s="5"/>
      <c r="BN441" s="5"/>
      <c r="BO441" s="5"/>
      <c r="BP441" s="5"/>
      <c r="BQ441" s="5"/>
    </row>
    <row r="442" spans="21:69" x14ac:dyDescent="0.2">
      <c r="U442" s="5"/>
      <c r="V442" s="5"/>
      <c r="W442" s="5"/>
      <c r="BN442" s="5"/>
      <c r="BO442" s="5"/>
      <c r="BP442" s="5"/>
      <c r="BQ442" s="5"/>
    </row>
    <row r="443" spans="21:69" x14ac:dyDescent="0.2">
      <c r="U443" s="5"/>
      <c r="V443" s="5"/>
      <c r="W443" s="5"/>
      <c r="BN443" s="5"/>
      <c r="BO443" s="5"/>
      <c r="BP443" s="5"/>
      <c r="BQ443" s="5"/>
    </row>
    <row r="444" spans="21:69" x14ac:dyDescent="0.2">
      <c r="U444" s="5"/>
      <c r="V444" s="5"/>
      <c r="W444" s="5"/>
      <c r="BN444" s="5"/>
      <c r="BO444" s="5"/>
      <c r="BP444" s="5"/>
      <c r="BQ444" s="5"/>
    </row>
    <row r="445" spans="21:69" x14ac:dyDescent="0.2">
      <c r="U445" s="5"/>
      <c r="V445" s="5"/>
      <c r="W445" s="5"/>
      <c r="BN445" s="5"/>
      <c r="BO445" s="5"/>
      <c r="BP445" s="5"/>
      <c r="BQ445" s="5"/>
    </row>
    <row r="446" spans="21:69" x14ac:dyDescent="0.2">
      <c r="U446" s="5"/>
      <c r="V446" s="5"/>
      <c r="W446" s="5"/>
      <c r="BN446" s="5"/>
      <c r="BO446" s="5"/>
      <c r="BP446" s="5"/>
      <c r="BQ446" s="5"/>
    </row>
    <row r="447" spans="21:69" x14ac:dyDescent="0.2">
      <c r="U447" s="5"/>
      <c r="V447" s="5"/>
      <c r="W447" s="5"/>
      <c r="BN447" s="5"/>
      <c r="BO447" s="5"/>
      <c r="BP447" s="5"/>
      <c r="BQ447" s="5"/>
    </row>
    <row r="448" spans="21:69" x14ac:dyDescent="0.2">
      <c r="U448" s="5"/>
      <c r="V448" s="5"/>
      <c r="W448" s="5"/>
      <c r="BN448" s="5"/>
      <c r="BO448" s="5"/>
      <c r="BP448" s="5"/>
      <c r="BQ448" s="5"/>
    </row>
    <row r="449" spans="21:69" x14ac:dyDescent="0.2">
      <c r="U449" s="5"/>
      <c r="V449" s="5"/>
      <c r="W449" s="5"/>
      <c r="BN449" s="5"/>
      <c r="BO449" s="5"/>
      <c r="BP449" s="5"/>
      <c r="BQ449" s="5"/>
    </row>
    <row r="450" spans="21:69" x14ac:dyDescent="0.2">
      <c r="U450" s="5"/>
      <c r="V450" s="5"/>
      <c r="W450" s="5"/>
      <c r="BN450" s="5"/>
      <c r="BO450" s="5"/>
      <c r="BP450" s="5"/>
      <c r="BQ450" s="5"/>
    </row>
    <row r="451" spans="21:69" x14ac:dyDescent="0.2">
      <c r="U451" s="5"/>
      <c r="V451" s="5"/>
      <c r="W451" s="5"/>
      <c r="BN451" s="5"/>
      <c r="BO451" s="5"/>
      <c r="BP451" s="5"/>
      <c r="BQ451" s="5"/>
    </row>
    <row r="452" spans="21:69" x14ac:dyDescent="0.2">
      <c r="U452" s="5"/>
      <c r="V452" s="5"/>
      <c r="W452" s="5"/>
      <c r="BN452" s="5"/>
      <c r="BO452" s="5"/>
      <c r="BP452" s="5"/>
      <c r="BQ452" s="5"/>
    </row>
    <row r="453" spans="21:69" x14ac:dyDescent="0.2">
      <c r="U453" s="5"/>
      <c r="V453" s="5"/>
      <c r="W453" s="5"/>
      <c r="BN453" s="5"/>
      <c r="BO453" s="5"/>
      <c r="BP453" s="5"/>
      <c r="BQ453" s="5"/>
    </row>
    <row r="454" spans="21:69" x14ac:dyDescent="0.2">
      <c r="U454" s="5"/>
      <c r="V454" s="5"/>
      <c r="W454" s="5"/>
      <c r="BN454" s="5"/>
      <c r="BO454" s="5"/>
      <c r="BP454" s="5"/>
      <c r="BQ454" s="5"/>
    </row>
    <row r="455" spans="21:69" x14ac:dyDescent="0.2">
      <c r="U455" s="5"/>
      <c r="V455" s="5"/>
      <c r="W455" s="5"/>
      <c r="BN455" s="5"/>
      <c r="BO455" s="5"/>
      <c r="BP455" s="5"/>
      <c r="BQ455" s="5"/>
    </row>
    <row r="456" spans="21:69" x14ac:dyDescent="0.2">
      <c r="U456" s="5"/>
      <c r="V456" s="5"/>
      <c r="W456" s="5"/>
      <c r="BN456" s="5"/>
      <c r="BO456" s="5"/>
      <c r="BP456" s="5"/>
      <c r="BQ456" s="5"/>
    </row>
    <row r="457" spans="21:69" x14ac:dyDescent="0.2">
      <c r="U457" s="5"/>
      <c r="V457" s="5"/>
      <c r="W457" s="5"/>
      <c r="BN457" s="5"/>
      <c r="BO457" s="5"/>
      <c r="BP457" s="5"/>
      <c r="BQ457" s="5"/>
    </row>
    <row r="458" spans="21:69" x14ac:dyDescent="0.2">
      <c r="U458" s="5"/>
      <c r="V458" s="5"/>
      <c r="W458" s="5"/>
      <c r="BN458" s="5"/>
      <c r="BO458" s="5"/>
      <c r="BP458" s="5"/>
      <c r="BQ458" s="5"/>
    </row>
    <row r="459" spans="21:69" x14ac:dyDescent="0.2">
      <c r="U459" s="5"/>
      <c r="V459" s="5"/>
      <c r="W459" s="5"/>
      <c r="BN459" s="5"/>
      <c r="BO459" s="5"/>
      <c r="BP459" s="5"/>
      <c r="BQ459" s="5"/>
    </row>
    <row r="460" spans="21:69" x14ac:dyDescent="0.2">
      <c r="U460" s="5"/>
      <c r="V460" s="5"/>
      <c r="W460" s="5"/>
      <c r="BN460" s="5"/>
      <c r="BO460" s="5"/>
      <c r="BP460" s="5"/>
      <c r="BQ460" s="5"/>
    </row>
    <row r="461" spans="21:69" x14ac:dyDescent="0.2">
      <c r="U461" s="5"/>
      <c r="V461" s="5"/>
      <c r="W461" s="5"/>
      <c r="BN461" s="5"/>
      <c r="BO461" s="5"/>
      <c r="BP461" s="5"/>
      <c r="BQ461" s="5"/>
    </row>
    <row r="462" spans="21:69" x14ac:dyDescent="0.2">
      <c r="U462" s="5"/>
      <c r="V462" s="5"/>
      <c r="W462" s="5"/>
      <c r="BN462" s="5"/>
      <c r="BO462" s="5"/>
      <c r="BP462" s="5"/>
      <c r="BQ462" s="5"/>
    </row>
    <row r="463" spans="21:69" x14ac:dyDescent="0.2">
      <c r="U463" s="5"/>
      <c r="V463" s="5"/>
      <c r="W463" s="5"/>
      <c r="BN463" s="5"/>
      <c r="BO463" s="5"/>
      <c r="BP463" s="5"/>
      <c r="BQ463" s="5"/>
    </row>
    <row r="464" spans="21:69" x14ac:dyDescent="0.2">
      <c r="U464" s="5"/>
      <c r="V464" s="5"/>
      <c r="W464" s="5"/>
      <c r="BN464" s="5"/>
      <c r="BO464" s="5"/>
      <c r="BP464" s="5"/>
      <c r="BQ464" s="5"/>
    </row>
    <row r="465" spans="21:69" x14ac:dyDescent="0.2">
      <c r="U465" s="5"/>
      <c r="V465" s="5"/>
      <c r="W465" s="5"/>
      <c r="BN465" s="5"/>
      <c r="BO465" s="5"/>
      <c r="BP465" s="5"/>
      <c r="BQ465" s="5"/>
    </row>
    <row r="466" spans="21:69" x14ac:dyDescent="0.2">
      <c r="U466" s="5"/>
      <c r="V466" s="5"/>
      <c r="W466" s="5"/>
      <c r="BN466" s="5"/>
      <c r="BO466" s="5"/>
      <c r="BP466" s="5"/>
      <c r="BQ466" s="5"/>
    </row>
    <row r="467" spans="21:69" x14ac:dyDescent="0.2">
      <c r="U467" s="5"/>
      <c r="V467" s="5"/>
      <c r="W467" s="5"/>
      <c r="BN467" s="5"/>
      <c r="BO467" s="5"/>
      <c r="BP467" s="5"/>
      <c r="BQ467" s="5"/>
    </row>
    <row r="468" spans="21:69" x14ac:dyDescent="0.2">
      <c r="U468" s="5"/>
      <c r="V468" s="5"/>
      <c r="W468" s="5"/>
      <c r="BN468" s="5"/>
      <c r="BO468" s="5"/>
      <c r="BP468" s="5"/>
      <c r="BQ468" s="5"/>
    </row>
    <row r="469" spans="21:69" x14ac:dyDescent="0.2">
      <c r="U469" s="5"/>
      <c r="V469" s="5"/>
      <c r="W469" s="5"/>
      <c r="BN469" s="5"/>
      <c r="BO469" s="5"/>
      <c r="BP469" s="5"/>
      <c r="BQ469" s="5"/>
    </row>
    <row r="470" spans="21:69" x14ac:dyDescent="0.2">
      <c r="U470" s="5"/>
      <c r="V470" s="5"/>
      <c r="W470" s="5"/>
      <c r="BN470" s="5"/>
      <c r="BO470" s="5"/>
      <c r="BP470" s="5"/>
      <c r="BQ470" s="5"/>
    </row>
    <row r="471" spans="21:69" x14ac:dyDescent="0.2">
      <c r="U471" s="5"/>
      <c r="V471" s="5"/>
      <c r="W471" s="5"/>
      <c r="BN471" s="5"/>
      <c r="BO471" s="5"/>
      <c r="BP471" s="5"/>
      <c r="BQ471" s="5"/>
    </row>
    <row r="472" spans="21:69" x14ac:dyDescent="0.2">
      <c r="U472" s="5"/>
      <c r="V472" s="5"/>
      <c r="W472" s="5"/>
      <c r="BN472" s="5"/>
      <c r="BO472" s="5"/>
      <c r="BP472" s="5"/>
      <c r="BQ472" s="5"/>
    </row>
    <row r="473" spans="21:69" x14ac:dyDescent="0.2">
      <c r="U473" s="5"/>
      <c r="V473" s="5"/>
      <c r="W473" s="5"/>
      <c r="BN473" s="5"/>
      <c r="BO473" s="5"/>
      <c r="BP473" s="5"/>
      <c r="BQ473" s="5"/>
    </row>
    <row r="474" spans="21:69" x14ac:dyDescent="0.2">
      <c r="U474" s="5"/>
      <c r="V474" s="5"/>
      <c r="W474" s="5"/>
      <c r="BN474" s="5"/>
      <c r="BO474" s="5"/>
      <c r="BP474" s="5"/>
      <c r="BQ474" s="5"/>
    </row>
    <row r="475" spans="21:69" x14ac:dyDescent="0.2">
      <c r="U475" s="5"/>
      <c r="V475" s="5"/>
      <c r="W475" s="5"/>
      <c r="BN475" s="5"/>
      <c r="BO475" s="5"/>
      <c r="BP475" s="5"/>
      <c r="BQ475" s="5"/>
    </row>
    <row r="476" spans="21:69" x14ac:dyDescent="0.2">
      <c r="U476" s="5"/>
      <c r="V476" s="5"/>
      <c r="W476" s="5"/>
      <c r="BN476" s="5"/>
      <c r="BO476" s="5"/>
      <c r="BP476" s="5"/>
      <c r="BQ476" s="5"/>
    </row>
    <row r="477" spans="21:69" x14ac:dyDescent="0.2">
      <c r="U477" s="5"/>
      <c r="V477" s="5"/>
      <c r="W477" s="5"/>
      <c r="BN477" s="5"/>
      <c r="BO477" s="5"/>
      <c r="BP477" s="5"/>
      <c r="BQ477" s="5"/>
    </row>
    <row r="478" spans="21:69" x14ac:dyDescent="0.2">
      <c r="U478" s="5"/>
      <c r="V478" s="5"/>
      <c r="W478" s="5"/>
      <c r="BN478" s="5"/>
      <c r="BO478" s="5"/>
      <c r="BP478" s="5"/>
      <c r="BQ478" s="5"/>
    </row>
    <row r="479" spans="21:69" x14ac:dyDescent="0.2">
      <c r="U479" s="5"/>
      <c r="V479" s="5"/>
      <c r="W479" s="5"/>
      <c r="BN479" s="5"/>
      <c r="BO479" s="5"/>
      <c r="BP479" s="5"/>
      <c r="BQ479" s="5"/>
    </row>
    <row r="480" spans="21:69" x14ac:dyDescent="0.2">
      <c r="U480" s="5"/>
      <c r="V480" s="5"/>
      <c r="W480" s="5"/>
      <c r="BN480" s="5"/>
      <c r="BO480" s="5"/>
      <c r="BP480" s="5"/>
      <c r="BQ480" s="5"/>
    </row>
    <row r="481" spans="21:69" x14ac:dyDescent="0.2">
      <c r="U481" s="5"/>
      <c r="V481" s="5"/>
      <c r="W481" s="5"/>
      <c r="BN481" s="5"/>
      <c r="BO481" s="5"/>
      <c r="BP481" s="5"/>
      <c r="BQ481" s="5"/>
    </row>
    <row r="482" spans="21:69" x14ac:dyDescent="0.2">
      <c r="U482" s="5"/>
      <c r="V482" s="5"/>
      <c r="W482" s="5"/>
      <c r="BN482" s="5"/>
      <c r="BO482" s="5"/>
      <c r="BP482" s="5"/>
      <c r="BQ482" s="5"/>
    </row>
    <row r="483" spans="21:69" x14ac:dyDescent="0.2">
      <c r="U483" s="5"/>
      <c r="V483" s="5"/>
      <c r="W483" s="5"/>
      <c r="BN483" s="5"/>
      <c r="BO483" s="5"/>
      <c r="BP483" s="5"/>
      <c r="BQ483" s="5"/>
    </row>
    <row r="484" spans="21:69" x14ac:dyDescent="0.2">
      <c r="U484" s="5"/>
      <c r="V484" s="5"/>
      <c r="W484" s="5"/>
      <c r="BN484" s="5"/>
      <c r="BO484" s="5"/>
      <c r="BP484" s="5"/>
      <c r="BQ484" s="5"/>
    </row>
    <row r="485" spans="21:69" x14ac:dyDescent="0.2">
      <c r="U485" s="5"/>
      <c r="V485" s="5"/>
      <c r="W485" s="5"/>
      <c r="BN485" s="5"/>
      <c r="BO485" s="5"/>
      <c r="BP485" s="5"/>
      <c r="BQ485" s="5"/>
    </row>
    <row r="486" spans="21:69" x14ac:dyDescent="0.2">
      <c r="U486" s="5"/>
      <c r="V486" s="5"/>
      <c r="W486" s="5"/>
      <c r="BN486" s="5"/>
      <c r="BO486" s="5"/>
      <c r="BP486" s="5"/>
      <c r="BQ486" s="5"/>
    </row>
    <row r="487" spans="21:69" x14ac:dyDescent="0.2">
      <c r="U487" s="5"/>
      <c r="V487" s="5"/>
      <c r="W487" s="5"/>
      <c r="BN487" s="5"/>
      <c r="BO487" s="5"/>
      <c r="BP487" s="5"/>
      <c r="BQ487" s="5"/>
    </row>
    <row r="488" spans="21:69" x14ac:dyDescent="0.2">
      <c r="U488" s="5"/>
      <c r="V488" s="5"/>
      <c r="W488" s="5"/>
      <c r="BN488" s="5"/>
      <c r="BO488" s="5"/>
      <c r="BP488" s="5"/>
      <c r="BQ488" s="5"/>
    </row>
    <row r="489" spans="21:69" x14ac:dyDescent="0.2">
      <c r="U489" s="5"/>
      <c r="V489" s="5"/>
      <c r="W489" s="5"/>
      <c r="BN489" s="5"/>
      <c r="BO489" s="5"/>
      <c r="BP489" s="5"/>
      <c r="BQ489" s="5"/>
    </row>
    <row r="490" spans="21:69" x14ac:dyDescent="0.2">
      <c r="U490" s="5"/>
      <c r="V490" s="5"/>
      <c r="W490" s="5"/>
      <c r="BN490" s="5"/>
      <c r="BO490" s="5"/>
      <c r="BP490" s="5"/>
      <c r="BQ490" s="5"/>
    </row>
    <row r="491" spans="21:69" x14ac:dyDescent="0.2">
      <c r="U491" s="5"/>
      <c r="V491" s="5"/>
      <c r="W491" s="5"/>
      <c r="BN491" s="5"/>
      <c r="BO491" s="5"/>
      <c r="BP491" s="5"/>
      <c r="BQ491" s="5"/>
    </row>
    <row r="492" spans="21:69" x14ac:dyDescent="0.2">
      <c r="U492" s="5"/>
      <c r="V492" s="5"/>
      <c r="W492" s="5"/>
      <c r="BN492" s="5"/>
      <c r="BO492" s="5"/>
      <c r="BP492" s="5"/>
      <c r="BQ492" s="5"/>
    </row>
    <row r="493" spans="21:69" x14ac:dyDescent="0.2">
      <c r="U493" s="5"/>
      <c r="V493" s="5"/>
      <c r="W493" s="5"/>
      <c r="BN493" s="5"/>
      <c r="BO493" s="5"/>
      <c r="BP493" s="5"/>
      <c r="BQ493" s="5"/>
    </row>
    <row r="494" spans="21:69" x14ac:dyDescent="0.2">
      <c r="U494" s="5"/>
      <c r="V494" s="5"/>
      <c r="W494" s="5"/>
      <c r="BN494" s="5"/>
      <c r="BO494" s="5"/>
      <c r="BP494" s="5"/>
      <c r="BQ494" s="5"/>
    </row>
    <row r="495" spans="21:69" x14ac:dyDescent="0.2">
      <c r="U495" s="5"/>
      <c r="V495" s="5"/>
      <c r="W495" s="5"/>
      <c r="BN495" s="5"/>
      <c r="BO495" s="5"/>
      <c r="BP495" s="5"/>
      <c r="BQ495" s="5"/>
    </row>
    <row r="496" spans="21:69" x14ac:dyDescent="0.2">
      <c r="U496" s="5"/>
      <c r="V496" s="5"/>
      <c r="W496" s="5"/>
      <c r="BN496" s="5"/>
      <c r="BO496" s="5"/>
      <c r="BP496" s="5"/>
      <c r="BQ496" s="5"/>
    </row>
    <row r="497" spans="21:69" x14ac:dyDescent="0.2">
      <c r="U497" s="5"/>
      <c r="V497" s="5"/>
      <c r="W497" s="5"/>
      <c r="BN497" s="5"/>
      <c r="BO497" s="5"/>
      <c r="BP497" s="5"/>
      <c r="BQ497" s="5"/>
    </row>
    <row r="498" spans="21:69" x14ac:dyDescent="0.2">
      <c r="U498" s="5"/>
      <c r="V498" s="5"/>
      <c r="W498" s="5"/>
      <c r="BN498" s="5"/>
      <c r="BO498" s="5"/>
      <c r="BP498" s="5"/>
      <c r="BQ498" s="5"/>
    </row>
    <row r="499" spans="21:69" x14ac:dyDescent="0.2">
      <c r="U499" s="5"/>
      <c r="V499" s="5"/>
      <c r="W499" s="5"/>
      <c r="BN499" s="5"/>
      <c r="BO499" s="5"/>
      <c r="BP499" s="5"/>
      <c r="BQ499" s="5"/>
    </row>
    <row r="500" spans="21:69" x14ac:dyDescent="0.2">
      <c r="U500" s="5"/>
      <c r="V500" s="5"/>
      <c r="W500" s="5"/>
      <c r="BN500" s="5"/>
      <c r="BO500" s="5"/>
      <c r="BP500" s="5"/>
      <c r="BQ500" s="5"/>
    </row>
    <row r="501" spans="21:69" x14ac:dyDescent="0.2">
      <c r="U501" s="5"/>
      <c r="V501" s="5"/>
      <c r="W501" s="5"/>
      <c r="BN501" s="5"/>
      <c r="BO501" s="5"/>
      <c r="BP501" s="5"/>
      <c r="BQ501" s="5"/>
    </row>
    <row r="502" spans="21:69" x14ac:dyDescent="0.2">
      <c r="U502" s="5"/>
      <c r="V502" s="5"/>
      <c r="W502" s="5"/>
      <c r="BN502" s="5"/>
      <c r="BO502" s="5"/>
      <c r="BP502" s="5"/>
      <c r="BQ502" s="5"/>
    </row>
    <row r="503" spans="21:69" x14ac:dyDescent="0.2">
      <c r="U503" s="5"/>
      <c r="V503" s="5"/>
      <c r="W503" s="5"/>
      <c r="BN503" s="5"/>
      <c r="BO503" s="5"/>
      <c r="BP503" s="5"/>
      <c r="BQ503" s="5"/>
    </row>
    <row r="504" spans="21:69" x14ac:dyDescent="0.2">
      <c r="U504" s="5"/>
      <c r="V504" s="5"/>
      <c r="W504" s="5"/>
      <c r="BN504" s="5"/>
      <c r="BO504" s="5"/>
      <c r="BP504" s="5"/>
      <c r="BQ504" s="5"/>
    </row>
    <row r="505" spans="21:69" x14ac:dyDescent="0.2">
      <c r="U505" s="5"/>
      <c r="V505" s="5"/>
      <c r="W505" s="5"/>
      <c r="BN505" s="5"/>
      <c r="BO505" s="5"/>
      <c r="BP505" s="5"/>
      <c r="BQ505" s="5"/>
    </row>
    <row r="506" spans="21:69" x14ac:dyDescent="0.2">
      <c r="U506" s="5"/>
      <c r="V506" s="5"/>
      <c r="W506" s="5"/>
      <c r="BN506" s="5"/>
      <c r="BO506" s="5"/>
      <c r="BP506" s="5"/>
      <c r="BQ506" s="5"/>
    </row>
    <row r="507" spans="21:69" x14ac:dyDescent="0.2">
      <c r="U507" s="5"/>
      <c r="V507" s="5"/>
      <c r="W507" s="5"/>
      <c r="BN507" s="5"/>
      <c r="BO507" s="5"/>
      <c r="BP507" s="5"/>
      <c r="BQ507" s="5"/>
    </row>
    <row r="508" spans="21:69" x14ac:dyDescent="0.2">
      <c r="U508" s="5"/>
      <c r="V508" s="5"/>
      <c r="W508" s="5"/>
      <c r="BN508" s="5"/>
      <c r="BO508" s="5"/>
      <c r="BP508" s="5"/>
      <c r="BQ508" s="5"/>
    </row>
    <row r="509" spans="21:69" x14ac:dyDescent="0.2">
      <c r="U509" s="5"/>
      <c r="V509" s="5"/>
      <c r="W509" s="5"/>
      <c r="BN509" s="5"/>
      <c r="BO509" s="5"/>
      <c r="BP509" s="5"/>
      <c r="BQ509" s="5"/>
    </row>
    <row r="510" spans="21:69" x14ac:dyDescent="0.2">
      <c r="U510" s="5"/>
      <c r="V510" s="5"/>
      <c r="W510" s="5"/>
      <c r="BN510" s="5"/>
      <c r="BO510" s="5"/>
      <c r="BP510" s="5"/>
      <c r="BQ510" s="5"/>
    </row>
    <row r="511" spans="21:69" x14ac:dyDescent="0.2">
      <c r="U511" s="5"/>
      <c r="V511" s="5"/>
      <c r="W511" s="5"/>
      <c r="BN511" s="5"/>
      <c r="BO511" s="5"/>
      <c r="BP511" s="5"/>
      <c r="BQ511" s="5"/>
    </row>
    <row r="512" spans="21:69" x14ac:dyDescent="0.2">
      <c r="U512" s="5"/>
      <c r="V512" s="5"/>
      <c r="W512" s="5"/>
      <c r="BN512" s="5"/>
      <c r="BO512" s="5"/>
      <c r="BP512" s="5"/>
      <c r="BQ512" s="5"/>
    </row>
    <row r="513" spans="21:69" x14ac:dyDescent="0.2">
      <c r="U513" s="5"/>
      <c r="V513" s="5"/>
      <c r="W513" s="5"/>
      <c r="BN513" s="5"/>
      <c r="BO513" s="5"/>
      <c r="BP513" s="5"/>
      <c r="BQ513" s="5"/>
    </row>
    <row r="514" spans="21:69" x14ac:dyDescent="0.2">
      <c r="U514" s="5"/>
      <c r="V514" s="5"/>
      <c r="W514" s="5"/>
      <c r="BN514" s="5"/>
      <c r="BO514" s="5"/>
      <c r="BP514" s="5"/>
      <c r="BQ514" s="5"/>
    </row>
    <row r="515" spans="21:69" x14ac:dyDescent="0.2">
      <c r="U515" s="5"/>
      <c r="V515" s="5"/>
      <c r="W515" s="5"/>
      <c r="BN515" s="5"/>
      <c r="BO515" s="5"/>
      <c r="BP515" s="5"/>
      <c r="BQ515" s="5"/>
    </row>
    <row r="516" spans="21:69" x14ac:dyDescent="0.2">
      <c r="U516" s="5"/>
      <c r="V516" s="5"/>
      <c r="W516" s="5"/>
      <c r="BN516" s="5"/>
      <c r="BO516" s="5"/>
      <c r="BP516" s="5"/>
      <c r="BQ516" s="5"/>
    </row>
    <row r="517" spans="21:69" x14ac:dyDescent="0.2">
      <c r="U517" s="5"/>
      <c r="V517" s="5"/>
      <c r="W517" s="5"/>
      <c r="BN517" s="5"/>
      <c r="BO517" s="5"/>
      <c r="BP517" s="5"/>
      <c r="BQ517" s="5"/>
    </row>
    <row r="518" spans="21:69" x14ac:dyDescent="0.2">
      <c r="U518" s="5"/>
      <c r="V518" s="5"/>
      <c r="W518" s="5"/>
      <c r="BN518" s="5"/>
      <c r="BO518" s="5"/>
      <c r="BP518" s="5"/>
      <c r="BQ518" s="5"/>
    </row>
    <row r="519" spans="21:69" x14ac:dyDescent="0.2">
      <c r="U519" s="5"/>
      <c r="V519" s="5"/>
      <c r="W519" s="5"/>
      <c r="BN519" s="5"/>
      <c r="BO519" s="5"/>
      <c r="BP519" s="5"/>
      <c r="BQ519" s="5"/>
    </row>
    <row r="520" spans="21:69" x14ac:dyDescent="0.2">
      <c r="U520" s="5"/>
      <c r="V520" s="5"/>
      <c r="W520" s="5"/>
      <c r="BN520" s="5"/>
      <c r="BO520" s="5"/>
      <c r="BP520" s="5"/>
      <c r="BQ520" s="5"/>
    </row>
    <row r="521" spans="21:69" x14ac:dyDescent="0.2">
      <c r="U521" s="5"/>
      <c r="V521" s="5"/>
      <c r="W521" s="5"/>
      <c r="BN521" s="5"/>
      <c r="BO521" s="5"/>
      <c r="BP521" s="5"/>
      <c r="BQ521" s="5"/>
    </row>
    <row r="522" spans="21:69" x14ac:dyDescent="0.2">
      <c r="U522" s="5"/>
      <c r="V522" s="5"/>
      <c r="W522" s="5"/>
      <c r="BN522" s="5"/>
      <c r="BO522" s="5"/>
      <c r="BP522" s="5"/>
      <c r="BQ522" s="5"/>
    </row>
    <row r="523" spans="21:69" x14ac:dyDescent="0.2">
      <c r="U523" s="5"/>
      <c r="V523" s="5"/>
      <c r="W523" s="5"/>
      <c r="BN523" s="5"/>
      <c r="BO523" s="5"/>
      <c r="BP523" s="5"/>
      <c r="BQ523" s="5"/>
    </row>
    <row r="524" spans="21:69" x14ac:dyDescent="0.2">
      <c r="U524" s="5"/>
      <c r="V524" s="5"/>
      <c r="W524" s="5"/>
      <c r="BN524" s="5"/>
      <c r="BO524" s="5"/>
      <c r="BP524" s="5"/>
      <c r="BQ524" s="5"/>
    </row>
    <row r="525" spans="21:69" x14ac:dyDescent="0.2">
      <c r="U525" s="5"/>
      <c r="V525" s="5"/>
      <c r="W525" s="5"/>
      <c r="BN525" s="5"/>
      <c r="BO525" s="5"/>
      <c r="BP525" s="5"/>
      <c r="BQ525" s="5"/>
    </row>
    <row r="526" spans="21:69" x14ac:dyDescent="0.2">
      <c r="U526" s="5"/>
      <c r="V526" s="5"/>
      <c r="W526" s="5"/>
      <c r="BN526" s="5"/>
      <c r="BO526" s="5"/>
      <c r="BP526" s="5"/>
      <c r="BQ526" s="5"/>
    </row>
    <row r="527" spans="21:69" x14ac:dyDescent="0.2">
      <c r="U527" s="5"/>
      <c r="V527" s="5"/>
      <c r="W527" s="5"/>
      <c r="BN527" s="5"/>
      <c r="BO527" s="5"/>
      <c r="BP527" s="5"/>
      <c r="BQ527" s="5"/>
    </row>
    <row r="528" spans="21:69" x14ac:dyDescent="0.2">
      <c r="U528" s="5"/>
      <c r="V528" s="5"/>
      <c r="W528" s="5"/>
      <c r="BN528" s="5"/>
      <c r="BO528" s="5"/>
      <c r="BP528" s="5"/>
      <c r="BQ528" s="5"/>
    </row>
    <row r="529" spans="21:69" x14ac:dyDescent="0.2">
      <c r="U529" s="5"/>
      <c r="V529" s="5"/>
      <c r="W529" s="5"/>
      <c r="BN529" s="5"/>
      <c r="BO529" s="5"/>
      <c r="BP529" s="5"/>
      <c r="BQ529" s="5"/>
    </row>
    <row r="530" spans="21:69" x14ac:dyDescent="0.2">
      <c r="U530" s="5"/>
      <c r="V530" s="5"/>
      <c r="W530" s="5"/>
      <c r="BN530" s="5"/>
      <c r="BO530" s="5"/>
      <c r="BP530" s="5"/>
      <c r="BQ530" s="5"/>
    </row>
    <row r="531" spans="21:69" x14ac:dyDescent="0.2">
      <c r="U531" s="5"/>
      <c r="V531" s="5"/>
      <c r="W531" s="5"/>
      <c r="BN531" s="5"/>
      <c r="BO531" s="5"/>
      <c r="BP531" s="5"/>
      <c r="BQ531" s="5"/>
    </row>
    <row r="532" spans="21:69" x14ac:dyDescent="0.2">
      <c r="U532" s="5"/>
      <c r="V532" s="5"/>
      <c r="W532" s="5"/>
      <c r="BN532" s="5"/>
      <c r="BO532" s="5"/>
      <c r="BP532" s="5"/>
      <c r="BQ532" s="5"/>
    </row>
    <row r="533" spans="21:69" x14ac:dyDescent="0.2">
      <c r="U533" s="5"/>
      <c r="V533" s="5"/>
      <c r="W533" s="5"/>
      <c r="BN533" s="5"/>
      <c r="BO533" s="5"/>
      <c r="BP533" s="5"/>
      <c r="BQ533" s="5"/>
    </row>
    <row r="534" spans="21:69" x14ac:dyDescent="0.2">
      <c r="U534" s="5"/>
      <c r="V534" s="5"/>
      <c r="W534" s="5"/>
      <c r="BN534" s="5"/>
      <c r="BO534" s="5"/>
      <c r="BP534" s="5"/>
      <c r="BQ534" s="5"/>
    </row>
    <row r="535" spans="21:69" x14ac:dyDescent="0.2">
      <c r="U535" s="5"/>
      <c r="V535" s="5"/>
      <c r="W535" s="5"/>
      <c r="BN535" s="5"/>
      <c r="BO535" s="5"/>
      <c r="BP535" s="5"/>
      <c r="BQ535" s="5"/>
    </row>
    <row r="536" spans="21:69" x14ac:dyDescent="0.2">
      <c r="U536" s="5"/>
      <c r="V536" s="5"/>
      <c r="W536" s="5"/>
      <c r="BN536" s="5"/>
      <c r="BO536" s="5"/>
      <c r="BP536" s="5"/>
      <c r="BQ536" s="5"/>
    </row>
    <row r="537" spans="21:69" x14ac:dyDescent="0.2">
      <c r="U537" s="5"/>
      <c r="V537" s="5"/>
      <c r="W537" s="5"/>
      <c r="BN537" s="5"/>
      <c r="BO537" s="5"/>
      <c r="BP537" s="5"/>
      <c r="BQ537" s="5"/>
    </row>
    <row r="538" spans="21:69" x14ac:dyDescent="0.2">
      <c r="U538" s="5"/>
      <c r="V538" s="5"/>
      <c r="W538" s="5"/>
      <c r="BN538" s="5"/>
      <c r="BO538" s="5"/>
      <c r="BP538" s="5"/>
      <c r="BQ538" s="5"/>
    </row>
    <row r="539" spans="21:69" x14ac:dyDescent="0.2">
      <c r="U539" s="5"/>
      <c r="V539" s="5"/>
      <c r="W539" s="5"/>
      <c r="BN539" s="5"/>
      <c r="BO539" s="5"/>
      <c r="BP539" s="5"/>
      <c r="BQ539" s="5"/>
    </row>
    <row r="540" spans="21:69" x14ac:dyDescent="0.2">
      <c r="U540" s="5"/>
      <c r="V540" s="5"/>
      <c r="W540" s="5"/>
      <c r="BN540" s="5"/>
      <c r="BO540" s="5"/>
      <c r="BP540" s="5"/>
      <c r="BQ540" s="5"/>
    </row>
    <row r="541" spans="21:69" x14ac:dyDescent="0.2">
      <c r="U541" s="5"/>
      <c r="V541" s="5"/>
      <c r="W541" s="5"/>
      <c r="BN541" s="5"/>
      <c r="BO541" s="5"/>
      <c r="BP541" s="5"/>
      <c r="BQ541" s="5"/>
    </row>
    <row r="542" spans="21:69" x14ac:dyDescent="0.2">
      <c r="U542" s="5"/>
      <c r="V542" s="5"/>
      <c r="W542" s="5"/>
      <c r="BN542" s="5"/>
      <c r="BO542" s="5"/>
      <c r="BP542" s="5"/>
      <c r="BQ542" s="5"/>
    </row>
    <row r="543" spans="21:69" x14ac:dyDescent="0.2">
      <c r="U543" s="5"/>
      <c r="V543" s="5"/>
      <c r="W543" s="5"/>
      <c r="BN543" s="5"/>
      <c r="BO543" s="5"/>
      <c r="BP543" s="5"/>
      <c r="BQ543" s="5"/>
    </row>
    <row r="544" spans="21:69" x14ac:dyDescent="0.2">
      <c r="U544" s="5"/>
      <c r="V544" s="5"/>
      <c r="W544" s="5"/>
      <c r="BN544" s="5"/>
      <c r="BO544" s="5"/>
      <c r="BP544" s="5"/>
      <c r="BQ544" s="5"/>
    </row>
    <row r="545" spans="21:69" x14ac:dyDescent="0.2">
      <c r="U545" s="5"/>
      <c r="V545" s="5"/>
      <c r="W545" s="5"/>
      <c r="BN545" s="5"/>
      <c r="BO545" s="5"/>
      <c r="BP545" s="5"/>
      <c r="BQ545" s="5"/>
    </row>
    <row r="546" spans="21:69" x14ac:dyDescent="0.2">
      <c r="U546" s="5"/>
      <c r="V546" s="5"/>
      <c r="W546" s="5"/>
      <c r="BN546" s="5"/>
      <c r="BO546" s="5"/>
      <c r="BP546" s="5"/>
      <c r="BQ546" s="5"/>
    </row>
    <row r="547" spans="21:69" x14ac:dyDescent="0.2">
      <c r="U547" s="5"/>
      <c r="V547" s="5"/>
      <c r="W547" s="5"/>
      <c r="BN547" s="5"/>
      <c r="BO547" s="5"/>
      <c r="BP547" s="5"/>
      <c r="BQ547" s="5"/>
    </row>
    <row r="548" spans="21:69" x14ac:dyDescent="0.2">
      <c r="U548" s="5"/>
      <c r="V548" s="5"/>
      <c r="W548" s="5"/>
      <c r="BN548" s="5"/>
      <c r="BO548" s="5"/>
      <c r="BP548" s="5"/>
      <c r="BQ548" s="5"/>
    </row>
    <row r="549" spans="21:69" x14ac:dyDescent="0.2">
      <c r="U549" s="5"/>
      <c r="V549" s="5"/>
      <c r="W549" s="5"/>
      <c r="BN549" s="5"/>
      <c r="BO549" s="5"/>
      <c r="BP549" s="5"/>
      <c r="BQ549" s="5"/>
    </row>
    <row r="550" spans="21:69" x14ac:dyDescent="0.2">
      <c r="U550" s="5"/>
      <c r="V550" s="5"/>
      <c r="W550" s="5"/>
      <c r="BN550" s="5"/>
      <c r="BO550" s="5"/>
      <c r="BP550" s="5"/>
      <c r="BQ550" s="5"/>
    </row>
    <row r="551" spans="21:69" x14ac:dyDescent="0.2">
      <c r="U551" s="5"/>
      <c r="V551" s="5"/>
      <c r="W551" s="5"/>
      <c r="BN551" s="5"/>
      <c r="BO551" s="5"/>
      <c r="BP551" s="5"/>
      <c r="BQ551" s="5"/>
    </row>
    <row r="552" spans="21:69" x14ac:dyDescent="0.2">
      <c r="U552" s="5"/>
      <c r="V552" s="5"/>
      <c r="W552" s="5"/>
      <c r="BN552" s="5"/>
      <c r="BO552" s="5"/>
      <c r="BP552" s="5"/>
      <c r="BQ552" s="5"/>
    </row>
    <row r="553" spans="21:69" x14ac:dyDescent="0.2">
      <c r="U553" s="5"/>
      <c r="V553" s="5"/>
      <c r="W553" s="5"/>
      <c r="BN553" s="5"/>
      <c r="BO553" s="5"/>
      <c r="BP553" s="5"/>
      <c r="BQ553" s="5"/>
    </row>
    <row r="554" spans="21:69" x14ac:dyDescent="0.2">
      <c r="U554" s="5"/>
      <c r="V554" s="5"/>
      <c r="W554" s="5"/>
      <c r="BN554" s="5"/>
      <c r="BO554" s="5"/>
      <c r="BP554" s="5"/>
      <c r="BQ554" s="5"/>
    </row>
    <row r="555" spans="21:69" x14ac:dyDescent="0.2">
      <c r="U555" s="5"/>
      <c r="V555" s="5"/>
      <c r="W555" s="5"/>
      <c r="BN555" s="5"/>
      <c r="BO555" s="5"/>
      <c r="BP555" s="5"/>
      <c r="BQ555" s="5"/>
    </row>
    <row r="556" spans="21:69" x14ac:dyDescent="0.2">
      <c r="U556" s="5"/>
      <c r="V556" s="5"/>
      <c r="W556" s="5"/>
      <c r="BN556" s="5"/>
      <c r="BO556" s="5"/>
      <c r="BP556" s="5"/>
      <c r="BQ556" s="5"/>
    </row>
    <row r="557" spans="21:69" x14ac:dyDescent="0.2">
      <c r="U557" s="5"/>
      <c r="V557" s="5"/>
      <c r="W557" s="5"/>
      <c r="BN557" s="5"/>
      <c r="BO557" s="5"/>
      <c r="BP557" s="5"/>
      <c r="BQ557" s="5"/>
    </row>
    <row r="558" spans="21:69" x14ac:dyDescent="0.2">
      <c r="U558" s="5"/>
      <c r="V558" s="5"/>
      <c r="W558" s="5"/>
      <c r="BN558" s="5"/>
      <c r="BO558" s="5"/>
      <c r="BP558" s="5"/>
      <c r="BQ558" s="5"/>
    </row>
    <row r="559" spans="21:69" x14ac:dyDescent="0.2">
      <c r="U559" s="5"/>
      <c r="V559" s="5"/>
      <c r="W559" s="5"/>
      <c r="BN559" s="5"/>
      <c r="BO559" s="5"/>
      <c r="BP559" s="5"/>
      <c r="BQ559" s="5"/>
    </row>
    <row r="560" spans="21:69" x14ac:dyDescent="0.2">
      <c r="U560" s="5"/>
      <c r="V560" s="5"/>
      <c r="W560" s="5"/>
      <c r="BN560" s="5"/>
      <c r="BO560" s="5"/>
      <c r="BP560" s="5"/>
      <c r="BQ560" s="5"/>
    </row>
    <row r="561" spans="21:69" x14ac:dyDescent="0.2">
      <c r="U561" s="5"/>
      <c r="V561" s="5"/>
      <c r="W561" s="5"/>
      <c r="BN561" s="5"/>
      <c r="BO561" s="5"/>
      <c r="BP561" s="5"/>
      <c r="BQ561" s="5"/>
    </row>
    <row r="562" spans="21:69" x14ac:dyDescent="0.2">
      <c r="U562" s="5"/>
      <c r="V562" s="5"/>
      <c r="W562" s="5"/>
      <c r="BN562" s="5"/>
      <c r="BO562" s="5"/>
      <c r="BP562" s="5"/>
      <c r="BQ562" s="5"/>
    </row>
    <row r="563" spans="21:69" x14ac:dyDescent="0.2">
      <c r="U563" s="5"/>
      <c r="V563" s="5"/>
      <c r="W563" s="5"/>
      <c r="BN563" s="5"/>
      <c r="BO563" s="5"/>
      <c r="BP563" s="5"/>
      <c r="BQ563" s="5"/>
    </row>
    <row r="564" spans="21:69" x14ac:dyDescent="0.2">
      <c r="U564" s="5"/>
      <c r="V564" s="5"/>
      <c r="W564" s="5"/>
      <c r="BN564" s="5"/>
      <c r="BO564" s="5"/>
      <c r="BP564" s="5"/>
      <c r="BQ564" s="5"/>
    </row>
    <row r="565" spans="21:69" x14ac:dyDescent="0.2">
      <c r="U565" s="5"/>
      <c r="V565" s="5"/>
      <c r="W565" s="5"/>
      <c r="BN565" s="5"/>
      <c r="BO565" s="5"/>
      <c r="BP565" s="5"/>
      <c r="BQ565" s="5"/>
    </row>
    <row r="566" spans="21:69" x14ac:dyDescent="0.2">
      <c r="U566" s="5"/>
      <c r="V566" s="5"/>
      <c r="W566" s="5"/>
      <c r="BN566" s="5"/>
      <c r="BO566" s="5"/>
      <c r="BP566" s="5"/>
      <c r="BQ566" s="5"/>
    </row>
    <row r="567" spans="21:69" x14ac:dyDescent="0.2">
      <c r="U567" s="5"/>
      <c r="V567" s="5"/>
      <c r="W567" s="5"/>
      <c r="BN567" s="5"/>
      <c r="BO567" s="5"/>
      <c r="BP567" s="5"/>
      <c r="BQ567" s="5"/>
    </row>
    <row r="568" spans="21:69" x14ac:dyDescent="0.2">
      <c r="U568" s="5"/>
      <c r="V568" s="5"/>
      <c r="W568" s="5"/>
      <c r="BN568" s="5"/>
      <c r="BO568" s="5"/>
      <c r="BP568" s="5"/>
      <c r="BQ568" s="5"/>
    </row>
    <row r="569" spans="21:69" x14ac:dyDescent="0.2">
      <c r="U569" s="5"/>
      <c r="V569" s="5"/>
      <c r="W569" s="5"/>
      <c r="BN569" s="5"/>
      <c r="BO569" s="5"/>
      <c r="BP569" s="5"/>
      <c r="BQ569" s="5"/>
    </row>
    <row r="570" spans="21:69" x14ac:dyDescent="0.2">
      <c r="U570" s="5"/>
      <c r="V570" s="5"/>
      <c r="W570" s="5"/>
      <c r="BN570" s="5"/>
      <c r="BO570" s="5"/>
      <c r="BP570" s="5"/>
      <c r="BQ570" s="5"/>
    </row>
    <row r="571" spans="21:69" x14ac:dyDescent="0.2">
      <c r="U571" s="5"/>
      <c r="V571" s="5"/>
      <c r="W571" s="5"/>
      <c r="BN571" s="5"/>
      <c r="BO571" s="5"/>
      <c r="BP571" s="5"/>
      <c r="BQ571" s="5"/>
    </row>
    <row r="572" spans="21:69" x14ac:dyDescent="0.2">
      <c r="U572" s="5"/>
      <c r="V572" s="5"/>
      <c r="W572" s="5"/>
      <c r="BN572" s="5"/>
      <c r="BO572" s="5"/>
      <c r="BP572" s="5"/>
      <c r="BQ572" s="5"/>
    </row>
    <row r="573" spans="21:69" x14ac:dyDescent="0.2">
      <c r="U573" s="5"/>
      <c r="V573" s="5"/>
      <c r="W573" s="5"/>
      <c r="BN573" s="5"/>
      <c r="BO573" s="5"/>
      <c r="BP573" s="5"/>
      <c r="BQ573" s="5"/>
    </row>
    <row r="574" spans="21:69" x14ac:dyDescent="0.2">
      <c r="U574" s="5"/>
      <c r="V574" s="5"/>
      <c r="W574" s="5"/>
      <c r="BN574" s="5"/>
      <c r="BO574" s="5"/>
      <c r="BP574" s="5"/>
      <c r="BQ574" s="5"/>
    </row>
    <row r="575" spans="21:69" x14ac:dyDescent="0.2">
      <c r="U575" s="5"/>
      <c r="V575" s="5"/>
      <c r="W575" s="5"/>
      <c r="BN575" s="5"/>
      <c r="BO575" s="5"/>
      <c r="BP575" s="5"/>
      <c r="BQ575" s="5"/>
    </row>
    <row r="576" spans="21:69" x14ac:dyDescent="0.2">
      <c r="U576" s="5"/>
      <c r="V576" s="5"/>
      <c r="W576" s="5"/>
      <c r="BN576" s="5"/>
      <c r="BO576" s="5"/>
      <c r="BP576" s="5"/>
      <c r="BQ576" s="5"/>
    </row>
    <row r="577" spans="21:69" x14ac:dyDescent="0.2">
      <c r="U577" s="5"/>
      <c r="V577" s="5"/>
      <c r="W577" s="5"/>
      <c r="BN577" s="5"/>
      <c r="BO577" s="5"/>
      <c r="BP577" s="5"/>
      <c r="BQ577" s="5"/>
    </row>
    <row r="578" spans="21:69" x14ac:dyDescent="0.2">
      <c r="U578" s="5"/>
      <c r="V578" s="5"/>
      <c r="W578" s="5"/>
      <c r="BN578" s="5"/>
      <c r="BO578" s="5"/>
      <c r="BP578" s="5"/>
      <c r="BQ578" s="5"/>
    </row>
    <row r="579" spans="21:69" x14ac:dyDescent="0.2">
      <c r="U579" s="5"/>
      <c r="V579" s="5"/>
      <c r="W579" s="5"/>
      <c r="BN579" s="5"/>
      <c r="BO579" s="5"/>
      <c r="BP579" s="5"/>
      <c r="BQ579" s="5"/>
    </row>
    <row r="580" spans="21:69" x14ac:dyDescent="0.2">
      <c r="U580" s="5"/>
      <c r="V580" s="5"/>
      <c r="W580" s="5"/>
      <c r="BN580" s="5"/>
      <c r="BO580" s="5"/>
      <c r="BP580" s="5"/>
      <c r="BQ580" s="5"/>
    </row>
    <row r="581" spans="21:69" x14ac:dyDescent="0.2">
      <c r="U581" s="5"/>
      <c r="V581" s="5"/>
      <c r="W581" s="5"/>
      <c r="BN581" s="5"/>
      <c r="BO581" s="5"/>
      <c r="BP581" s="5"/>
      <c r="BQ581" s="5"/>
    </row>
    <row r="582" spans="21:69" x14ac:dyDescent="0.2">
      <c r="U582" s="5"/>
      <c r="V582" s="5"/>
      <c r="W582" s="5"/>
      <c r="BN582" s="5"/>
      <c r="BO582" s="5"/>
      <c r="BP582" s="5"/>
      <c r="BQ582" s="5"/>
    </row>
    <row r="583" spans="21:69" x14ac:dyDescent="0.2">
      <c r="U583" s="5"/>
      <c r="V583" s="5"/>
      <c r="W583" s="5"/>
      <c r="BN583" s="5"/>
      <c r="BO583" s="5"/>
      <c r="BP583" s="5"/>
      <c r="BQ583" s="5"/>
    </row>
    <row r="584" spans="21:69" x14ac:dyDescent="0.2">
      <c r="U584" s="5"/>
      <c r="V584" s="5"/>
      <c r="W584" s="5"/>
      <c r="BN584" s="5"/>
      <c r="BO584" s="5"/>
      <c r="BP584" s="5"/>
      <c r="BQ584" s="5"/>
    </row>
    <row r="585" spans="21:69" x14ac:dyDescent="0.2">
      <c r="U585" s="5"/>
      <c r="V585" s="5"/>
      <c r="W585" s="5"/>
      <c r="BN585" s="5"/>
      <c r="BO585" s="5"/>
      <c r="BP585" s="5"/>
      <c r="BQ585" s="5"/>
    </row>
    <row r="586" spans="21:69" x14ac:dyDescent="0.2">
      <c r="U586" s="5"/>
      <c r="V586" s="5"/>
      <c r="W586" s="5"/>
      <c r="BN586" s="5"/>
      <c r="BO586" s="5"/>
      <c r="BP586" s="5"/>
      <c r="BQ586" s="5"/>
    </row>
    <row r="587" spans="21:69" x14ac:dyDescent="0.2">
      <c r="U587" s="5"/>
      <c r="V587" s="5"/>
      <c r="W587" s="5"/>
      <c r="BN587" s="5"/>
      <c r="BO587" s="5"/>
      <c r="BP587" s="5"/>
      <c r="BQ587" s="5"/>
    </row>
    <row r="588" spans="21:69" x14ac:dyDescent="0.2">
      <c r="U588" s="5"/>
      <c r="V588" s="5"/>
      <c r="W588" s="5"/>
      <c r="BN588" s="5"/>
      <c r="BO588" s="5"/>
      <c r="BP588" s="5"/>
      <c r="BQ588" s="5"/>
    </row>
    <row r="589" spans="21:69" x14ac:dyDescent="0.2">
      <c r="U589" s="5"/>
      <c r="V589" s="5"/>
      <c r="W589" s="5"/>
      <c r="BN589" s="5"/>
      <c r="BO589" s="5"/>
      <c r="BP589" s="5"/>
      <c r="BQ589" s="5"/>
    </row>
    <row r="590" spans="21:69" x14ac:dyDescent="0.2">
      <c r="U590" s="5"/>
      <c r="V590" s="5"/>
      <c r="W590" s="5"/>
      <c r="BN590" s="5"/>
      <c r="BO590" s="5"/>
      <c r="BP590" s="5"/>
      <c r="BQ590" s="5"/>
    </row>
    <row r="591" spans="21:69" x14ac:dyDescent="0.2">
      <c r="U591" s="5"/>
      <c r="V591" s="5"/>
      <c r="W591" s="5"/>
      <c r="BN591" s="5"/>
      <c r="BO591" s="5"/>
      <c r="BP591" s="5"/>
      <c r="BQ591" s="5"/>
    </row>
    <row r="592" spans="21:69" x14ac:dyDescent="0.2">
      <c r="U592" s="5"/>
      <c r="V592" s="5"/>
      <c r="W592" s="5"/>
      <c r="BN592" s="5"/>
      <c r="BO592" s="5"/>
      <c r="BP592" s="5"/>
      <c r="BQ592" s="5"/>
    </row>
    <row r="593" spans="21:69" x14ac:dyDescent="0.2">
      <c r="U593" s="5"/>
      <c r="V593" s="5"/>
      <c r="W593" s="5"/>
      <c r="BN593" s="5"/>
      <c r="BO593" s="5"/>
      <c r="BP593" s="5"/>
      <c r="BQ593" s="5"/>
    </row>
    <row r="594" spans="21:69" x14ac:dyDescent="0.2">
      <c r="U594" s="5"/>
      <c r="V594" s="5"/>
      <c r="W594" s="5"/>
      <c r="BN594" s="5"/>
      <c r="BO594" s="5"/>
      <c r="BP594" s="5"/>
      <c r="BQ594" s="5"/>
    </row>
    <row r="595" spans="21:69" x14ac:dyDescent="0.2">
      <c r="U595" s="5"/>
      <c r="V595" s="5"/>
      <c r="W595" s="5"/>
      <c r="BN595" s="5"/>
      <c r="BO595" s="5"/>
      <c r="BP595" s="5"/>
      <c r="BQ595" s="5"/>
    </row>
    <row r="596" spans="21:69" x14ac:dyDescent="0.2">
      <c r="U596" s="5"/>
      <c r="V596" s="5"/>
      <c r="W596" s="5"/>
      <c r="BN596" s="5"/>
      <c r="BO596" s="5"/>
      <c r="BP596" s="5"/>
      <c r="BQ596" s="5"/>
    </row>
    <row r="597" spans="21:69" x14ac:dyDescent="0.2">
      <c r="U597" s="5"/>
      <c r="V597" s="5"/>
      <c r="W597" s="5"/>
      <c r="BN597" s="5"/>
      <c r="BO597" s="5"/>
      <c r="BP597" s="5"/>
      <c r="BQ597" s="5"/>
    </row>
    <row r="598" spans="21:69" x14ac:dyDescent="0.2">
      <c r="U598" s="5"/>
      <c r="V598" s="5"/>
      <c r="W598" s="5"/>
      <c r="BN598" s="5"/>
      <c r="BO598" s="5"/>
      <c r="BP598" s="5"/>
      <c r="BQ598" s="5"/>
    </row>
    <row r="599" spans="21:69" x14ac:dyDescent="0.2">
      <c r="U599" s="5"/>
      <c r="V599" s="5"/>
      <c r="W599" s="5"/>
      <c r="BN599" s="5"/>
      <c r="BO599" s="5"/>
      <c r="BP599" s="5"/>
      <c r="BQ599" s="5"/>
    </row>
    <row r="600" spans="21:69" x14ac:dyDescent="0.2">
      <c r="U600" s="5"/>
      <c r="V600" s="5"/>
      <c r="W600" s="5"/>
      <c r="BN600" s="5"/>
      <c r="BO600" s="5"/>
      <c r="BP600" s="5"/>
      <c r="BQ600" s="5"/>
    </row>
    <row r="601" spans="21:69" x14ac:dyDescent="0.2">
      <c r="U601" s="5"/>
      <c r="V601" s="5"/>
      <c r="W601" s="5"/>
      <c r="BN601" s="5"/>
      <c r="BO601" s="5"/>
      <c r="BP601" s="5"/>
      <c r="BQ601" s="5"/>
    </row>
  </sheetData>
  <autoFilter ref="BF1:BF601" xr:uid="{00000000-0001-0000-0100-000000000000}"/>
  <mergeCells count="8">
    <mergeCell ref="I6:K6"/>
    <mergeCell ref="BF5:BH5"/>
    <mergeCell ref="BJ5:BL5"/>
    <mergeCell ref="AX5:AZ5"/>
    <mergeCell ref="BB5:BD5"/>
    <mergeCell ref="AK5:AM5"/>
    <mergeCell ref="AS5:AU5"/>
    <mergeCell ref="AO5:AQ5"/>
  </mergeCells>
  <pageMargins left="0.45" right="0" top="0.25" bottom="0.25" header="0.3" footer="0"/>
  <pageSetup scale="70" orientation="landscape" r:id="rId1"/>
  <headerFooter>
    <oddFooter>&amp;CPage &amp;P of &amp;N</oddFooter>
  </headerFooter>
  <colBreaks count="4" manualBreakCount="4">
    <brk id="15" max="1048575" man="1"/>
    <brk id="31" max="1048575" man="1"/>
    <brk id="48" max="70" man="1"/>
    <brk id="64" max="70"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P42"/>
  <sheetViews>
    <sheetView workbookViewId="0">
      <selection activeCell="U42" sqref="U42"/>
    </sheetView>
  </sheetViews>
  <sheetFormatPr defaultRowHeight="12.75" x14ac:dyDescent="0.2"/>
  <cols>
    <col min="2" max="2" width="10.42578125" customWidth="1"/>
    <col min="7" max="7" width="10.140625" customWidth="1"/>
  </cols>
  <sheetData>
    <row r="1" spans="1:15" x14ac:dyDescent="0.2">
      <c r="A1" s="69" t="s">
        <v>54</v>
      </c>
    </row>
    <row r="2" spans="1:15" x14ac:dyDescent="0.2">
      <c r="A2" s="69" t="s">
        <v>55</v>
      </c>
    </row>
    <row r="3" spans="1:15" x14ac:dyDescent="0.2">
      <c r="A3" s="69" t="s">
        <v>56</v>
      </c>
    </row>
    <row r="4" spans="1:15" x14ac:dyDescent="0.2">
      <c r="A4" s="70"/>
    </row>
    <row r="5" spans="1:15" x14ac:dyDescent="0.2">
      <c r="A5" s="70"/>
    </row>
    <row r="6" spans="1:15" ht="15" x14ac:dyDescent="0.25">
      <c r="A6" s="71" t="s">
        <v>57</v>
      </c>
      <c r="B6" s="5"/>
      <c r="C6" s="5"/>
      <c r="D6" s="5"/>
    </row>
    <row r="7" spans="1:15" ht="15" x14ac:dyDescent="0.25">
      <c r="A7" s="71"/>
      <c r="B7" s="5"/>
      <c r="C7" s="5"/>
      <c r="D7" s="5"/>
    </row>
    <row r="8" spans="1:15" ht="15" x14ac:dyDescent="0.25">
      <c r="A8" s="71"/>
      <c r="B8" s="72" t="s">
        <v>58</v>
      </c>
      <c r="C8" s="72"/>
      <c r="D8" s="73" t="s">
        <v>2</v>
      </c>
      <c r="E8" s="74">
        <f>B16</f>
        <v>0</v>
      </c>
    </row>
    <row r="9" spans="1:15" ht="15" x14ac:dyDescent="0.25">
      <c r="A9" s="71"/>
      <c r="B9" s="72"/>
      <c r="C9" s="72"/>
      <c r="D9" s="75" t="s">
        <v>3</v>
      </c>
      <c r="E9" s="76">
        <f>C16</f>
        <v>40745.750865161252</v>
      </c>
      <c r="O9" s="68"/>
    </row>
    <row r="10" spans="1:15" x14ac:dyDescent="0.2">
      <c r="B10" s="5"/>
      <c r="C10" s="5"/>
      <c r="D10" s="39" t="s">
        <v>53</v>
      </c>
    </row>
    <row r="11" spans="1:15" x14ac:dyDescent="0.2">
      <c r="B11" s="65"/>
      <c r="C11" s="65"/>
      <c r="D11" s="65"/>
    </row>
    <row r="12" spans="1:15" x14ac:dyDescent="0.2">
      <c r="B12" s="67" t="s">
        <v>52</v>
      </c>
      <c r="C12" s="58"/>
      <c r="D12" s="59"/>
    </row>
    <row r="13" spans="1:15" x14ac:dyDescent="0.2">
      <c r="B13" s="60">
        <v>4.9299213750000001E-2</v>
      </c>
      <c r="C13" s="55"/>
      <c r="D13" s="61"/>
    </row>
    <row r="14" spans="1:15" x14ac:dyDescent="0.2">
      <c r="B14" s="60"/>
      <c r="C14" s="62"/>
      <c r="D14" s="61"/>
    </row>
    <row r="15" spans="1:15" x14ac:dyDescent="0.2">
      <c r="B15" s="63" t="s">
        <v>2</v>
      </c>
      <c r="C15" s="63" t="s">
        <v>3</v>
      </c>
      <c r="D15" s="63" t="s">
        <v>4</v>
      </c>
    </row>
    <row r="16" spans="1:15" x14ac:dyDescent="0.2">
      <c r="A16" s="25">
        <v>44835</v>
      </c>
      <c r="B16" s="64"/>
      <c r="C16" s="64">
        <v>40745.750865161252</v>
      </c>
      <c r="D16" s="64">
        <v>40745.750865161252</v>
      </c>
    </row>
    <row r="17" spans="1:16" x14ac:dyDescent="0.2">
      <c r="B17" s="65"/>
      <c r="C17" s="65"/>
      <c r="D17" s="65">
        <v>0</v>
      </c>
    </row>
    <row r="18" spans="1:16" x14ac:dyDescent="0.2">
      <c r="B18" s="65"/>
      <c r="C18" s="65"/>
      <c r="D18" s="65">
        <v>0</v>
      </c>
    </row>
    <row r="19" spans="1:16" x14ac:dyDescent="0.2">
      <c r="B19" s="65"/>
      <c r="C19" s="65"/>
      <c r="D19" s="65">
        <v>0</v>
      </c>
    </row>
    <row r="21" spans="1:16" x14ac:dyDescent="0.2">
      <c r="B21" s="77" t="s">
        <v>59</v>
      </c>
      <c r="C21" s="77"/>
      <c r="D21" s="78" t="s">
        <v>2</v>
      </c>
      <c r="E21" s="79">
        <f>B28</f>
        <v>0</v>
      </c>
    </row>
    <row r="22" spans="1:16" x14ac:dyDescent="0.2">
      <c r="D22" s="80" t="s">
        <v>3</v>
      </c>
      <c r="E22" s="81">
        <f>C28</f>
        <v>-49638.383278680019</v>
      </c>
    </row>
    <row r="24" spans="1:16" x14ac:dyDescent="0.2">
      <c r="A24" s="9" t="s">
        <v>0</v>
      </c>
      <c r="B24" s="82" t="s">
        <v>60</v>
      </c>
      <c r="C24" s="83"/>
      <c r="D24" s="84"/>
    </row>
    <row r="25" spans="1:16" x14ac:dyDescent="0.2">
      <c r="A25" s="15" t="s">
        <v>1</v>
      </c>
      <c r="B25" s="85"/>
      <c r="C25" s="86"/>
      <c r="D25" s="87"/>
    </row>
    <row r="26" spans="1:16" x14ac:dyDescent="0.2">
      <c r="A26" s="15"/>
      <c r="B26" s="85"/>
      <c r="C26" s="88"/>
      <c r="D26" s="87"/>
    </row>
    <row r="27" spans="1:16" x14ac:dyDescent="0.2">
      <c r="A27" s="21"/>
      <c r="B27" s="89" t="s">
        <v>2</v>
      </c>
      <c r="C27" s="89" t="s">
        <v>3</v>
      </c>
      <c r="D27" s="89" t="s">
        <v>4</v>
      </c>
      <c r="L27" s="68" t="s">
        <v>63</v>
      </c>
      <c r="N27">
        <v>142783</v>
      </c>
      <c r="O27" s="68" t="s">
        <v>66</v>
      </c>
      <c r="P27" t="s">
        <v>64</v>
      </c>
    </row>
    <row r="28" spans="1:16" x14ac:dyDescent="0.2">
      <c r="A28" s="25">
        <v>44470</v>
      </c>
      <c r="B28" s="90"/>
      <c r="C28" s="90">
        <f>C40-H40</f>
        <v>-49638.383278680019</v>
      </c>
      <c r="D28" s="90">
        <v>61568.427400219181</v>
      </c>
    </row>
    <row r="29" spans="1:16" x14ac:dyDescent="0.2">
      <c r="B29" s="91"/>
      <c r="C29" s="91"/>
      <c r="D29" s="91"/>
      <c r="L29" s="68" t="s">
        <v>65</v>
      </c>
      <c r="N29">
        <v>40746</v>
      </c>
      <c r="O29" s="68" t="s">
        <v>67</v>
      </c>
    </row>
    <row r="30" spans="1:16" x14ac:dyDescent="0.2">
      <c r="B30" s="91"/>
      <c r="C30" s="91"/>
      <c r="D30" s="91"/>
    </row>
    <row r="31" spans="1:16" x14ac:dyDescent="0.2">
      <c r="B31" s="92"/>
      <c r="C31" s="92"/>
      <c r="D31" s="92">
        <v>0</v>
      </c>
      <c r="L31" s="68" t="s">
        <v>68</v>
      </c>
      <c r="N31">
        <v>93145</v>
      </c>
    </row>
    <row r="34" spans="1:16" x14ac:dyDescent="0.2">
      <c r="B34" s="39" t="s">
        <v>61</v>
      </c>
      <c r="C34" s="5"/>
      <c r="D34" s="5"/>
      <c r="G34" s="68" t="s">
        <v>62</v>
      </c>
      <c r="I34" s="68"/>
      <c r="M34" s="93" t="s">
        <v>66</v>
      </c>
      <c r="N34" s="66">
        <f>N27-N31</f>
        <v>49638</v>
      </c>
      <c r="O34" s="93" t="s">
        <v>69</v>
      </c>
      <c r="P34" s="66"/>
    </row>
    <row r="35" spans="1:16" x14ac:dyDescent="0.2">
      <c r="B35" s="5"/>
      <c r="C35" s="5"/>
      <c r="D35" s="56" t="s">
        <v>51</v>
      </c>
      <c r="M35" s="93" t="s">
        <v>67</v>
      </c>
      <c r="N35" s="66">
        <v>40746</v>
      </c>
      <c r="O35" s="93" t="s">
        <v>70</v>
      </c>
      <c r="P35" s="66"/>
    </row>
    <row r="36" spans="1:16" x14ac:dyDescent="0.2">
      <c r="B36" s="57" t="s">
        <v>6</v>
      </c>
      <c r="C36" s="58"/>
      <c r="D36" s="59"/>
      <c r="G36" s="29" t="s">
        <v>6</v>
      </c>
      <c r="H36" s="12"/>
      <c r="I36" s="13"/>
    </row>
    <row r="37" spans="1:16" x14ac:dyDescent="0.2">
      <c r="B37" s="60">
        <v>0.14801367239999999</v>
      </c>
      <c r="C37" s="55"/>
      <c r="D37" s="61"/>
      <c r="G37" s="30">
        <v>0.22689239999999999</v>
      </c>
      <c r="H37" s="8"/>
      <c r="I37" s="18"/>
    </row>
    <row r="38" spans="1:16" x14ac:dyDescent="0.2">
      <c r="B38" s="60"/>
      <c r="C38" s="62"/>
      <c r="D38" s="61"/>
      <c r="G38" s="30"/>
      <c r="H38" s="17"/>
      <c r="I38" s="18"/>
    </row>
    <row r="39" spans="1:16" x14ac:dyDescent="0.2">
      <c r="A39" s="25"/>
      <c r="B39" s="63" t="s">
        <v>2</v>
      </c>
      <c r="C39" s="63" t="s">
        <v>3</v>
      </c>
      <c r="D39" s="63" t="s">
        <v>4</v>
      </c>
      <c r="G39" s="22" t="s">
        <v>2</v>
      </c>
      <c r="H39" s="22" t="s">
        <v>3</v>
      </c>
      <c r="I39" s="22" t="s">
        <v>4</v>
      </c>
    </row>
    <row r="40" spans="1:16" x14ac:dyDescent="0.2">
      <c r="A40" s="25">
        <v>44470</v>
      </c>
      <c r="B40" s="64"/>
      <c r="C40" s="64">
        <v>93145.004041319989</v>
      </c>
      <c r="D40" s="64">
        <v>93145.004041319989</v>
      </c>
      <c r="G40" s="38"/>
      <c r="H40" s="38">
        <v>142783.38732000001</v>
      </c>
      <c r="I40" s="38">
        <v>142783.38732000001</v>
      </c>
    </row>
    <row r="41" spans="1:16" x14ac:dyDescent="0.2">
      <c r="A41" s="25"/>
      <c r="B41" s="65">
        <v>0</v>
      </c>
      <c r="C41" s="65">
        <v>0</v>
      </c>
      <c r="D41" s="65">
        <v>0</v>
      </c>
      <c r="G41" s="5">
        <v>0</v>
      </c>
      <c r="H41" s="5">
        <v>0</v>
      </c>
      <c r="I41" s="5">
        <v>0</v>
      </c>
    </row>
    <row r="42" spans="1:16" x14ac:dyDescent="0.2">
      <c r="A42" s="25"/>
      <c r="B42" s="65"/>
      <c r="C42" s="65">
        <v>0</v>
      </c>
      <c r="D42" s="65">
        <v>0</v>
      </c>
      <c r="G42" s="5"/>
      <c r="H42" s="5">
        <v>0</v>
      </c>
      <c r="I42" s="5">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800CC-1440-44F2-BC3E-909F15AD6978}">
  <dimension ref="A1:AJ705"/>
  <sheetViews>
    <sheetView topLeftCell="A444" workbookViewId="0">
      <selection activeCell="G344" sqref="G344"/>
    </sheetView>
  </sheetViews>
  <sheetFormatPr defaultColWidth="8.85546875" defaultRowHeight="12.75" x14ac:dyDescent="0.2"/>
  <cols>
    <col min="1" max="1" width="3.7109375" style="125" customWidth="1"/>
    <col min="2" max="2" width="40.7109375" style="125" customWidth="1"/>
    <col min="3" max="3" width="18.85546875" style="126" bestFit="1" customWidth="1"/>
    <col min="4" max="5" width="15.7109375" style="126" customWidth="1"/>
    <col min="6" max="6" width="19.42578125" style="137" customWidth="1"/>
    <col min="7" max="7" width="15.7109375" style="137" customWidth="1"/>
    <col min="8" max="8" width="15.7109375" style="127" customWidth="1"/>
    <col min="9" max="9" width="15.7109375" style="126" hidden="1" customWidth="1"/>
    <col min="10" max="11" width="15.7109375" style="126" customWidth="1"/>
    <col min="12" max="12" width="14.42578125" style="137" bestFit="1" customWidth="1"/>
    <col min="13" max="15" width="14.42578125" style="137" customWidth="1"/>
    <col min="16" max="16" width="21.85546875" style="159" hidden="1" customWidth="1"/>
    <col min="17" max="17" width="4" style="159" hidden="1" customWidth="1"/>
    <col min="18" max="18" width="5.42578125" style="159" hidden="1" customWidth="1"/>
    <col min="19" max="19" width="4.42578125" style="125" hidden="1" customWidth="1"/>
    <col min="20" max="20" width="3.7109375" style="125" hidden="1" customWidth="1"/>
    <col min="21" max="21" width="40.7109375" style="125" hidden="1" customWidth="1"/>
    <col min="22" max="22" width="5.42578125" style="133" hidden="1" customWidth="1"/>
    <col min="23" max="23" width="16.28515625" style="134" hidden="1" customWidth="1"/>
    <col min="24" max="26" width="8.85546875" style="125" hidden="1" customWidth="1"/>
    <col min="27" max="27" width="14.28515625" style="135" hidden="1" customWidth="1"/>
    <col min="28" max="28" width="13.42578125" style="135" hidden="1" customWidth="1"/>
    <col min="29" max="29" width="13.7109375" style="135" hidden="1" customWidth="1"/>
    <col min="30" max="30" width="13.28515625" style="135" hidden="1" customWidth="1"/>
    <col min="31" max="31" width="13.28515625" style="136" hidden="1" customWidth="1"/>
    <col min="32" max="32" width="13.42578125" style="125" bestFit="1" customWidth="1"/>
    <col min="33" max="35" width="8.85546875" style="125"/>
    <col min="36" max="36" width="13.42578125" style="125" bestFit="1" customWidth="1"/>
    <col min="37" max="16384" width="8.85546875" style="125"/>
  </cols>
  <sheetData>
    <row r="1" spans="1:36" x14ac:dyDescent="0.2">
      <c r="D1" s="127"/>
      <c r="E1" s="128"/>
      <c r="F1" s="129" t="s">
        <v>50</v>
      </c>
      <c r="G1" s="130"/>
      <c r="H1" s="131"/>
      <c r="I1" s="132"/>
      <c r="J1" s="132"/>
      <c r="K1" s="130"/>
      <c r="L1" s="130"/>
      <c r="M1" s="130"/>
      <c r="N1" s="130"/>
      <c r="O1" s="130"/>
      <c r="P1" s="303" t="s">
        <v>81</v>
      </c>
      <c r="Q1" s="303"/>
      <c r="R1" s="303"/>
      <c r="V1" s="133">
        <v>1</v>
      </c>
      <c r="AH1" s="125">
        <v>1</v>
      </c>
    </row>
    <row r="2" spans="1:36" ht="13.5" thickBot="1" x14ac:dyDescent="0.25">
      <c r="F2" s="129"/>
      <c r="P2" s="303" t="s">
        <v>82</v>
      </c>
      <c r="Q2" s="303"/>
      <c r="R2" s="303"/>
      <c r="V2" s="133">
        <v>2</v>
      </c>
      <c r="AH2" s="125">
        <v>2</v>
      </c>
      <c r="AJ2" s="125" t="s">
        <v>83</v>
      </c>
    </row>
    <row r="3" spans="1:36" x14ac:dyDescent="0.2">
      <c r="B3" s="138" t="s">
        <v>84</v>
      </c>
      <c r="C3" s="139" t="s">
        <v>85</v>
      </c>
      <c r="D3" s="139" t="s">
        <v>86</v>
      </c>
      <c r="E3" s="139" t="s">
        <v>87</v>
      </c>
      <c r="F3" s="140" t="s">
        <v>88</v>
      </c>
      <c r="G3" s="139" t="s">
        <v>89</v>
      </c>
      <c r="H3" s="141" t="s">
        <v>0</v>
      </c>
      <c r="I3" s="139" t="s">
        <v>90</v>
      </c>
      <c r="J3" s="139" t="s">
        <v>90</v>
      </c>
      <c r="K3" s="139" t="s">
        <v>90</v>
      </c>
      <c r="L3" s="142" t="s">
        <v>91</v>
      </c>
      <c r="M3" s="143" t="s">
        <v>92</v>
      </c>
      <c r="N3" s="143" t="s">
        <v>93</v>
      </c>
      <c r="O3" s="142" t="s">
        <v>94</v>
      </c>
      <c r="P3" s="304" t="s">
        <v>95</v>
      </c>
      <c r="Q3" s="303"/>
      <c r="R3" s="303"/>
      <c r="U3" s="138" t="s">
        <v>84</v>
      </c>
      <c r="V3" s="133">
        <v>3</v>
      </c>
      <c r="AA3" s="144" t="s">
        <v>96</v>
      </c>
      <c r="AB3" s="144"/>
      <c r="AC3" s="144"/>
      <c r="AD3" s="144"/>
      <c r="AH3" s="125">
        <v>3</v>
      </c>
      <c r="AJ3" s="125" t="s">
        <v>0</v>
      </c>
    </row>
    <row r="4" spans="1:36" ht="13.5" thickBot="1" x14ac:dyDescent="0.25">
      <c r="B4" s="145"/>
      <c r="C4" s="146"/>
      <c r="D4" s="147" t="s">
        <v>89</v>
      </c>
      <c r="E4" s="147" t="s">
        <v>97</v>
      </c>
      <c r="F4" s="148" t="s">
        <v>98</v>
      </c>
      <c r="G4" s="149"/>
      <c r="H4" s="150" t="s">
        <v>99</v>
      </c>
      <c r="I4" s="147" t="s">
        <v>100</v>
      </c>
      <c r="J4" s="151" t="s">
        <v>101</v>
      </c>
      <c r="K4" s="151" t="s">
        <v>102</v>
      </c>
      <c r="L4" s="147" t="s">
        <v>103</v>
      </c>
      <c r="M4" s="147" t="s">
        <v>104</v>
      </c>
      <c r="N4" s="147" t="s">
        <v>104</v>
      </c>
      <c r="O4" s="147" t="s">
        <v>104</v>
      </c>
      <c r="P4" s="304" t="s">
        <v>105</v>
      </c>
      <c r="Q4" s="303"/>
      <c r="R4" s="303"/>
      <c r="U4" s="145"/>
      <c r="V4" s="133">
        <v>4</v>
      </c>
      <c r="AA4" s="152" t="s">
        <v>106</v>
      </c>
      <c r="AB4" s="152" t="s">
        <v>100</v>
      </c>
      <c r="AC4" s="152" t="s">
        <v>102</v>
      </c>
      <c r="AD4" s="152" t="s">
        <v>4</v>
      </c>
      <c r="AF4" s="125" t="s">
        <v>107</v>
      </c>
      <c r="AH4" s="125">
        <v>4</v>
      </c>
      <c r="AJ4" s="125" t="s">
        <v>99</v>
      </c>
    </row>
    <row r="5" spans="1:36" x14ac:dyDescent="0.2">
      <c r="C5" s="153"/>
      <c r="D5" s="154"/>
      <c r="E5" s="154"/>
      <c r="F5" s="155"/>
      <c r="G5" s="156"/>
      <c r="H5" s="157"/>
      <c r="I5" s="154"/>
      <c r="J5" s="158"/>
      <c r="K5" s="158"/>
      <c r="L5" s="154"/>
      <c r="M5" s="154"/>
      <c r="N5" s="154"/>
      <c r="O5" s="154"/>
      <c r="AA5" s="136"/>
      <c r="AB5" s="136"/>
      <c r="AC5" s="136"/>
      <c r="AD5" s="136"/>
      <c r="AH5" s="125">
        <v>5</v>
      </c>
    </row>
    <row r="6" spans="1:36" x14ac:dyDescent="0.2">
      <c r="A6" s="160" t="s">
        <v>108</v>
      </c>
      <c r="B6" s="161"/>
      <c r="C6" s="153"/>
      <c r="D6" s="154"/>
      <c r="E6" s="154"/>
      <c r="F6" s="162"/>
      <c r="G6" s="163"/>
      <c r="H6" s="164"/>
      <c r="I6" s="163"/>
      <c r="J6" s="163"/>
      <c r="K6" s="163"/>
      <c r="L6" s="162"/>
      <c r="M6" s="162"/>
      <c r="N6" s="162"/>
      <c r="O6" s="162"/>
      <c r="P6" s="162"/>
      <c r="Q6" s="162"/>
      <c r="R6" s="154"/>
      <c r="S6" s="159"/>
      <c r="T6" s="159"/>
      <c r="U6" s="159"/>
      <c r="V6" s="125"/>
      <c r="W6" s="165" t="s">
        <v>109</v>
      </c>
      <c r="Y6" s="133">
        <v>5</v>
      </c>
      <c r="Z6" s="134"/>
      <c r="AA6" s="125"/>
      <c r="AB6" s="125"/>
      <c r="AC6" s="125"/>
      <c r="AE6" s="135"/>
      <c r="AF6" s="135"/>
      <c r="AG6" s="135"/>
      <c r="AH6" s="125">
        <v>6</v>
      </c>
      <c r="AI6" s="135"/>
      <c r="AJ6" s="135"/>
    </row>
    <row r="7" spans="1:36" x14ac:dyDescent="0.2">
      <c r="B7" s="125" t="s">
        <v>110</v>
      </c>
      <c r="C7" s="153">
        <v>5000000</v>
      </c>
      <c r="D7" s="154"/>
      <c r="E7" s="154"/>
      <c r="F7" s="166"/>
      <c r="G7" s="163">
        <f>[1]UMCP!F130</f>
        <v>5000000</v>
      </c>
      <c r="H7" s="164">
        <f>[1]UMCP!H130</f>
        <v>0</v>
      </c>
      <c r="I7" s="162"/>
      <c r="J7" s="167"/>
      <c r="K7" s="167"/>
      <c r="L7" s="162">
        <f t="shared" ref="L7:L23" si="0">G7-H7-I7-J7-K7</f>
        <v>5000000</v>
      </c>
      <c r="M7" s="162">
        <f>H7-N7-O7</f>
        <v>0</v>
      </c>
      <c r="N7" s="162">
        <v>0</v>
      </c>
      <c r="O7" s="162">
        <v>0</v>
      </c>
      <c r="P7" s="162"/>
      <c r="Q7" s="162"/>
      <c r="R7" s="154"/>
      <c r="S7" s="159"/>
      <c r="T7" s="159"/>
      <c r="U7" s="159"/>
      <c r="V7" s="125"/>
      <c r="W7" s="125"/>
      <c r="Y7" s="133"/>
      <c r="Z7" s="134"/>
      <c r="AA7" s="125"/>
      <c r="AB7" s="125"/>
      <c r="AC7" s="125"/>
      <c r="AD7" s="136"/>
      <c r="AF7" s="136">
        <f t="shared" ref="AF7:AF23" si="1">C7+D7+E7-F7-G7</f>
        <v>0</v>
      </c>
      <c r="AG7" s="136"/>
      <c r="AH7" s="125">
        <v>7</v>
      </c>
      <c r="AI7" s="136" t="s">
        <v>111</v>
      </c>
      <c r="AJ7" s="135">
        <v>0</v>
      </c>
    </row>
    <row r="8" spans="1:36" x14ac:dyDescent="0.2">
      <c r="B8" s="165" t="s">
        <v>112</v>
      </c>
      <c r="C8" s="153"/>
      <c r="D8" s="154"/>
      <c r="E8" s="154"/>
      <c r="F8" s="155"/>
      <c r="G8" s="163"/>
      <c r="H8" s="164"/>
      <c r="I8" s="162"/>
      <c r="J8" s="167"/>
      <c r="K8" s="167"/>
      <c r="L8" s="162"/>
      <c r="M8" s="162"/>
      <c r="N8" s="162"/>
      <c r="O8" s="162"/>
      <c r="P8" s="162"/>
      <c r="Q8" s="162"/>
      <c r="R8" s="154"/>
      <c r="S8" s="159"/>
      <c r="T8" s="159"/>
      <c r="U8" s="159"/>
      <c r="V8" s="125"/>
      <c r="W8" s="125"/>
      <c r="Y8" s="133"/>
      <c r="Z8" s="134"/>
      <c r="AA8" s="125"/>
      <c r="AB8" s="125"/>
      <c r="AC8" s="125"/>
      <c r="AD8" s="136"/>
      <c r="AF8" s="136">
        <f t="shared" si="1"/>
        <v>0</v>
      </c>
      <c r="AG8" s="136"/>
      <c r="AH8" s="125">
        <v>9</v>
      </c>
      <c r="AI8" s="135"/>
      <c r="AJ8" s="135"/>
    </row>
    <row r="9" spans="1:36" x14ac:dyDescent="0.2">
      <c r="B9" s="125" t="s">
        <v>113</v>
      </c>
      <c r="C9" s="153">
        <f>300000+3000000+1400000+500000+1200000+300000+150000+750000+800000+500000+491988</f>
        <v>9391988</v>
      </c>
      <c r="D9" s="154"/>
      <c r="E9" s="154"/>
      <c r="F9" s="54"/>
      <c r="G9" s="163">
        <f>[1]UMCP!F30</f>
        <v>9391988</v>
      </c>
      <c r="H9" s="164">
        <f>[1]UMCP!H30</f>
        <v>0</v>
      </c>
      <c r="I9" s="162"/>
      <c r="J9" s="167"/>
      <c r="K9" s="167"/>
      <c r="L9" s="162">
        <f t="shared" si="0"/>
        <v>9391988</v>
      </c>
      <c r="M9" s="162">
        <f t="shared" ref="M9:M23" si="2">H9-N9-O9</f>
        <v>0</v>
      </c>
      <c r="N9" s="162">
        <v>0</v>
      </c>
      <c r="O9" s="162">
        <v>0</v>
      </c>
      <c r="P9" s="162"/>
      <c r="Q9" s="162"/>
      <c r="R9" s="154"/>
      <c r="S9" s="159"/>
      <c r="T9" s="159"/>
      <c r="U9" s="159"/>
      <c r="V9" s="125"/>
      <c r="W9" s="125"/>
      <c r="Y9" s="133"/>
      <c r="Z9" s="134"/>
      <c r="AA9" s="125"/>
      <c r="AB9" s="125"/>
      <c r="AC9" s="125"/>
      <c r="AD9" s="136"/>
      <c r="AF9" s="136">
        <f t="shared" si="1"/>
        <v>0</v>
      </c>
      <c r="AG9" s="136"/>
      <c r="AH9" s="125">
        <v>10</v>
      </c>
      <c r="AI9" s="135"/>
      <c r="AJ9" s="135">
        <v>2420270.1300000004</v>
      </c>
    </row>
    <row r="10" spans="1:36" x14ac:dyDescent="0.2">
      <c r="B10" s="125" t="s">
        <v>114</v>
      </c>
      <c r="C10" s="153">
        <f>990000+990000+990000+800000+1142729</f>
        <v>4912729</v>
      </c>
      <c r="D10" s="154"/>
      <c r="E10" s="154"/>
      <c r="F10" s="155"/>
      <c r="G10" s="163">
        <f>[1]UMB!F13</f>
        <v>4912729</v>
      </c>
      <c r="H10" s="164">
        <f>[1]UMB!H13</f>
        <v>40614.199999999997</v>
      </c>
      <c r="I10" s="162"/>
      <c r="J10" s="167"/>
      <c r="K10" s="167"/>
      <c r="L10" s="162">
        <f t="shared" si="0"/>
        <v>4872114.8</v>
      </c>
      <c r="M10" s="162">
        <f t="shared" si="2"/>
        <v>40614.199999999997</v>
      </c>
      <c r="N10" s="162">
        <v>0</v>
      </c>
      <c r="O10" s="162">
        <v>0</v>
      </c>
      <c r="P10" s="162"/>
      <c r="Q10" s="162"/>
      <c r="R10" s="154"/>
      <c r="S10" s="159"/>
      <c r="T10" s="159"/>
      <c r="U10" s="159"/>
      <c r="V10" s="125"/>
      <c r="W10" s="125"/>
      <c r="Y10" s="133"/>
      <c r="Z10" s="134"/>
      <c r="AA10" s="125"/>
      <c r="AB10" s="125"/>
      <c r="AC10" s="125"/>
      <c r="AD10" s="136"/>
      <c r="AF10" s="136">
        <f t="shared" si="1"/>
        <v>0</v>
      </c>
      <c r="AG10" s="136"/>
      <c r="AH10" s="125">
        <v>11</v>
      </c>
      <c r="AI10" s="135"/>
      <c r="AJ10" s="135">
        <v>0</v>
      </c>
    </row>
    <row r="11" spans="1:36" x14ac:dyDescent="0.2">
      <c r="B11" s="125" t="s">
        <v>115</v>
      </c>
      <c r="C11" s="153">
        <v>1244579</v>
      </c>
      <c r="D11" s="154"/>
      <c r="E11" s="154"/>
      <c r="F11" s="54"/>
      <c r="G11" s="163">
        <f>[1]UMES!F41</f>
        <v>1244579</v>
      </c>
      <c r="H11" s="164">
        <f>[1]UMES!H41</f>
        <v>0</v>
      </c>
      <c r="I11" s="162"/>
      <c r="J11" s="167"/>
      <c r="K11" s="167"/>
      <c r="L11" s="162">
        <f t="shared" si="0"/>
        <v>1244579</v>
      </c>
      <c r="M11" s="162">
        <f t="shared" si="2"/>
        <v>0</v>
      </c>
      <c r="N11" s="162">
        <v>0</v>
      </c>
      <c r="O11" s="162">
        <v>0</v>
      </c>
      <c r="P11" s="162"/>
      <c r="Q11" s="162"/>
      <c r="R11" s="154"/>
      <c r="S11" s="159"/>
      <c r="T11" s="159"/>
      <c r="U11" s="159"/>
      <c r="V11" s="125"/>
      <c r="W11" s="125"/>
      <c r="Y11" s="133"/>
      <c r="Z11" s="134"/>
      <c r="AA11" s="125"/>
      <c r="AB11" s="125"/>
      <c r="AC11" s="125"/>
      <c r="AD11" s="136"/>
      <c r="AF11" s="136">
        <f t="shared" si="1"/>
        <v>0</v>
      </c>
      <c r="AG11" s="136"/>
      <c r="AH11" s="125">
        <v>12</v>
      </c>
      <c r="AI11" s="135"/>
      <c r="AJ11" s="135">
        <v>0</v>
      </c>
    </row>
    <row r="12" spans="1:36" x14ac:dyDescent="0.2">
      <c r="B12" s="125" t="s">
        <v>116</v>
      </c>
      <c r="C12" s="153">
        <v>2283810</v>
      </c>
      <c r="D12" s="154"/>
      <c r="E12" s="154"/>
      <c r="F12" s="155"/>
      <c r="G12" s="163">
        <f>[1]UMBC!F8</f>
        <v>2283810</v>
      </c>
      <c r="H12" s="164">
        <f>[1]UMBC!H8</f>
        <v>0</v>
      </c>
      <c r="I12" s="162"/>
      <c r="J12" s="167"/>
      <c r="K12" s="167"/>
      <c r="L12" s="162">
        <f t="shared" si="0"/>
        <v>2283810</v>
      </c>
      <c r="M12" s="162">
        <f t="shared" si="2"/>
        <v>0</v>
      </c>
      <c r="N12" s="162">
        <v>0</v>
      </c>
      <c r="O12" s="162">
        <v>0</v>
      </c>
      <c r="P12" s="162"/>
      <c r="Q12" s="162"/>
      <c r="R12" s="154"/>
      <c r="S12" s="159"/>
      <c r="T12" s="159"/>
      <c r="U12" s="159"/>
      <c r="V12" s="125"/>
      <c r="W12" s="125"/>
      <c r="Y12" s="133"/>
      <c r="Z12" s="134"/>
      <c r="AA12" s="125"/>
      <c r="AB12" s="125"/>
      <c r="AC12" s="125"/>
      <c r="AD12" s="136"/>
      <c r="AF12" s="136">
        <f t="shared" si="1"/>
        <v>0</v>
      </c>
      <c r="AG12" s="136"/>
      <c r="AH12" s="125">
        <v>13</v>
      </c>
      <c r="AI12" s="135"/>
      <c r="AJ12" s="135">
        <v>0</v>
      </c>
    </row>
    <row r="13" spans="1:36" x14ac:dyDescent="0.2">
      <c r="B13" s="125" t="s">
        <v>117</v>
      </c>
      <c r="C13" s="153">
        <v>284107</v>
      </c>
      <c r="D13" s="154"/>
      <c r="E13" s="154"/>
      <c r="F13" s="155"/>
      <c r="G13" s="163">
        <f>[1]UMCES!F8</f>
        <v>284107</v>
      </c>
      <c r="H13" s="164">
        <f>[1]UMCES!H8</f>
        <v>0</v>
      </c>
      <c r="I13" s="162"/>
      <c r="J13" s="167"/>
      <c r="K13" s="167"/>
      <c r="L13" s="162">
        <f t="shared" si="0"/>
        <v>284107</v>
      </c>
      <c r="M13" s="162">
        <f t="shared" si="2"/>
        <v>0</v>
      </c>
      <c r="N13" s="162">
        <v>0</v>
      </c>
      <c r="O13" s="162">
        <v>0</v>
      </c>
      <c r="P13" s="162"/>
      <c r="Q13" s="162"/>
      <c r="R13" s="154"/>
      <c r="S13" s="159"/>
      <c r="T13" s="159"/>
      <c r="U13" s="159"/>
      <c r="V13" s="125"/>
      <c r="W13" s="125"/>
      <c r="Y13" s="133"/>
      <c r="Z13" s="134"/>
      <c r="AA13" s="125"/>
      <c r="AB13" s="125"/>
      <c r="AC13" s="125"/>
      <c r="AD13" s="136"/>
      <c r="AF13" s="136">
        <f t="shared" si="1"/>
        <v>0</v>
      </c>
      <c r="AG13" s="136"/>
      <c r="AH13" s="125">
        <v>14</v>
      </c>
      <c r="AI13" s="135"/>
      <c r="AJ13" s="135">
        <v>0</v>
      </c>
    </row>
    <row r="14" spans="1:36" x14ac:dyDescent="0.2">
      <c r="B14" s="125" t="s">
        <v>118</v>
      </c>
      <c r="C14" s="153">
        <v>936895</v>
      </c>
      <c r="D14" s="154"/>
      <c r="E14" s="154"/>
      <c r="F14" s="155"/>
      <c r="G14" s="163">
        <f>[1]BSU!F8</f>
        <v>936895</v>
      </c>
      <c r="H14" s="164">
        <f>[1]BSU!H8</f>
        <v>0</v>
      </c>
      <c r="I14" s="162"/>
      <c r="J14" s="167"/>
      <c r="K14" s="167"/>
      <c r="L14" s="162">
        <f t="shared" si="0"/>
        <v>936895</v>
      </c>
      <c r="M14" s="162">
        <f t="shared" si="2"/>
        <v>0</v>
      </c>
      <c r="N14" s="162">
        <v>0</v>
      </c>
      <c r="O14" s="162">
        <v>0</v>
      </c>
      <c r="P14" s="162"/>
      <c r="Q14" s="162"/>
      <c r="R14" s="154"/>
      <c r="S14" s="159"/>
      <c r="T14" s="159"/>
      <c r="U14" s="159"/>
      <c r="V14" s="125"/>
      <c r="W14" s="125"/>
      <c r="Y14" s="133"/>
      <c r="Z14" s="134"/>
      <c r="AA14" s="125"/>
      <c r="AB14" s="125"/>
      <c r="AC14" s="125"/>
      <c r="AD14" s="136"/>
      <c r="AF14" s="136">
        <f t="shared" si="1"/>
        <v>0</v>
      </c>
      <c r="AG14" s="136"/>
      <c r="AH14" s="125">
        <v>15</v>
      </c>
      <c r="AI14" s="135"/>
      <c r="AJ14" s="135">
        <v>0</v>
      </c>
    </row>
    <row r="15" spans="1:36" x14ac:dyDescent="0.2">
      <c r="B15" s="125" t="s">
        <v>119</v>
      </c>
      <c r="C15" s="153">
        <v>664609</v>
      </c>
      <c r="D15" s="154"/>
      <c r="E15" s="154"/>
      <c r="F15" s="155"/>
      <c r="G15" s="163">
        <f>[1]CSU!F8</f>
        <v>664609</v>
      </c>
      <c r="H15" s="164">
        <f>[1]CSU!H8</f>
        <v>0</v>
      </c>
      <c r="I15" s="162"/>
      <c r="J15" s="167"/>
      <c r="K15" s="167"/>
      <c r="L15" s="162">
        <f t="shared" si="0"/>
        <v>664609</v>
      </c>
      <c r="M15" s="162">
        <f t="shared" si="2"/>
        <v>0</v>
      </c>
      <c r="N15" s="162">
        <v>0</v>
      </c>
      <c r="O15" s="162">
        <v>0</v>
      </c>
      <c r="P15" s="162"/>
      <c r="Q15" s="162"/>
      <c r="R15" s="154"/>
      <c r="S15" s="159"/>
      <c r="T15" s="159"/>
      <c r="U15" s="159"/>
      <c r="V15" s="125"/>
      <c r="W15" s="125"/>
      <c r="Y15" s="133"/>
      <c r="Z15" s="134"/>
      <c r="AA15" s="125"/>
      <c r="AB15" s="125"/>
      <c r="AC15" s="125"/>
      <c r="AD15" s="136"/>
      <c r="AF15" s="136">
        <f t="shared" si="1"/>
        <v>0</v>
      </c>
      <c r="AG15" s="136"/>
      <c r="AH15" s="125">
        <v>16</v>
      </c>
      <c r="AI15" s="135"/>
      <c r="AJ15" s="135">
        <v>161371.20000000001</v>
      </c>
    </row>
    <row r="16" spans="1:36" x14ac:dyDescent="0.2">
      <c r="B16" s="125" t="s">
        <v>120</v>
      </c>
      <c r="C16" s="153">
        <v>551730</v>
      </c>
      <c r="D16" s="154"/>
      <c r="E16" s="154"/>
      <c r="F16" s="54"/>
      <c r="G16" s="163">
        <f>[1]FSU!F8</f>
        <v>551730</v>
      </c>
      <c r="H16" s="164">
        <f>[1]FSU!H8</f>
        <v>0</v>
      </c>
      <c r="I16" s="162"/>
      <c r="J16" s="167"/>
      <c r="K16" s="167"/>
      <c r="L16" s="162">
        <f t="shared" si="0"/>
        <v>551730</v>
      </c>
      <c r="M16" s="162">
        <f t="shared" si="2"/>
        <v>0</v>
      </c>
      <c r="N16" s="162">
        <v>0</v>
      </c>
      <c r="O16" s="162">
        <v>0</v>
      </c>
      <c r="P16" s="162"/>
      <c r="Q16" s="162"/>
      <c r="R16" s="154"/>
      <c r="S16" s="159"/>
      <c r="T16" s="159"/>
      <c r="U16" s="159"/>
      <c r="V16" s="125"/>
      <c r="W16" s="125"/>
      <c r="Y16" s="133"/>
      <c r="Z16" s="134"/>
      <c r="AA16" s="125"/>
      <c r="AB16" s="125"/>
      <c r="AC16" s="125"/>
      <c r="AD16" s="136"/>
      <c r="AF16" s="136">
        <f t="shared" si="1"/>
        <v>0</v>
      </c>
      <c r="AG16" s="136"/>
      <c r="AH16" s="125">
        <v>17</v>
      </c>
      <c r="AI16" s="135"/>
      <c r="AJ16" s="135">
        <v>328929.98999999993</v>
      </c>
    </row>
    <row r="17" spans="1:36" x14ac:dyDescent="0.2">
      <c r="B17" s="125" t="s">
        <v>121</v>
      </c>
      <c r="C17" s="153">
        <v>961364</v>
      </c>
      <c r="D17" s="154"/>
      <c r="E17" s="154"/>
      <c r="F17" s="155"/>
      <c r="G17" s="163">
        <f>[1]SU!F8</f>
        <v>961364</v>
      </c>
      <c r="H17" s="164">
        <f>[1]SU!H8</f>
        <v>0</v>
      </c>
      <c r="I17" s="162"/>
      <c r="J17" s="167"/>
      <c r="K17" s="167"/>
      <c r="L17" s="162">
        <f t="shared" si="0"/>
        <v>961364</v>
      </c>
      <c r="M17" s="162">
        <f t="shared" si="2"/>
        <v>0</v>
      </c>
      <c r="N17" s="162">
        <v>0</v>
      </c>
      <c r="O17" s="162">
        <v>0</v>
      </c>
      <c r="P17" s="162"/>
      <c r="Q17" s="162"/>
      <c r="R17" s="154"/>
      <c r="S17" s="159"/>
      <c r="T17" s="159"/>
      <c r="U17" s="159"/>
      <c r="V17" s="125"/>
      <c r="W17" s="125"/>
      <c r="Y17" s="133"/>
      <c r="Z17" s="134"/>
      <c r="AA17" s="125"/>
      <c r="AB17" s="125"/>
      <c r="AC17" s="125"/>
      <c r="AD17" s="136"/>
      <c r="AF17" s="136">
        <f t="shared" si="1"/>
        <v>0</v>
      </c>
      <c r="AG17" s="136"/>
      <c r="AH17" s="125">
        <v>18</v>
      </c>
      <c r="AI17" s="135"/>
      <c r="AJ17" s="135">
        <v>0</v>
      </c>
    </row>
    <row r="18" spans="1:36" x14ac:dyDescent="0.2">
      <c r="B18" s="125" t="s">
        <v>122</v>
      </c>
      <c r="C18" s="153">
        <f>1250000+425791+400000</f>
        <v>2075791</v>
      </c>
      <c r="D18" s="154"/>
      <c r="E18" s="154"/>
      <c r="F18" s="155"/>
      <c r="G18" s="163">
        <f>[1]TU!F8+[1]TU!F13+[1]TU!F18</f>
        <v>2075791</v>
      </c>
      <c r="H18" s="164">
        <f>[1]TU!H8+[1]TU!H13+[1]TU!H18</f>
        <v>0</v>
      </c>
      <c r="I18" s="162"/>
      <c r="J18" s="167"/>
      <c r="K18" s="167"/>
      <c r="L18" s="162">
        <f t="shared" si="0"/>
        <v>2075791</v>
      </c>
      <c r="M18" s="162">
        <f t="shared" si="2"/>
        <v>0</v>
      </c>
      <c r="N18" s="162">
        <v>0</v>
      </c>
      <c r="O18" s="162">
        <v>0</v>
      </c>
      <c r="P18" s="162"/>
      <c r="Q18" s="162"/>
      <c r="R18" s="154"/>
      <c r="S18" s="159"/>
      <c r="T18" s="159"/>
      <c r="U18" s="159"/>
      <c r="V18" s="125"/>
      <c r="W18" s="125"/>
      <c r="Y18" s="133"/>
      <c r="Z18" s="134"/>
      <c r="AA18" s="125"/>
      <c r="AB18" s="125"/>
      <c r="AC18" s="125"/>
      <c r="AD18" s="136"/>
      <c r="AF18" s="136">
        <f>C18+D18+E18-F18-G18</f>
        <v>0</v>
      </c>
      <c r="AG18" s="136"/>
      <c r="AH18" s="125">
        <v>19</v>
      </c>
      <c r="AI18" s="135"/>
      <c r="AJ18" s="135">
        <v>0</v>
      </c>
    </row>
    <row r="19" spans="1:36" x14ac:dyDescent="0.2">
      <c r="B19" s="125" t="s">
        <v>123</v>
      </c>
      <c r="C19" s="153">
        <v>654937</v>
      </c>
      <c r="D19" s="154"/>
      <c r="E19" s="154"/>
      <c r="F19" s="155"/>
      <c r="G19" s="163">
        <f>[1]UB!F42</f>
        <v>654937</v>
      </c>
      <c r="H19" s="164">
        <f>[1]UB!H42</f>
        <v>0</v>
      </c>
      <c r="I19" s="162"/>
      <c r="J19" s="167"/>
      <c r="K19" s="167"/>
      <c r="L19" s="162">
        <f t="shared" si="0"/>
        <v>654937</v>
      </c>
      <c r="M19" s="162">
        <f t="shared" si="2"/>
        <v>0</v>
      </c>
      <c r="N19" s="162">
        <v>0</v>
      </c>
      <c r="O19" s="162">
        <v>0</v>
      </c>
      <c r="P19" s="162"/>
      <c r="Q19" s="162"/>
      <c r="R19" s="154"/>
      <c r="S19" s="159"/>
      <c r="T19" s="159"/>
      <c r="U19" s="159"/>
      <c r="V19" s="125"/>
      <c r="W19" s="125"/>
      <c r="Y19" s="133"/>
      <c r="Z19" s="134"/>
      <c r="AA19" s="125"/>
      <c r="AB19" s="125"/>
      <c r="AC19" s="125"/>
      <c r="AD19" s="136"/>
      <c r="AF19" s="136">
        <f t="shared" si="1"/>
        <v>0</v>
      </c>
      <c r="AG19" s="136"/>
      <c r="AH19" s="125">
        <v>20</v>
      </c>
      <c r="AI19" s="135"/>
      <c r="AJ19" s="135">
        <v>0</v>
      </c>
    </row>
    <row r="20" spans="1:36" x14ac:dyDescent="0.2">
      <c r="B20" s="125" t="s">
        <v>124</v>
      </c>
      <c r="C20" s="153">
        <v>431976</v>
      </c>
      <c r="D20" s="154"/>
      <c r="E20" s="154"/>
      <c r="F20" s="155"/>
      <c r="G20" s="163">
        <f>'[1]USM &amp; COI'!G62</f>
        <v>431976</v>
      </c>
      <c r="H20" s="164">
        <f>'[1]USM &amp; COI'!H62</f>
        <v>0</v>
      </c>
      <c r="I20" s="162"/>
      <c r="J20" s="167"/>
      <c r="K20" s="167"/>
      <c r="L20" s="162">
        <f t="shared" si="0"/>
        <v>431976</v>
      </c>
      <c r="M20" s="162">
        <f t="shared" si="2"/>
        <v>0</v>
      </c>
      <c r="N20" s="162">
        <v>0</v>
      </c>
      <c r="O20" s="162">
        <v>0</v>
      </c>
      <c r="P20" s="162"/>
      <c r="Q20" s="162"/>
      <c r="R20" s="154"/>
      <c r="S20" s="159"/>
      <c r="T20" s="159"/>
      <c r="U20" s="159"/>
      <c r="V20" s="125"/>
      <c r="W20" s="125"/>
      <c r="Y20" s="133"/>
      <c r="Z20" s="134"/>
      <c r="AA20" s="125"/>
      <c r="AB20" s="125"/>
      <c r="AC20" s="125"/>
      <c r="AD20" s="136"/>
      <c r="AF20" s="136">
        <f t="shared" si="1"/>
        <v>0</v>
      </c>
      <c r="AG20" s="136"/>
      <c r="AI20" s="135"/>
      <c r="AJ20" s="135"/>
    </row>
    <row r="21" spans="1:36" x14ac:dyDescent="0.2">
      <c r="B21" s="125" t="s">
        <v>125</v>
      </c>
      <c r="C21" s="153">
        <v>45627</v>
      </c>
      <c r="D21" s="154"/>
      <c r="E21" s="154"/>
      <c r="F21" s="155"/>
      <c r="G21" s="163">
        <f>'[1]USM &amp; COI'!G67</f>
        <v>45627</v>
      </c>
      <c r="H21" s="164">
        <f>'[1]USM &amp; COI'!H67</f>
        <v>0</v>
      </c>
      <c r="I21" s="162"/>
      <c r="J21" s="167"/>
      <c r="K21" s="167"/>
      <c r="L21" s="162">
        <f t="shared" si="0"/>
        <v>45627</v>
      </c>
      <c r="M21" s="162">
        <f t="shared" si="2"/>
        <v>0</v>
      </c>
      <c r="N21" s="162">
        <v>0</v>
      </c>
      <c r="O21" s="162">
        <v>0</v>
      </c>
      <c r="P21" s="162"/>
      <c r="Q21" s="162"/>
      <c r="R21" s="154"/>
      <c r="S21" s="159"/>
      <c r="T21" s="159"/>
      <c r="U21" s="159"/>
      <c r="V21" s="125"/>
      <c r="W21" s="125"/>
      <c r="Y21" s="133"/>
      <c r="Z21" s="134"/>
      <c r="AA21" s="125"/>
      <c r="AB21" s="125"/>
      <c r="AC21" s="125"/>
      <c r="AD21" s="136"/>
      <c r="AF21" s="136">
        <f t="shared" si="1"/>
        <v>0</v>
      </c>
      <c r="AG21" s="136"/>
      <c r="AI21" s="135"/>
      <c r="AJ21" s="135"/>
    </row>
    <row r="22" spans="1:36" x14ac:dyDescent="0.2">
      <c r="B22" s="125" t="s">
        <v>126</v>
      </c>
      <c r="C22" s="153">
        <v>59858</v>
      </c>
      <c r="D22" s="154"/>
      <c r="E22" s="154"/>
      <c r="F22" s="155"/>
      <c r="G22" s="163">
        <f>'[1]USM &amp; COI'!G72</f>
        <v>59858</v>
      </c>
      <c r="H22" s="164">
        <f>'[1]USM &amp; COI'!H72</f>
        <v>0</v>
      </c>
      <c r="I22" s="162"/>
      <c r="J22" s="167"/>
      <c r="K22" s="167"/>
      <c r="L22" s="162">
        <f t="shared" si="0"/>
        <v>59858</v>
      </c>
      <c r="M22" s="162">
        <f t="shared" si="2"/>
        <v>0</v>
      </c>
      <c r="N22" s="162">
        <v>0</v>
      </c>
      <c r="O22" s="162">
        <v>0</v>
      </c>
      <c r="P22" s="162"/>
      <c r="Q22" s="162"/>
      <c r="R22" s="154"/>
      <c r="S22" s="159"/>
      <c r="T22" s="159"/>
      <c r="U22" s="159"/>
      <c r="V22" s="125"/>
      <c r="W22" s="125"/>
      <c r="Y22" s="133"/>
      <c r="Z22" s="134"/>
      <c r="AA22" s="125"/>
      <c r="AB22" s="125"/>
      <c r="AC22" s="125"/>
      <c r="AD22" s="136"/>
      <c r="AF22" s="136">
        <f t="shared" si="1"/>
        <v>0</v>
      </c>
      <c r="AG22" s="136"/>
      <c r="AI22" s="135"/>
      <c r="AJ22" s="135"/>
    </row>
    <row r="23" spans="1:36" x14ac:dyDescent="0.2">
      <c r="B23" s="165" t="s">
        <v>127</v>
      </c>
      <c r="C23" s="153">
        <f>500000</f>
        <v>500000</v>
      </c>
      <c r="D23" s="154"/>
      <c r="E23" s="162"/>
      <c r="F23" s="155"/>
      <c r="G23" s="163">
        <f>'[1]Emergency Funds'!G8</f>
        <v>500000</v>
      </c>
      <c r="H23" s="164">
        <f>'[1]Emergency Funds'!H8</f>
        <v>0</v>
      </c>
      <c r="I23" s="162"/>
      <c r="J23" s="167"/>
      <c r="K23" s="167"/>
      <c r="L23" s="162">
        <f t="shared" si="0"/>
        <v>500000</v>
      </c>
      <c r="M23" s="162">
        <f t="shared" si="2"/>
        <v>0</v>
      </c>
      <c r="N23" s="162">
        <v>0</v>
      </c>
      <c r="O23" s="162">
        <v>0</v>
      </c>
      <c r="P23" s="162"/>
      <c r="Q23" s="162"/>
      <c r="R23" s="154"/>
      <c r="S23" s="159"/>
      <c r="T23" s="159"/>
      <c r="U23" s="159"/>
      <c r="V23" s="125"/>
      <c r="W23" s="125"/>
      <c r="Y23" s="133"/>
      <c r="Z23" s="134"/>
      <c r="AA23" s="125"/>
      <c r="AB23" s="125"/>
      <c r="AC23" s="125"/>
      <c r="AD23" s="136"/>
      <c r="AF23" s="136">
        <f t="shared" si="1"/>
        <v>0</v>
      </c>
      <c r="AG23" s="136"/>
      <c r="AH23" s="125">
        <v>21</v>
      </c>
      <c r="AI23" s="135"/>
      <c r="AJ23" s="135"/>
    </row>
    <row r="24" spans="1:36" x14ac:dyDescent="0.2">
      <c r="C24" s="153"/>
      <c r="D24" s="154"/>
      <c r="E24" s="154"/>
      <c r="F24" s="155"/>
      <c r="G24" s="156"/>
      <c r="H24" s="157"/>
      <c r="I24" s="154"/>
      <c r="J24" s="158"/>
      <c r="K24" s="158"/>
      <c r="L24" s="154"/>
      <c r="M24" s="154"/>
      <c r="N24" s="154"/>
      <c r="O24" s="154"/>
      <c r="P24" s="154"/>
      <c r="Q24" s="154"/>
      <c r="R24" s="154"/>
      <c r="S24" s="159"/>
      <c r="T24" s="159"/>
      <c r="U24" s="159"/>
      <c r="V24" s="125"/>
      <c r="W24" s="125"/>
      <c r="Y24" s="133"/>
      <c r="Z24" s="134"/>
      <c r="AA24" s="125"/>
      <c r="AB24" s="125"/>
      <c r="AC24" s="125"/>
      <c r="AD24" s="136"/>
      <c r="AF24" s="136"/>
      <c r="AG24" s="136"/>
      <c r="AH24" s="125">
        <v>25</v>
      </c>
      <c r="AI24" s="135"/>
      <c r="AJ24" s="135"/>
    </row>
    <row r="25" spans="1:36" ht="13.5" thickBot="1" x14ac:dyDescent="0.25">
      <c r="B25" s="168" t="s">
        <v>128</v>
      </c>
      <c r="C25" s="169">
        <f t="shared" ref="C25:Q25" si="3">SUM(C7:C24)</f>
        <v>30000000</v>
      </c>
      <c r="D25" s="169">
        <f t="shared" si="3"/>
        <v>0</v>
      </c>
      <c r="E25" s="169">
        <f t="shared" si="3"/>
        <v>0</v>
      </c>
      <c r="F25" s="169">
        <f t="shared" si="3"/>
        <v>0</v>
      </c>
      <c r="G25" s="169">
        <f t="shared" si="3"/>
        <v>30000000</v>
      </c>
      <c r="H25" s="169">
        <f t="shared" si="3"/>
        <v>40614.199999999997</v>
      </c>
      <c r="I25" s="169">
        <f t="shared" si="3"/>
        <v>0</v>
      </c>
      <c r="J25" s="169">
        <f t="shared" si="3"/>
        <v>0</v>
      </c>
      <c r="K25" s="169">
        <f t="shared" si="3"/>
        <v>0</v>
      </c>
      <c r="L25" s="169">
        <f t="shared" si="3"/>
        <v>29959385.800000001</v>
      </c>
      <c r="M25" s="169">
        <f t="shared" si="3"/>
        <v>40614.199999999997</v>
      </c>
      <c r="N25" s="169">
        <f t="shared" si="3"/>
        <v>0</v>
      </c>
      <c r="O25" s="169">
        <f t="shared" si="3"/>
        <v>0</v>
      </c>
      <c r="P25" s="169">
        <f t="shared" si="3"/>
        <v>0</v>
      </c>
      <c r="Q25" s="169">
        <f t="shared" si="3"/>
        <v>0</v>
      </c>
      <c r="R25" s="153"/>
      <c r="S25" s="159"/>
      <c r="T25" s="159"/>
      <c r="U25" s="159"/>
      <c r="V25" s="125"/>
      <c r="W25" s="125"/>
      <c r="X25" s="168" t="s">
        <v>129</v>
      </c>
      <c r="Y25" s="133">
        <v>22</v>
      </c>
      <c r="Z25" s="134"/>
      <c r="AA25" s="125"/>
      <c r="AB25" s="125"/>
      <c r="AC25" s="125"/>
      <c r="AD25" s="169" t="e">
        <f>SUM(#REF!)</f>
        <v>#REF!</v>
      </c>
      <c r="AE25" s="169" t="e">
        <f>SUM(#REF!)</f>
        <v>#REF!</v>
      </c>
      <c r="AF25" s="169"/>
      <c r="AG25" s="169"/>
      <c r="AH25" s="125">
        <v>26</v>
      </c>
      <c r="AI25" s="135"/>
      <c r="AJ25" s="135">
        <v>2910571.3200000003</v>
      </c>
    </row>
    <row r="26" spans="1:36" ht="13.5" thickTop="1" x14ac:dyDescent="0.2">
      <c r="C26" s="153"/>
      <c r="D26" s="154"/>
      <c r="E26" s="154"/>
      <c r="F26" s="155"/>
      <c r="G26" s="156"/>
      <c r="H26" s="157"/>
      <c r="I26" s="154"/>
      <c r="J26" s="158"/>
      <c r="K26" s="158"/>
      <c r="L26" s="154"/>
      <c r="M26" s="154"/>
      <c r="N26" s="154"/>
      <c r="O26" s="154"/>
      <c r="AA26" s="136"/>
      <c r="AB26" s="136"/>
      <c r="AC26" s="136"/>
      <c r="AD26" s="136"/>
    </row>
    <row r="27" spans="1:36" x14ac:dyDescent="0.2">
      <c r="A27" s="160" t="s">
        <v>130</v>
      </c>
      <c r="B27" s="161"/>
      <c r="C27" s="153"/>
      <c r="D27" s="154"/>
      <c r="E27" s="154"/>
      <c r="F27" s="162"/>
      <c r="G27" s="163"/>
      <c r="H27" s="164"/>
      <c r="I27" s="163"/>
      <c r="J27" s="163"/>
      <c r="K27" s="163"/>
      <c r="L27" s="162"/>
      <c r="M27" s="162"/>
      <c r="N27" s="162"/>
      <c r="O27" s="162"/>
      <c r="P27" s="162"/>
      <c r="Q27" s="162"/>
      <c r="R27" s="154"/>
      <c r="S27" s="159"/>
      <c r="T27" s="159"/>
      <c r="U27" s="159"/>
      <c r="V27" s="125"/>
      <c r="W27" s="165" t="s">
        <v>109</v>
      </c>
      <c r="Y27" s="133">
        <v>5</v>
      </c>
      <c r="Z27" s="134"/>
      <c r="AA27" s="125"/>
      <c r="AB27" s="125"/>
      <c r="AC27" s="125"/>
      <c r="AE27" s="135"/>
      <c r="AF27" s="135"/>
      <c r="AG27" s="135"/>
      <c r="AH27" s="125">
        <v>6</v>
      </c>
      <c r="AI27" s="135"/>
      <c r="AJ27" s="135"/>
    </row>
    <row r="28" spans="1:36" x14ac:dyDescent="0.2">
      <c r="B28" s="125" t="s">
        <v>110</v>
      </c>
      <c r="C28" s="153">
        <v>2500000</v>
      </c>
      <c r="D28" s="154"/>
      <c r="E28" s="154"/>
      <c r="F28" s="166">
        <f>293257.32+54612.37</f>
        <v>347869.69</v>
      </c>
      <c r="G28" s="163">
        <f>[1]UMCP!F140</f>
        <v>2152130.31</v>
      </c>
      <c r="H28" s="164">
        <f>[1]UMCP!H140</f>
        <v>309701.17000000004</v>
      </c>
      <c r="I28" s="162"/>
      <c r="J28" s="167">
        <f>[2]UMCP!J471</f>
        <v>0</v>
      </c>
      <c r="K28" s="167">
        <f>[2]UMCP!K471</f>
        <v>0</v>
      </c>
      <c r="L28" s="162">
        <f t="shared" ref="L28:L45" si="4">G28-H28-I28-J28-K28</f>
        <v>1842429.1400000001</v>
      </c>
      <c r="M28" s="162">
        <f t="shared" ref="M28:M45" si="5">H28-N28-O28</f>
        <v>141928.54000000004</v>
      </c>
      <c r="N28" s="162">
        <v>167772.63</v>
      </c>
      <c r="O28" s="162">
        <v>0</v>
      </c>
      <c r="P28" s="162"/>
      <c r="Q28" s="162"/>
      <c r="R28" s="154"/>
      <c r="S28" s="159"/>
      <c r="T28" s="159"/>
      <c r="U28" s="159"/>
      <c r="V28" s="125"/>
      <c r="W28" s="125"/>
      <c r="Y28" s="133"/>
      <c r="Z28" s="134"/>
      <c r="AA28" s="125"/>
      <c r="AB28" s="125"/>
      <c r="AC28" s="125"/>
      <c r="AD28" s="136"/>
      <c r="AF28" s="136">
        <f t="shared" ref="AF28:AF45" si="6">C28+D28+E28-F28-G28</f>
        <v>0</v>
      </c>
      <c r="AG28" s="136"/>
      <c r="AH28" s="125">
        <v>7</v>
      </c>
      <c r="AI28" s="136" t="s">
        <v>111</v>
      </c>
      <c r="AJ28" s="135">
        <v>0</v>
      </c>
    </row>
    <row r="29" spans="1:36" x14ac:dyDescent="0.2">
      <c r="B29" s="125" t="s">
        <v>131</v>
      </c>
      <c r="C29" s="153">
        <v>2192000</v>
      </c>
      <c r="D29" s="154"/>
      <c r="E29" s="154"/>
      <c r="F29" s="155"/>
      <c r="G29" s="163">
        <f>[1]UMES!F129</f>
        <v>2192000</v>
      </c>
      <c r="H29" s="164">
        <f>[1]UMES!H129</f>
        <v>0</v>
      </c>
      <c r="I29" s="162"/>
      <c r="J29" s="167">
        <f>[2]UMES!J242</f>
        <v>0</v>
      </c>
      <c r="K29" s="167">
        <f>[2]UMES!K242</f>
        <v>0</v>
      </c>
      <c r="L29" s="162">
        <f t="shared" si="4"/>
        <v>2192000</v>
      </c>
      <c r="M29" s="162">
        <f t="shared" si="5"/>
        <v>0</v>
      </c>
      <c r="N29" s="162">
        <v>0</v>
      </c>
      <c r="O29" s="162">
        <v>0</v>
      </c>
      <c r="P29" s="162"/>
      <c r="Q29" s="162"/>
      <c r="R29" s="154"/>
      <c r="S29" s="159"/>
      <c r="T29" s="159"/>
      <c r="U29" s="159"/>
      <c r="V29" s="125"/>
      <c r="W29" s="125"/>
      <c r="Y29" s="133"/>
      <c r="Z29" s="134"/>
      <c r="AA29" s="125"/>
      <c r="AB29" s="125"/>
      <c r="AC29" s="125"/>
      <c r="AD29" s="136"/>
      <c r="AF29" s="136">
        <f t="shared" si="6"/>
        <v>0</v>
      </c>
      <c r="AG29" s="136"/>
      <c r="AH29" s="125">
        <v>8</v>
      </c>
      <c r="AI29" s="136" t="s">
        <v>111</v>
      </c>
      <c r="AJ29" s="135">
        <v>0</v>
      </c>
    </row>
    <row r="30" spans="1:36" x14ac:dyDescent="0.2">
      <c r="B30" s="165" t="s">
        <v>112</v>
      </c>
      <c r="C30" s="153"/>
      <c r="D30" s="154"/>
      <c r="E30" s="154"/>
      <c r="F30" s="155"/>
      <c r="G30" s="163"/>
      <c r="H30" s="164"/>
      <c r="I30" s="162"/>
      <c r="J30" s="167"/>
      <c r="K30" s="167"/>
      <c r="L30" s="162">
        <f t="shared" si="4"/>
        <v>0</v>
      </c>
      <c r="M30" s="162"/>
      <c r="N30" s="162"/>
      <c r="O30" s="162">
        <f>H30+J30+K30-P30-Q30</f>
        <v>0</v>
      </c>
      <c r="P30" s="162"/>
      <c r="Q30" s="162"/>
      <c r="R30" s="154"/>
      <c r="S30" s="159"/>
      <c r="T30" s="159"/>
      <c r="U30" s="159"/>
      <c r="V30" s="125"/>
      <c r="W30" s="125"/>
      <c r="Y30" s="133"/>
      <c r="Z30" s="134"/>
      <c r="AA30" s="125"/>
      <c r="AB30" s="125"/>
      <c r="AC30" s="125"/>
      <c r="AD30" s="136"/>
      <c r="AF30" s="136">
        <f t="shared" si="6"/>
        <v>0</v>
      </c>
      <c r="AG30" s="136"/>
      <c r="AH30" s="125">
        <v>9</v>
      </c>
      <c r="AI30" s="135"/>
      <c r="AJ30" s="135"/>
    </row>
    <row r="31" spans="1:36" x14ac:dyDescent="0.2">
      <c r="B31" s="125" t="s">
        <v>113</v>
      </c>
      <c r="C31" s="153">
        <f>300000+2652191+1000000+700000+1300000+290000+150000+510000+975000+900000+700000</f>
        <v>9477191</v>
      </c>
      <c r="D31" s="154"/>
      <c r="E31" s="154"/>
      <c r="F31" s="54">
        <f>2200211.31+1345.5+9664</f>
        <v>2211220.81</v>
      </c>
      <c r="G31" s="163">
        <f>[1]UMCP!F64</f>
        <v>7265970.1899999995</v>
      </c>
      <c r="H31" s="164">
        <f>[1]UMCP!H64</f>
        <v>5213380.0100000016</v>
      </c>
      <c r="I31" s="162"/>
      <c r="J31" s="167">
        <f>[2]UMCP!J65</f>
        <v>0</v>
      </c>
      <c r="K31" s="167">
        <f>[2]UMCP!K65</f>
        <v>0</v>
      </c>
      <c r="L31" s="162">
        <f t="shared" si="4"/>
        <v>2052590.1799999978</v>
      </c>
      <c r="M31" s="162">
        <f t="shared" si="5"/>
        <v>202549.12000000104</v>
      </c>
      <c r="N31" s="162">
        <v>5010830.8900000006</v>
      </c>
      <c r="O31" s="162">
        <v>0</v>
      </c>
      <c r="P31" s="162"/>
      <c r="Q31" s="162"/>
      <c r="R31" s="154"/>
      <c r="S31" s="159"/>
      <c r="T31" s="159"/>
      <c r="U31" s="159"/>
      <c r="V31" s="125"/>
      <c r="W31" s="125"/>
      <c r="Y31" s="133"/>
      <c r="Z31" s="134"/>
      <c r="AA31" s="125"/>
      <c r="AB31" s="125"/>
      <c r="AC31" s="125"/>
      <c r="AD31" s="136"/>
      <c r="AF31" s="136">
        <f t="shared" si="6"/>
        <v>0</v>
      </c>
      <c r="AG31" s="136"/>
      <c r="AH31" s="125">
        <v>10</v>
      </c>
      <c r="AI31" s="135"/>
      <c r="AJ31" s="135">
        <v>2420270.1300000004</v>
      </c>
    </row>
    <row r="32" spans="1:36" x14ac:dyDescent="0.2">
      <c r="B32" s="125" t="s">
        <v>114</v>
      </c>
      <c r="C32" s="153">
        <f>990000+990000+990000+827264+1199136</f>
        <v>4996400</v>
      </c>
      <c r="D32" s="154"/>
      <c r="E32" s="154"/>
      <c r="F32" s="155"/>
      <c r="G32" s="163">
        <f>[1]UMB!F22</f>
        <v>4996400</v>
      </c>
      <c r="H32" s="164">
        <f>[1]UMB!H22</f>
        <v>0</v>
      </c>
      <c r="I32" s="162"/>
      <c r="J32" s="167">
        <f>[2]UMB!J88</f>
        <v>0</v>
      </c>
      <c r="K32" s="167">
        <f>[2]UMB!K88</f>
        <v>0</v>
      </c>
      <c r="L32" s="162">
        <f t="shared" si="4"/>
        <v>4996400</v>
      </c>
      <c r="M32" s="162">
        <f t="shared" si="5"/>
        <v>0</v>
      </c>
      <c r="N32" s="162">
        <v>0</v>
      </c>
      <c r="O32" s="162">
        <v>0</v>
      </c>
      <c r="P32" s="162"/>
      <c r="Q32" s="162"/>
      <c r="R32" s="154"/>
      <c r="S32" s="159"/>
      <c r="T32" s="159"/>
      <c r="U32" s="159"/>
      <c r="V32" s="125"/>
      <c r="W32" s="125"/>
      <c r="Y32" s="133"/>
      <c r="Z32" s="134"/>
      <c r="AA32" s="125"/>
      <c r="AB32" s="125"/>
      <c r="AC32" s="125"/>
      <c r="AD32" s="136"/>
      <c r="AF32" s="136">
        <f t="shared" si="6"/>
        <v>0</v>
      </c>
      <c r="AG32" s="136"/>
      <c r="AH32" s="125">
        <v>11</v>
      </c>
      <c r="AI32" s="135"/>
      <c r="AJ32" s="135">
        <v>0</v>
      </c>
    </row>
    <row r="33" spans="2:36" x14ac:dyDescent="0.2">
      <c r="B33" s="125" t="s">
        <v>115</v>
      </c>
      <c r="C33" s="153">
        <v>1301342</v>
      </c>
      <c r="D33" s="154"/>
      <c r="E33" s="154"/>
      <c r="F33" s="54">
        <f>277763+130204</f>
        <v>407967</v>
      </c>
      <c r="G33" s="163">
        <f>[1]UMES!F54</f>
        <v>893375</v>
      </c>
      <c r="H33" s="164">
        <f>[1]UMES!H54</f>
        <v>404147</v>
      </c>
      <c r="I33" s="162"/>
      <c r="J33" s="167">
        <f>[2]UMES!J58</f>
        <v>0</v>
      </c>
      <c r="K33" s="167">
        <f>[2]UMES!K58</f>
        <v>0</v>
      </c>
      <c r="L33" s="162">
        <f t="shared" si="4"/>
        <v>489228</v>
      </c>
      <c r="M33" s="162">
        <f t="shared" si="5"/>
        <v>269467</v>
      </c>
      <c r="N33" s="162">
        <v>134680</v>
      </c>
      <c r="O33" s="162">
        <v>0</v>
      </c>
      <c r="P33" s="162"/>
      <c r="Q33" s="162"/>
      <c r="R33" s="154"/>
      <c r="S33" s="159"/>
      <c r="T33" s="159"/>
      <c r="U33" s="159"/>
      <c r="V33" s="125"/>
      <c r="W33" s="125"/>
      <c r="Y33" s="133"/>
      <c r="Z33" s="134"/>
      <c r="AA33" s="125"/>
      <c r="AB33" s="125"/>
      <c r="AC33" s="125"/>
      <c r="AD33" s="136"/>
      <c r="AF33" s="136">
        <f t="shared" si="6"/>
        <v>0</v>
      </c>
      <c r="AG33" s="136"/>
      <c r="AH33" s="125">
        <v>12</v>
      </c>
      <c r="AI33" s="135"/>
      <c r="AJ33" s="135">
        <v>0</v>
      </c>
    </row>
    <row r="34" spans="2:36" x14ac:dyDescent="0.2">
      <c r="B34" s="125" t="s">
        <v>116</v>
      </c>
      <c r="C34" s="153">
        <v>2341242</v>
      </c>
      <c r="D34" s="154"/>
      <c r="E34" s="154"/>
      <c r="F34" s="155"/>
      <c r="G34" s="163">
        <f>[1]UMBC!F13</f>
        <v>2341242</v>
      </c>
      <c r="H34" s="164">
        <f>[1]UMBC!H13</f>
        <v>0</v>
      </c>
      <c r="I34" s="162"/>
      <c r="J34" s="167">
        <f>[2]UMBC!J27</f>
        <v>0</v>
      </c>
      <c r="K34" s="167">
        <f>[2]UMBC!K27</f>
        <v>0</v>
      </c>
      <c r="L34" s="162">
        <f t="shared" si="4"/>
        <v>2341242</v>
      </c>
      <c r="M34" s="162">
        <f t="shared" si="5"/>
        <v>0</v>
      </c>
      <c r="N34" s="162">
        <v>0</v>
      </c>
      <c r="O34" s="162">
        <v>0</v>
      </c>
      <c r="P34" s="162"/>
      <c r="Q34" s="162"/>
      <c r="R34" s="154"/>
      <c r="S34" s="159"/>
      <c r="T34" s="159"/>
      <c r="U34" s="159"/>
      <c r="V34" s="125"/>
      <c r="W34" s="125"/>
      <c r="Y34" s="133"/>
      <c r="Z34" s="134"/>
      <c r="AA34" s="125"/>
      <c r="AB34" s="125"/>
      <c r="AC34" s="125"/>
      <c r="AD34" s="136"/>
      <c r="AF34" s="136">
        <f t="shared" si="6"/>
        <v>0</v>
      </c>
      <c r="AG34" s="136"/>
      <c r="AH34" s="125">
        <v>13</v>
      </c>
      <c r="AI34" s="135"/>
      <c r="AJ34" s="135">
        <v>0</v>
      </c>
    </row>
    <row r="35" spans="2:36" x14ac:dyDescent="0.2">
      <c r="B35" s="125" t="s">
        <v>117</v>
      </c>
      <c r="C35" s="153">
        <v>358037</v>
      </c>
      <c r="D35" s="154"/>
      <c r="E35" s="154"/>
      <c r="F35" s="155"/>
      <c r="G35" s="163">
        <f>[1]UMCES!F13</f>
        <v>358037</v>
      </c>
      <c r="H35" s="164">
        <f>[1]UMCES!H13</f>
        <v>0</v>
      </c>
      <c r="I35" s="162"/>
      <c r="J35" s="167">
        <f>[2]UMCES!J67</f>
        <v>0</v>
      </c>
      <c r="K35" s="167">
        <f>[2]UMCES!K67</f>
        <v>0</v>
      </c>
      <c r="L35" s="162">
        <f t="shared" si="4"/>
        <v>358037</v>
      </c>
      <c r="M35" s="162">
        <f t="shared" si="5"/>
        <v>0</v>
      </c>
      <c r="N35" s="162">
        <v>0</v>
      </c>
      <c r="O35" s="162">
        <v>0</v>
      </c>
      <c r="P35" s="162"/>
      <c r="Q35" s="162"/>
      <c r="R35" s="154"/>
      <c r="S35" s="159"/>
      <c r="T35" s="159"/>
      <c r="U35" s="159"/>
      <c r="V35" s="125"/>
      <c r="W35" s="125"/>
      <c r="Y35" s="133"/>
      <c r="Z35" s="134"/>
      <c r="AA35" s="125"/>
      <c r="AB35" s="125"/>
      <c r="AC35" s="125"/>
      <c r="AD35" s="136"/>
      <c r="AF35" s="136">
        <f t="shared" si="6"/>
        <v>0</v>
      </c>
      <c r="AG35" s="136"/>
      <c r="AH35" s="125">
        <v>14</v>
      </c>
      <c r="AI35" s="135"/>
      <c r="AJ35" s="135">
        <v>0</v>
      </c>
    </row>
    <row r="36" spans="2:36" x14ac:dyDescent="0.2">
      <c r="B36" s="125" t="s">
        <v>118</v>
      </c>
      <c r="C36" s="153">
        <v>857383</v>
      </c>
      <c r="D36" s="154"/>
      <c r="E36" s="154"/>
      <c r="F36" s="155"/>
      <c r="G36" s="163">
        <f>[1]BSU!F17</f>
        <v>857383</v>
      </c>
      <c r="H36" s="164">
        <f>[1]BSU!H17</f>
        <v>309815.93</v>
      </c>
      <c r="I36" s="162"/>
      <c r="J36" s="167">
        <f>[2]BSU!J30</f>
        <v>0</v>
      </c>
      <c r="K36" s="167">
        <f>[2]BSU!K30</f>
        <v>0</v>
      </c>
      <c r="L36" s="162">
        <f t="shared" si="4"/>
        <v>547567.07000000007</v>
      </c>
      <c r="M36" s="162">
        <f t="shared" si="5"/>
        <v>309815.93</v>
      </c>
      <c r="N36" s="162">
        <v>0</v>
      </c>
      <c r="O36" s="162">
        <v>0</v>
      </c>
      <c r="P36" s="162"/>
      <c r="Q36" s="162"/>
      <c r="R36" s="154"/>
      <c r="S36" s="159"/>
      <c r="T36" s="159"/>
      <c r="U36" s="159"/>
      <c r="V36" s="125"/>
      <c r="W36" s="125"/>
      <c r="Y36" s="133"/>
      <c r="Z36" s="134"/>
      <c r="AA36" s="125"/>
      <c r="AB36" s="125"/>
      <c r="AC36" s="125"/>
      <c r="AD36" s="136"/>
      <c r="AF36" s="136">
        <f t="shared" si="6"/>
        <v>0</v>
      </c>
      <c r="AG36" s="136"/>
      <c r="AH36" s="125">
        <v>15</v>
      </c>
      <c r="AI36" s="135"/>
      <c r="AJ36" s="135">
        <v>0</v>
      </c>
    </row>
    <row r="37" spans="2:36" x14ac:dyDescent="0.2">
      <c r="B37" s="125" t="s">
        <v>119</v>
      </c>
      <c r="C37" s="153">
        <v>564649</v>
      </c>
      <c r="D37" s="154"/>
      <c r="E37" s="154"/>
      <c r="F37" s="155"/>
      <c r="G37" s="163">
        <f>[1]CSU!F16</f>
        <v>564649</v>
      </c>
      <c r="H37" s="164">
        <f>[1]CSU!H16</f>
        <v>161371.20000000001</v>
      </c>
      <c r="I37" s="162"/>
      <c r="J37" s="167">
        <f>[2]CSU!J74</f>
        <v>0</v>
      </c>
      <c r="K37" s="167">
        <f>[2]CSU!K74</f>
        <v>0</v>
      </c>
      <c r="L37" s="162">
        <f t="shared" si="4"/>
        <v>403277.8</v>
      </c>
      <c r="M37" s="162">
        <f t="shared" si="5"/>
        <v>0</v>
      </c>
      <c r="N37" s="162">
        <v>161371.20000000001</v>
      </c>
      <c r="O37" s="162">
        <v>0</v>
      </c>
      <c r="P37" s="162"/>
      <c r="Q37" s="162"/>
      <c r="R37" s="154"/>
      <c r="S37" s="159"/>
      <c r="T37" s="159"/>
      <c r="U37" s="159"/>
      <c r="V37" s="125"/>
      <c r="W37" s="125"/>
      <c r="Y37" s="133"/>
      <c r="Z37" s="134"/>
      <c r="AA37" s="125"/>
      <c r="AB37" s="125"/>
      <c r="AC37" s="125"/>
      <c r="AD37" s="136"/>
      <c r="AF37" s="136">
        <f t="shared" si="6"/>
        <v>0</v>
      </c>
      <c r="AG37" s="136"/>
      <c r="AH37" s="125">
        <v>16</v>
      </c>
      <c r="AI37" s="135"/>
      <c r="AJ37" s="135">
        <v>161371.20000000001</v>
      </c>
    </row>
    <row r="38" spans="2:36" x14ac:dyDescent="0.2">
      <c r="B38" s="125" t="s">
        <v>120</v>
      </c>
      <c r="C38" s="153">
        <v>515190</v>
      </c>
      <c r="D38" s="154"/>
      <c r="E38" s="154"/>
      <c r="F38" s="54">
        <f>2480</f>
        <v>2480</v>
      </c>
      <c r="G38" s="163">
        <f>[1]FSU!F32</f>
        <v>512710</v>
      </c>
      <c r="H38" s="164">
        <f>[1]FSU!H32</f>
        <v>377295.20999999996</v>
      </c>
      <c r="I38" s="162"/>
      <c r="J38" s="167">
        <f>[2]FSU!J40</f>
        <v>0</v>
      </c>
      <c r="K38" s="167">
        <f>[2]FSU!K40</f>
        <v>0</v>
      </c>
      <c r="L38" s="162">
        <f t="shared" si="4"/>
        <v>135414.79000000004</v>
      </c>
      <c r="M38" s="162">
        <f t="shared" si="5"/>
        <v>48365.22000000003</v>
      </c>
      <c r="N38" s="162">
        <v>328929.98999999993</v>
      </c>
      <c r="O38" s="162">
        <v>0</v>
      </c>
      <c r="P38" s="162"/>
      <c r="Q38" s="162"/>
      <c r="R38" s="154"/>
      <c r="S38" s="159"/>
      <c r="T38" s="159"/>
      <c r="U38" s="159"/>
      <c r="V38" s="125"/>
      <c r="W38" s="125"/>
      <c r="Y38" s="133"/>
      <c r="Z38" s="134"/>
      <c r="AA38" s="125"/>
      <c r="AB38" s="125"/>
      <c r="AC38" s="125"/>
      <c r="AD38" s="136"/>
      <c r="AF38" s="136">
        <f t="shared" si="6"/>
        <v>0</v>
      </c>
      <c r="AG38" s="136"/>
      <c r="AH38" s="125">
        <v>17</v>
      </c>
      <c r="AI38" s="135"/>
      <c r="AJ38" s="135">
        <v>328929.98999999993</v>
      </c>
    </row>
    <row r="39" spans="2:36" x14ac:dyDescent="0.2">
      <c r="B39" s="125" t="s">
        <v>121</v>
      </c>
      <c r="C39" s="153">
        <v>943287</v>
      </c>
      <c r="D39" s="154"/>
      <c r="E39" s="154"/>
      <c r="F39" s="155"/>
      <c r="G39" s="163">
        <f>[1]SU!F17</f>
        <v>943287</v>
      </c>
      <c r="H39" s="164">
        <f>[1]SU!H17</f>
        <v>0</v>
      </c>
      <c r="I39" s="162"/>
      <c r="J39" s="167">
        <f>[2]SU!J25</f>
        <v>0</v>
      </c>
      <c r="K39" s="167">
        <f>[2]SU!K25</f>
        <v>0</v>
      </c>
      <c r="L39" s="162">
        <f t="shared" si="4"/>
        <v>943287</v>
      </c>
      <c r="M39" s="162">
        <f t="shared" si="5"/>
        <v>0</v>
      </c>
      <c r="N39" s="162">
        <v>0</v>
      </c>
      <c r="O39" s="162">
        <v>0</v>
      </c>
      <c r="P39" s="162"/>
      <c r="Q39" s="162"/>
      <c r="R39" s="154"/>
      <c r="S39" s="159"/>
      <c r="T39" s="159"/>
      <c r="U39" s="159"/>
      <c r="V39" s="125"/>
      <c r="W39" s="125"/>
      <c r="Y39" s="133"/>
      <c r="Z39" s="134"/>
      <c r="AA39" s="125"/>
      <c r="AB39" s="125"/>
      <c r="AC39" s="125"/>
      <c r="AD39" s="136"/>
      <c r="AF39" s="136">
        <f t="shared" si="6"/>
        <v>0</v>
      </c>
      <c r="AG39" s="136"/>
      <c r="AH39" s="125">
        <v>18</v>
      </c>
      <c r="AI39" s="135"/>
      <c r="AJ39" s="135">
        <v>0</v>
      </c>
    </row>
    <row r="40" spans="2:36" x14ac:dyDescent="0.2">
      <c r="B40" s="125" t="s">
        <v>122</v>
      </c>
      <c r="C40" s="153">
        <v>2337131</v>
      </c>
      <c r="D40" s="154"/>
      <c r="E40" s="154"/>
      <c r="F40" s="155"/>
      <c r="G40" s="163">
        <f>[1]TU!F23+[1]TU!F28+[1]TU!F33</f>
        <v>2337131</v>
      </c>
      <c r="H40" s="164">
        <f>[1]TU!H23+[1]TU!H28+[1]TU!H33</f>
        <v>0</v>
      </c>
      <c r="I40" s="162"/>
      <c r="J40" s="167">
        <f>[2]TU!J47+[2]TU!J52+[2]TU!J57</f>
        <v>0</v>
      </c>
      <c r="K40" s="167">
        <f>[2]TU!K47+[2]TU!K52+[2]TU!K57</f>
        <v>0</v>
      </c>
      <c r="L40" s="162">
        <f t="shared" si="4"/>
        <v>2337131</v>
      </c>
      <c r="M40" s="162">
        <f t="shared" si="5"/>
        <v>0</v>
      </c>
      <c r="N40" s="162">
        <v>0</v>
      </c>
      <c r="O40" s="162">
        <v>0</v>
      </c>
      <c r="P40" s="162"/>
      <c r="Q40" s="162"/>
      <c r="R40" s="154"/>
      <c r="S40" s="159"/>
      <c r="T40" s="159"/>
      <c r="U40" s="159"/>
      <c r="V40" s="125"/>
      <c r="W40" s="125"/>
      <c r="Y40" s="133"/>
      <c r="Z40" s="134"/>
      <c r="AA40" s="125"/>
      <c r="AB40" s="125"/>
      <c r="AC40" s="125"/>
      <c r="AD40" s="136"/>
      <c r="AF40" s="136">
        <f t="shared" si="6"/>
        <v>0</v>
      </c>
      <c r="AG40" s="136"/>
      <c r="AH40" s="125">
        <v>19</v>
      </c>
      <c r="AI40" s="135"/>
      <c r="AJ40" s="135">
        <v>0</v>
      </c>
    </row>
    <row r="41" spans="2:36" x14ac:dyDescent="0.2">
      <c r="B41" s="125" t="s">
        <v>123</v>
      </c>
      <c r="C41" s="153">
        <v>890113</v>
      </c>
      <c r="D41" s="154"/>
      <c r="E41" s="154"/>
      <c r="F41" s="155"/>
      <c r="G41" s="163">
        <f>[1]UB!F49</f>
        <v>890113</v>
      </c>
      <c r="H41" s="164">
        <f>[1]UB!H49</f>
        <v>49478.57</v>
      </c>
      <c r="I41" s="162"/>
      <c r="J41" s="167">
        <f>[2]UB!J42</f>
        <v>0</v>
      </c>
      <c r="K41" s="167">
        <f>[2]UB!K42</f>
        <v>0</v>
      </c>
      <c r="L41" s="162">
        <f t="shared" si="4"/>
        <v>840634.43</v>
      </c>
      <c r="M41" s="162">
        <f t="shared" si="5"/>
        <v>0</v>
      </c>
      <c r="N41" s="162">
        <v>49478.57</v>
      </c>
      <c r="O41" s="162">
        <v>0</v>
      </c>
      <c r="P41" s="162"/>
      <c r="Q41" s="162"/>
      <c r="R41" s="154"/>
      <c r="S41" s="159"/>
      <c r="T41" s="159"/>
      <c r="U41" s="159"/>
      <c r="V41" s="125"/>
      <c r="W41" s="125"/>
      <c r="Y41" s="133"/>
      <c r="Z41" s="134"/>
      <c r="AA41" s="125"/>
      <c r="AB41" s="125"/>
      <c r="AC41" s="125"/>
      <c r="AD41" s="136"/>
      <c r="AF41" s="136">
        <f t="shared" si="6"/>
        <v>0</v>
      </c>
      <c r="AG41" s="136"/>
      <c r="AH41" s="125">
        <v>20</v>
      </c>
      <c r="AI41" s="135"/>
      <c r="AJ41" s="135">
        <v>0</v>
      </c>
    </row>
    <row r="42" spans="2:36" x14ac:dyDescent="0.2">
      <c r="B42" s="165" t="s">
        <v>127</v>
      </c>
      <c r="C42" s="153">
        <v>726035</v>
      </c>
      <c r="D42" s="154"/>
      <c r="E42" s="162">
        <f>-418037</f>
        <v>-418037</v>
      </c>
      <c r="F42" s="155"/>
      <c r="G42" s="163">
        <f>'[1]Emergency Funds'!G15</f>
        <v>307998</v>
      </c>
      <c r="H42" s="164">
        <f>'[1]Emergency Funds'!H15</f>
        <v>0</v>
      </c>
      <c r="I42" s="162"/>
      <c r="J42" s="167"/>
      <c r="K42" s="167"/>
      <c r="L42" s="162">
        <f t="shared" si="4"/>
        <v>307998</v>
      </c>
      <c r="M42" s="162">
        <f t="shared" si="5"/>
        <v>0</v>
      </c>
      <c r="N42" s="162">
        <v>0</v>
      </c>
      <c r="O42" s="162">
        <v>0</v>
      </c>
      <c r="P42" s="162"/>
      <c r="Q42" s="162"/>
      <c r="R42" s="154"/>
      <c r="S42" s="159"/>
      <c r="T42" s="159"/>
      <c r="U42" s="159"/>
      <c r="V42" s="125"/>
      <c r="W42" s="125"/>
      <c r="Y42" s="133"/>
      <c r="Z42" s="134"/>
      <c r="AA42" s="125"/>
      <c r="AB42" s="125"/>
      <c r="AC42" s="125"/>
      <c r="AD42" s="136"/>
      <c r="AF42" s="136">
        <f t="shared" si="6"/>
        <v>0</v>
      </c>
      <c r="AG42" s="136"/>
      <c r="AH42" s="125">
        <v>21</v>
      </c>
      <c r="AI42" s="135"/>
      <c r="AJ42" s="135"/>
    </row>
    <row r="43" spans="2:36" x14ac:dyDescent="0.2">
      <c r="B43" s="125" t="s">
        <v>132</v>
      </c>
      <c r="C43" s="153"/>
      <c r="D43" s="154"/>
      <c r="E43" s="170">
        <v>335990</v>
      </c>
      <c r="F43" s="155"/>
      <c r="G43" s="163">
        <f>'[1]USM &amp; COI'!G7</f>
        <v>335990</v>
      </c>
      <c r="H43" s="164">
        <f>'[1]USM &amp; COI'!H7</f>
        <v>0</v>
      </c>
      <c r="I43" s="162"/>
      <c r="J43" s="167"/>
      <c r="K43" s="167"/>
      <c r="L43" s="162">
        <f t="shared" si="4"/>
        <v>335990</v>
      </c>
      <c r="M43" s="162">
        <f t="shared" si="5"/>
        <v>0</v>
      </c>
      <c r="N43" s="162">
        <v>0</v>
      </c>
      <c r="O43" s="162">
        <v>0</v>
      </c>
      <c r="P43" s="162"/>
      <c r="Q43" s="162"/>
      <c r="R43" s="154"/>
      <c r="S43" s="159"/>
      <c r="T43" s="159"/>
      <c r="U43" s="159"/>
      <c r="V43" s="125"/>
      <c r="W43" s="125"/>
      <c r="Y43" s="133"/>
      <c r="Z43" s="134"/>
      <c r="AA43" s="125"/>
      <c r="AB43" s="125"/>
      <c r="AC43" s="125"/>
      <c r="AD43" s="136"/>
      <c r="AF43" s="136">
        <f t="shared" si="6"/>
        <v>0</v>
      </c>
      <c r="AG43" s="136"/>
      <c r="AH43" s="125">
        <v>22</v>
      </c>
      <c r="AI43" s="135"/>
      <c r="AJ43" s="135">
        <v>0</v>
      </c>
    </row>
    <row r="44" spans="2:36" x14ac:dyDescent="0.2">
      <c r="B44" s="125" t="s">
        <v>133</v>
      </c>
      <c r="C44" s="153"/>
      <c r="D44" s="154"/>
      <c r="E44" s="170">
        <v>35489</v>
      </c>
      <c r="F44" s="155"/>
      <c r="G44" s="163">
        <f>'[1]USM &amp; COI'!G11</f>
        <v>35489</v>
      </c>
      <c r="H44" s="164">
        <f>'[1]USM &amp; COI'!H11</f>
        <v>0</v>
      </c>
      <c r="I44" s="162"/>
      <c r="J44" s="167"/>
      <c r="K44" s="167"/>
      <c r="L44" s="162">
        <f t="shared" si="4"/>
        <v>35489</v>
      </c>
      <c r="M44" s="162">
        <f t="shared" si="5"/>
        <v>0</v>
      </c>
      <c r="N44" s="162">
        <v>0</v>
      </c>
      <c r="O44" s="162">
        <v>0</v>
      </c>
      <c r="P44" s="162"/>
      <c r="Q44" s="162"/>
      <c r="R44" s="154"/>
      <c r="S44" s="159"/>
      <c r="T44" s="159"/>
      <c r="U44" s="159"/>
      <c r="V44" s="125"/>
      <c r="W44" s="125"/>
      <c r="Y44" s="133"/>
      <c r="Z44" s="134"/>
      <c r="AA44" s="125"/>
      <c r="AB44" s="125"/>
      <c r="AC44" s="125"/>
      <c r="AD44" s="136"/>
      <c r="AF44" s="136">
        <f t="shared" si="6"/>
        <v>0</v>
      </c>
      <c r="AG44" s="136"/>
      <c r="AH44" s="125">
        <v>23</v>
      </c>
      <c r="AI44" s="135"/>
      <c r="AJ44" s="135">
        <v>0</v>
      </c>
    </row>
    <row r="45" spans="2:36" x14ac:dyDescent="0.2">
      <c r="B45" s="125" t="s">
        <v>134</v>
      </c>
      <c r="C45" s="153"/>
      <c r="D45" s="154"/>
      <c r="E45" s="170">
        <v>46558</v>
      </c>
      <c r="F45" s="155"/>
      <c r="G45" s="163">
        <f>'[1]USM &amp; COI'!G15</f>
        <v>46558</v>
      </c>
      <c r="H45" s="164">
        <f>'[1]USM &amp; COI'!H15</f>
        <v>0</v>
      </c>
      <c r="I45" s="162"/>
      <c r="J45" s="167"/>
      <c r="K45" s="167"/>
      <c r="L45" s="162">
        <f t="shared" si="4"/>
        <v>46558</v>
      </c>
      <c r="M45" s="162">
        <f t="shared" si="5"/>
        <v>0</v>
      </c>
      <c r="N45" s="162">
        <v>0</v>
      </c>
      <c r="O45" s="162">
        <v>0</v>
      </c>
      <c r="P45" s="162"/>
      <c r="Q45" s="162"/>
      <c r="R45" s="154"/>
      <c r="S45" s="159"/>
      <c r="T45" s="159"/>
      <c r="U45" s="159"/>
      <c r="V45" s="125"/>
      <c r="W45" s="125"/>
      <c r="Y45" s="133"/>
      <c r="Z45" s="134"/>
      <c r="AA45" s="125"/>
      <c r="AB45" s="125"/>
      <c r="AC45" s="125"/>
      <c r="AD45" s="136"/>
      <c r="AF45" s="136">
        <f t="shared" si="6"/>
        <v>0</v>
      </c>
      <c r="AG45" s="136"/>
      <c r="AH45" s="125">
        <v>24</v>
      </c>
      <c r="AI45" s="135"/>
      <c r="AJ45" s="135">
        <v>0</v>
      </c>
    </row>
    <row r="46" spans="2:36" x14ac:dyDescent="0.2">
      <c r="C46" s="153"/>
      <c r="D46" s="154"/>
      <c r="E46" s="154"/>
      <c r="F46" s="155"/>
      <c r="G46" s="156"/>
      <c r="H46" s="157"/>
      <c r="I46" s="154"/>
      <c r="J46" s="158"/>
      <c r="K46" s="158"/>
      <c r="L46" s="154"/>
      <c r="M46" s="154"/>
      <c r="N46" s="154"/>
      <c r="O46" s="154"/>
      <c r="P46" s="154"/>
      <c r="Q46" s="154"/>
      <c r="R46" s="154"/>
      <c r="S46" s="159"/>
      <c r="T46" s="159"/>
      <c r="U46" s="159"/>
      <c r="V46" s="125"/>
      <c r="W46" s="125"/>
      <c r="Y46" s="133"/>
      <c r="Z46" s="134"/>
      <c r="AA46" s="125"/>
      <c r="AB46" s="125"/>
      <c r="AC46" s="125"/>
      <c r="AD46" s="136"/>
      <c r="AF46" s="136"/>
      <c r="AG46" s="136"/>
      <c r="AH46" s="125">
        <v>25</v>
      </c>
      <c r="AI46" s="135"/>
      <c r="AJ46" s="135"/>
    </row>
    <row r="47" spans="2:36" ht="13.5" thickBot="1" x14ac:dyDescent="0.25">
      <c r="B47" s="168" t="s">
        <v>135</v>
      </c>
      <c r="C47" s="169">
        <f t="shared" ref="C47:Q47" si="7">SUM(C28:C46)</f>
        <v>30000000</v>
      </c>
      <c r="D47" s="169">
        <f t="shared" si="7"/>
        <v>0</v>
      </c>
      <c r="E47" s="169">
        <f t="shared" si="7"/>
        <v>0</v>
      </c>
      <c r="F47" s="169">
        <f t="shared" si="7"/>
        <v>2969537.5</v>
      </c>
      <c r="G47" s="169">
        <f t="shared" si="7"/>
        <v>27030462.5</v>
      </c>
      <c r="H47" s="169">
        <f t="shared" si="7"/>
        <v>6825189.0900000017</v>
      </c>
      <c r="I47" s="169">
        <f t="shared" si="7"/>
        <v>0</v>
      </c>
      <c r="J47" s="169">
        <f t="shared" si="7"/>
        <v>0</v>
      </c>
      <c r="K47" s="169">
        <f t="shared" si="7"/>
        <v>0</v>
      </c>
      <c r="L47" s="169">
        <f t="shared" si="7"/>
        <v>20205273.41</v>
      </c>
      <c r="M47" s="169">
        <f t="shared" si="7"/>
        <v>972125.81000000099</v>
      </c>
      <c r="N47" s="169">
        <f t="shared" si="7"/>
        <v>5853063.2800000012</v>
      </c>
      <c r="O47" s="169">
        <f t="shared" si="7"/>
        <v>0</v>
      </c>
      <c r="P47" s="169">
        <f t="shared" si="7"/>
        <v>0</v>
      </c>
      <c r="Q47" s="169">
        <f t="shared" si="7"/>
        <v>0</v>
      </c>
      <c r="R47" s="153"/>
      <c r="S47" s="159"/>
      <c r="T47" s="159"/>
      <c r="U47" s="159"/>
      <c r="V47" s="125"/>
      <c r="W47" s="125"/>
      <c r="X47" s="168" t="s">
        <v>129</v>
      </c>
      <c r="Y47" s="133">
        <v>22</v>
      </c>
      <c r="Z47" s="134"/>
      <c r="AA47" s="125"/>
      <c r="AB47" s="125"/>
      <c r="AC47" s="125"/>
      <c r="AD47" s="169" t="e">
        <f>SUM(#REF!)</f>
        <v>#REF!</v>
      </c>
      <c r="AE47" s="169" t="e">
        <f>SUM(#REF!)</f>
        <v>#REF!</v>
      </c>
      <c r="AF47" s="169"/>
      <c r="AG47" s="169"/>
      <c r="AH47" s="125">
        <v>26</v>
      </c>
      <c r="AI47" s="135"/>
      <c r="AJ47" s="135">
        <v>2910571.3200000003</v>
      </c>
    </row>
    <row r="48" spans="2:36" ht="13.5" thickTop="1" x14ac:dyDescent="0.2">
      <c r="B48" s="165"/>
      <c r="C48" s="153"/>
      <c r="D48" s="153"/>
      <c r="E48" s="153"/>
      <c r="F48" s="153"/>
      <c r="G48" s="153"/>
      <c r="H48" s="153"/>
      <c r="I48" s="153"/>
      <c r="J48" s="153"/>
      <c r="K48" s="153"/>
      <c r="L48" s="153"/>
      <c r="M48" s="153"/>
      <c r="N48" s="153"/>
      <c r="O48" s="153"/>
      <c r="P48" s="153"/>
      <c r="Q48" s="153"/>
      <c r="R48" s="153"/>
      <c r="S48" s="159"/>
      <c r="T48" s="159"/>
      <c r="U48" s="159"/>
      <c r="V48" s="125"/>
      <c r="W48" s="125"/>
      <c r="X48" s="165"/>
      <c r="Y48" s="133"/>
      <c r="Z48" s="134"/>
      <c r="AA48" s="125"/>
      <c r="AB48" s="125"/>
      <c r="AC48" s="125"/>
      <c r="AD48" s="153"/>
      <c r="AE48" s="153"/>
      <c r="AF48" s="153"/>
      <c r="AG48" s="153"/>
      <c r="AH48" s="125">
        <v>27</v>
      </c>
      <c r="AI48" s="135"/>
      <c r="AJ48" s="135"/>
    </row>
    <row r="49" spans="1:36" x14ac:dyDescent="0.2">
      <c r="A49" s="165" t="s">
        <v>136</v>
      </c>
      <c r="C49" s="153"/>
      <c r="D49" s="154"/>
      <c r="E49" s="154"/>
      <c r="F49" s="162"/>
      <c r="G49" s="163"/>
      <c r="H49" s="164"/>
      <c r="I49" s="163"/>
      <c r="J49" s="163"/>
      <c r="K49" s="163"/>
      <c r="L49" s="162"/>
      <c r="M49" s="162"/>
      <c r="N49" s="162"/>
      <c r="O49" s="162"/>
      <c r="T49" s="165" t="s">
        <v>109</v>
      </c>
      <c r="V49" s="133">
        <v>5</v>
      </c>
      <c r="AH49" s="125">
        <v>28</v>
      </c>
    </row>
    <row r="50" spans="1:36" x14ac:dyDescent="0.2">
      <c r="A50" s="165"/>
      <c r="B50" s="125" t="s">
        <v>110</v>
      </c>
      <c r="C50" s="153">
        <v>5000000</v>
      </c>
      <c r="D50" s="154"/>
      <c r="E50" s="154"/>
      <c r="F50" s="162">
        <f>622650.15+104.49</f>
        <v>622754.64</v>
      </c>
      <c r="G50" s="163">
        <f>[1]UMCP!F164</f>
        <v>4377245.3600000003</v>
      </c>
      <c r="H50" s="164">
        <f>[1]UMCP!H164</f>
        <v>1280379.5999999999</v>
      </c>
      <c r="I50" s="163"/>
      <c r="J50" s="163">
        <f>[1]UMCP!J164</f>
        <v>0</v>
      </c>
      <c r="K50" s="163">
        <f>[1]UMCP!K164</f>
        <v>0</v>
      </c>
      <c r="L50" s="162">
        <f t="shared" ref="L50:L64" si="8">G50-H50-I50-J50-K50</f>
        <v>3096865.7600000007</v>
      </c>
      <c r="M50" s="162">
        <f>H50-N50-O50</f>
        <v>243703.6599999998</v>
      </c>
      <c r="N50" s="162">
        <v>1036675.9400000001</v>
      </c>
      <c r="O50" s="162">
        <v>0</v>
      </c>
      <c r="T50" s="165"/>
      <c r="AF50" s="136">
        <f t="shared" ref="AF50:AF64" si="9">C50+D50+E50-F50-G50</f>
        <v>0</v>
      </c>
      <c r="AH50" s="125">
        <v>29</v>
      </c>
      <c r="AI50" s="136" t="s">
        <v>111</v>
      </c>
      <c r="AJ50" s="125">
        <v>0</v>
      </c>
    </row>
    <row r="51" spans="1:36" x14ac:dyDescent="0.2">
      <c r="A51" s="165"/>
      <c r="B51" s="165" t="s">
        <v>112</v>
      </c>
      <c r="C51" s="153"/>
      <c r="D51" s="154"/>
      <c r="E51" s="154"/>
      <c r="F51" s="162"/>
      <c r="G51" s="163"/>
      <c r="H51" s="164"/>
      <c r="I51" s="163"/>
      <c r="J51" s="163"/>
      <c r="K51" s="163"/>
      <c r="L51" s="162"/>
      <c r="M51" s="162"/>
      <c r="N51" s="162"/>
      <c r="O51" s="162"/>
      <c r="T51" s="165"/>
      <c r="AF51" s="136">
        <f t="shared" si="9"/>
        <v>0</v>
      </c>
      <c r="AH51" s="125">
        <v>30</v>
      </c>
    </row>
    <row r="52" spans="1:36" x14ac:dyDescent="0.2">
      <c r="A52" s="165"/>
      <c r="B52" s="125" t="s">
        <v>113</v>
      </c>
      <c r="C52" s="153">
        <v>7300000</v>
      </c>
      <c r="D52" s="154"/>
      <c r="E52" s="154"/>
      <c r="F52" s="162"/>
      <c r="G52" s="163">
        <f>[1]UMCP!F90</f>
        <v>7300000</v>
      </c>
      <c r="H52" s="164">
        <f>[1]UMCP!H90</f>
        <v>7300000</v>
      </c>
      <c r="I52" s="163"/>
      <c r="J52" s="163">
        <f>[1]UMCP!J90</f>
        <v>0</v>
      </c>
      <c r="K52" s="163">
        <f>[1]UMCP!K90</f>
        <v>0</v>
      </c>
      <c r="L52" s="162">
        <f t="shared" si="8"/>
        <v>0</v>
      </c>
      <c r="M52" s="162">
        <f t="shared" ref="M52:M63" si="10">H52-N52-O52</f>
        <v>0</v>
      </c>
      <c r="N52" s="162">
        <v>3644690.17</v>
      </c>
      <c r="O52" s="162">
        <v>3655309.83</v>
      </c>
      <c r="T52" s="165"/>
      <c r="AF52" s="136">
        <f t="shared" si="9"/>
        <v>0</v>
      </c>
      <c r="AH52" s="125">
        <v>31</v>
      </c>
      <c r="AJ52" s="125">
        <v>7300000</v>
      </c>
    </row>
    <row r="53" spans="1:36" x14ac:dyDescent="0.2">
      <c r="A53" s="165"/>
      <c r="B53" s="125" t="s">
        <v>114</v>
      </c>
      <c r="C53" s="153">
        <v>3797264</v>
      </c>
      <c r="D53" s="154"/>
      <c r="E53" s="154"/>
      <c r="F53" s="54">
        <v>7630.07</v>
      </c>
      <c r="G53" s="163">
        <f>[1]UMB!F45</f>
        <v>3789633.93</v>
      </c>
      <c r="H53" s="164">
        <f>[1]UMB!H45</f>
        <v>1639383.8299999998</v>
      </c>
      <c r="I53" s="163"/>
      <c r="J53" s="163">
        <f>[1]UMB!J45</f>
        <v>0</v>
      </c>
      <c r="K53" s="163">
        <f>[1]UMB!K45</f>
        <v>0</v>
      </c>
      <c r="L53" s="162">
        <f t="shared" si="8"/>
        <v>2150250.1000000006</v>
      </c>
      <c r="M53" s="162">
        <f t="shared" si="10"/>
        <v>666139.5</v>
      </c>
      <c r="N53" s="162">
        <v>938643.05999999982</v>
      </c>
      <c r="O53" s="162">
        <v>34601.269999999997</v>
      </c>
      <c r="T53" s="165"/>
      <c r="AF53" s="136">
        <f t="shared" si="9"/>
        <v>0</v>
      </c>
      <c r="AH53" s="125">
        <v>32</v>
      </c>
      <c r="AJ53" s="125">
        <v>845236.89999999991</v>
      </c>
    </row>
    <row r="54" spans="1:36" x14ac:dyDescent="0.2">
      <c r="A54" s="165"/>
      <c r="B54" s="125" t="s">
        <v>115</v>
      </c>
      <c r="C54" s="153">
        <v>989020</v>
      </c>
      <c r="D54" s="154"/>
      <c r="E54" s="154"/>
      <c r="F54" s="171">
        <v>856.96</v>
      </c>
      <c r="G54" s="163">
        <f>[1]UMES!F61</f>
        <v>988163.04</v>
      </c>
      <c r="H54" s="164">
        <f>[1]UMES!H61</f>
        <v>21886.49</v>
      </c>
      <c r="I54" s="163"/>
      <c r="J54" s="163">
        <f>[1]UMES!J61</f>
        <v>0</v>
      </c>
      <c r="K54" s="163">
        <f>[1]UMES!K61</f>
        <v>0</v>
      </c>
      <c r="L54" s="162">
        <f t="shared" si="8"/>
        <v>966276.55</v>
      </c>
      <c r="M54" s="162">
        <f t="shared" si="10"/>
        <v>0</v>
      </c>
      <c r="N54" s="162">
        <v>21886.49</v>
      </c>
      <c r="O54" s="162">
        <v>0</v>
      </c>
      <c r="T54" s="165"/>
      <c r="AF54" s="136">
        <f t="shared" si="9"/>
        <v>0</v>
      </c>
      <c r="AH54" s="125">
        <v>33</v>
      </c>
      <c r="AJ54" s="125">
        <v>21886.49</v>
      </c>
    </row>
    <row r="55" spans="1:36" x14ac:dyDescent="0.2">
      <c r="A55" s="165"/>
      <c r="B55" s="125" t="s">
        <v>116</v>
      </c>
      <c r="C55" s="153">
        <v>1779344</v>
      </c>
      <c r="D55" s="154"/>
      <c r="E55" s="154"/>
      <c r="F55" s="171">
        <f>15518.52+5022.6</f>
        <v>20541.120000000003</v>
      </c>
      <c r="G55" s="163">
        <f>[1]UMBC!F36</f>
        <v>1758802.88</v>
      </c>
      <c r="H55" s="164">
        <f>[1]UMBC!H36</f>
        <v>266790</v>
      </c>
      <c r="I55" s="163"/>
      <c r="J55" s="163">
        <f>[1]UMBC!J36</f>
        <v>0</v>
      </c>
      <c r="K55" s="163">
        <f>[1]UMBC!K36</f>
        <v>0</v>
      </c>
      <c r="L55" s="162">
        <f t="shared" si="8"/>
        <v>1492012.88</v>
      </c>
      <c r="M55" s="162">
        <f t="shared" si="10"/>
        <v>0</v>
      </c>
      <c r="N55" s="162">
        <v>266790</v>
      </c>
      <c r="O55" s="162">
        <v>0</v>
      </c>
      <c r="T55" s="165"/>
      <c r="AF55" s="136">
        <f t="shared" si="9"/>
        <v>0</v>
      </c>
      <c r="AH55" s="125">
        <v>34</v>
      </c>
      <c r="AJ55" s="125">
        <v>197182</v>
      </c>
    </row>
    <row r="56" spans="1:36" x14ac:dyDescent="0.2">
      <c r="A56" s="165"/>
      <c r="B56" s="125" t="s">
        <v>117</v>
      </c>
      <c r="C56" s="153">
        <v>317000</v>
      </c>
      <c r="D56" s="154"/>
      <c r="E56" s="154"/>
      <c r="F56" s="171"/>
      <c r="G56" s="163">
        <f>[1]UMCES!F20</f>
        <v>317000</v>
      </c>
      <c r="H56" s="164">
        <f>[1]UMCES!H20</f>
        <v>216168.12</v>
      </c>
      <c r="I56" s="163"/>
      <c r="J56" s="163">
        <f>[1]UMCES!J20</f>
        <v>0</v>
      </c>
      <c r="K56" s="163">
        <f>[1]UMCES!K20</f>
        <v>0</v>
      </c>
      <c r="L56" s="162">
        <f t="shared" si="8"/>
        <v>100831.88</v>
      </c>
      <c r="M56" s="162">
        <f t="shared" si="10"/>
        <v>0</v>
      </c>
      <c r="N56" s="162">
        <v>216168.12</v>
      </c>
      <c r="O56" s="162">
        <v>0</v>
      </c>
      <c r="T56" s="165"/>
      <c r="AF56" s="136">
        <f t="shared" si="9"/>
        <v>0</v>
      </c>
      <c r="AH56" s="125">
        <v>35</v>
      </c>
      <c r="AJ56" s="125">
        <v>216168.12</v>
      </c>
    </row>
    <row r="57" spans="1:36" x14ac:dyDescent="0.2">
      <c r="B57" s="125" t="s">
        <v>118</v>
      </c>
      <c r="C57" s="153">
        <v>1508994</v>
      </c>
      <c r="D57" s="154"/>
      <c r="E57" s="154"/>
      <c r="F57" s="171"/>
      <c r="G57" s="172">
        <f>[1]BSU!F36</f>
        <v>1508994</v>
      </c>
      <c r="H57" s="173">
        <f>[1]BSU!H36</f>
        <v>1508994</v>
      </c>
      <c r="I57" s="170"/>
      <c r="J57" s="171">
        <f>[1]BSU!J36</f>
        <v>0</v>
      </c>
      <c r="K57" s="171">
        <f>[1]BSU!K36</f>
        <v>0</v>
      </c>
      <c r="L57" s="162">
        <f t="shared" si="8"/>
        <v>0</v>
      </c>
      <c r="M57" s="162">
        <f t="shared" si="10"/>
        <v>8514.6599999999162</v>
      </c>
      <c r="N57" s="162">
        <v>62500</v>
      </c>
      <c r="O57" s="162">
        <v>1437979.34</v>
      </c>
      <c r="AA57" s="136"/>
      <c r="AB57" s="136"/>
      <c r="AC57" s="136"/>
      <c r="AD57" s="136"/>
      <c r="AF57" s="136">
        <f t="shared" si="9"/>
        <v>0</v>
      </c>
      <c r="AH57" s="125">
        <v>36</v>
      </c>
      <c r="AJ57" s="125">
        <v>1500479.34</v>
      </c>
    </row>
    <row r="58" spans="1:36" x14ac:dyDescent="0.2">
      <c r="B58" s="125" t="s">
        <v>119</v>
      </c>
      <c r="C58" s="153">
        <v>429133</v>
      </c>
      <c r="D58" s="154"/>
      <c r="E58" s="154"/>
      <c r="F58" s="171"/>
      <c r="G58" s="172">
        <f>[1]CSU!F32</f>
        <v>429133</v>
      </c>
      <c r="H58" s="173">
        <f>[1]CSU!H32</f>
        <v>405926.88</v>
      </c>
      <c r="I58" s="170"/>
      <c r="J58" s="171">
        <f>[1]CSU!J32</f>
        <v>0</v>
      </c>
      <c r="K58" s="171">
        <f>[1]CSU!K32</f>
        <v>0</v>
      </c>
      <c r="L58" s="162">
        <f t="shared" si="8"/>
        <v>23206.119999999995</v>
      </c>
      <c r="M58" s="162">
        <f t="shared" si="10"/>
        <v>0</v>
      </c>
      <c r="N58" s="162">
        <v>405926.88</v>
      </c>
      <c r="O58" s="162">
        <v>0</v>
      </c>
      <c r="AA58" s="136"/>
      <c r="AB58" s="136"/>
      <c r="AC58" s="136"/>
      <c r="AD58" s="136"/>
      <c r="AF58" s="136">
        <f t="shared" si="9"/>
        <v>0</v>
      </c>
      <c r="AH58" s="125">
        <v>37</v>
      </c>
      <c r="AJ58" s="125">
        <v>405926.88</v>
      </c>
    </row>
    <row r="59" spans="1:36" x14ac:dyDescent="0.2">
      <c r="B59" s="125" t="s">
        <v>120</v>
      </c>
      <c r="C59" s="153">
        <v>645000</v>
      </c>
      <c r="D59" s="154"/>
      <c r="E59" s="154"/>
      <c r="F59" s="171">
        <f>1700+19385</f>
        <v>21085</v>
      </c>
      <c r="G59" s="172">
        <f>[1]FSU!F58</f>
        <v>623915</v>
      </c>
      <c r="H59" s="173">
        <f>[1]FSU!H58</f>
        <v>623399.90000000014</v>
      </c>
      <c r="I59" s="170"/>
      <c r="J59" s="171">
        <f>[1]FSU!J58</f>
        <v>0</v>
      </c>
      <c r="K59" s="171">
        <f>[1]FSU!K58</f>
        <v>0</v>
      </c>
      <c r="L59" s="162">
        <f t="shared" si="8"/>
        <v>515.0999999998603</v>
      </c>
      <c r="M59" s="162">
        <f t="shared" si="10"/>
        <v>19911.019999999975</v>
      </c>
      <c r="N59" s="162">
        <v>551667.05000000016</v>
      </c>
      <c r="O59" s="162">
        <v>51821.83</v>
      </c>
      <c r="AA59" s="136"/>
      <c r="AB59" s="136"/>
      <c r="AC59" s="136"/>
      <c r="AD59" s="136"/>
      <c r="AF59" s="136">
        <f t="shared" si="9"/>
        <v>0</v>
      </c>
      <c r="AH59" s="125">
        <v>38</v>
      </c>
      <c r="AJ59" s="125">
        <v>583023.04</v>
      </c>
    </row>
    <row r="60" spans="1:36" x14ac:dyDescent="0.2">
      <c r="B60" s="125" t="s">
        <v>137</v>
      </c>
      <c r="C60" s="153">
        <v>1660185</v>
      </c>
      <c r="D60" s="154"/>
      <c r="E60" s="154"/>
      <c r="F60" s="171">
        <f>137991.19+5662</f>
        <v>143653.19</v>
      </c>
      <c r="G60" s="172">
        <f>[1]SU!F38</f>
        <v>1516531.81</v>
      </c>
      <c r="H60" s="173">
        <f>[1]SU!H38</f>
        <v>526290.68999999994</v>
      </c>
      <c r="I60" s="170"/>
      <c r="J60" s="171">
        <f>[1]SU!J38</f>
        <v>0</v>
      </c>
      <c r="K60" s="171">
        <f>[1]SU!K38</f>
        <v>0</v>
      </c>
      <c r="L60" s="162">
        <f t="shared" si="8"/>
        <v>990241.12000000011</v>
      </c>
      <c r="M60" s="162">
        <f t="shared" si="10"/>
        <v>170961.99999999997</v>
      </c>
      <c r="N60" s="162">
        <v>267411.58999999997</v>
      </c>
      <c r="O60" s="162">
        <v>87917.1</v>
      </c>
      <c r="AA60" s="136"/>
      <c r="AB60" s="136"/>
      <c r="AC60" s="136"/>
      <c r="AD60" s="136"/>
      <c r="AF60" s="136">
        <f t="shared" si="9"/>
        <v>0</v>
      </c>
      <c r="AH60" s="125">
        <v>39</v>
      </c>
      <c r="AJ60" s="125">
        <v>338665.69</v>
      </c>
    </row>
    <row r="61" spans="1:36" x14ac:dyDescent="0.2">
      <c r="B61" s="125" t="s">
        <v>122</v>
      </c>
      <c r="C61" s="153">
        <v>1776220</v>
      </c>
      <c r="D61" s="154"/>
      <c r="E61" s="154"/>
      <c r="F61" s="171">
        <f>30764.52+7301.55</f>
        <v>38066.07</v>
      </c>
      <c r="G61" s="163">
        <f>[1]TU!F40+[1]TU!F45+[1]TU!F67</f>
        <v>1738153.9300000002</v>
      </c>
      <c r="H61" s="164">
        <f>[1]TU!H40+[1]TU!H45+[1]TU!H67</f>
        <v>458836.75999999995</v>
      </c>
      <c r="I61" s="162"/>
      <c r="J61" s="167">
        <f>[1]TU!J40+[1]TU!J45+[1]TU!J67</f>
        <v>0</v>
      </c>
      <c r="K61" s="167">
        <f>[1]TU!K40+[1]TU!K45+[1]TU!K67</f>
        <v>0</v>
      </c>
      <c r="L61" s="162">
        <f t="shared" si="8"/>
        <v>1279317.1700000002</v>
      </c>
      <c r="M61" s="162">
        <f t="shared" si="10"/>
        <v>178280.93000000002</v>
      </c>
      <c r="N61" s="162">
        <v>61603.979999999952</v>
      </c>
      <c r="O61" s="162">
        <v>218951.85</v>
      </c>
      <c r="AA61" s="136"/>
      <c r="AB61" s="136"/>
      <c r="AC61" s="136"/>
      <c r="AD61" s="136"/>
      <c r="AF61" s="136">
        <f t="shared" si="9"/>
        <v>0</v>
      </c>
      <c r="AH61" s="125">
        <v>40</v>
      </c>
      <c r="AJ61" s="125">
        <v>273254.27999999997</v>
      </c>
    </row>
    <row r="62" spans="1:36" x14ac:dyDescent="0.2">
      <c r="B62" s="125" t="s">
        <v>123</v>
      </c>
      <c r="C62" s="153">
        <v>676486</v>
      </c>
      <c r="D62" s="154"/>
      <c r="E62" s="154"/>
      <c r="F62" s="174">
        <v>42465.599999999999</v>
      </c>
      <c r="G62" s="163">
        <f>[1]UB!F58</f>
        <v>634020.4</v>
      </c>
      <c r="H62" s="164">
        <f>[1]UB!H58</f>
        <v>5661.55</v>
      </c>
      <c r="I62" s="162"/>
      <c r="J62" s="167">
        <f>[1]UB!J58</f>
        <v>0</v>
      </c>
      <c r="K62" s="167">
        <f>[1]UB!K58</f>
        <v>0</v>
      </c>
      <c r="L62" s="162">
        <f t="shared" si="8"/>
        <v>628358.85</v>
      </c>
      <c r="M62" s="162">
        <f t="shared" si="10"/>
        <v>0</v>
      </c>
      <c r="N62" s="162">
        <v>5661.55</v>
      </c>
      <c r="O62" s="162">
        <v>0</v>
      </c>
      <c r="AA62" s="136"/>
      <c r="AB62" s="136"/>
      <c r="AC62" s="136"/>
      <c r="AD62" s="136"/>
      <c r="AF62" s="136">
        <f t="shared" si="9"/>
        <v>0</v>
      </c>
      <c r="AH62" s="125">
        <v>41</v>
      </c>
      <c r="AJ62" s="125">
        <v>0</v>
      </c>
    </row>
    <row r="63" spans="1:36" x14ac:dyDescent="0.2">
      <c r="B63" s="165" t="s">
        <v>127</v>
      </c>
      <c r="C63" s="153">
        <v>4121354</v>
      </c>
      <c r="D63" s="154"/>
      <c r="E63" s="162">
        <f>63620.75-700000</f>
        <v>-636379.25</v>
      </c>
      <c r="F63" s="171"/>
      <c r="G63" s="163">
        <f>'[1]Emergency Funds'!G22</f>
        <v>3484974.75</v>
      </c>
      <c r="H63" s="164">
        <f>'[1]Emergency Funds'!H22</f>
        <v>0</v>
      </c>
      <c r="I63" s="162"/>
      <c r="J63" s="167"/>
      <c r="K63" s="167"/>
      <c r="L63" s="162">
        <f t="shared" si="8"/>
        <v>3484974.75</v>
      </c>
      <c r="M63" s="162">
        <f t="shared" si="10"/>
        <v>0</v>
      </c>
      <c r="N63" s="162">
        <v>0</v>
      </c>
      <c r="O63" s="162">
        <v>0</v>
      </c>
      <c r="AA63" s="136"/>
      <c r="AB63" s="136"/>
      <c r="AC63" s="136"/>
      <c r="AD63" s="136"/>
      <c r="AF63" s="136">
        <f t="shared" si="9"/>
        <v>0</v>
      </c>
      <c r="AH63" s="125">
        <v>42</v>
      </c>
    </row>
    <row r="64" spans="1:36" x14ac:dyDescent="0.2">
      <c r="B64" s="125" t="s">
        <v>155</v>
      </c>
      <c r="C64" s="153"/>
      <c r="D64" s="154"/>
      <c r="E64" s="162">
        <v>700000</v>
      </c>
      <c r="F64" s="171"/>
      <c r="G64" s="163">
        <f>[1]UMES!F36</f>
        <v>700000</v>
      </c>
      <c r="H64" s="164">
        <f>[1]UMES!H36</f>
        <v>0</v>
      </c>
      <c r="I64" s="162"/>
      <c r="J64" s="167">
        <f>[1]UMES!J36</f>
        <v>0</v>
      </c>
      <c r="K64" s="167">
        <f>[1]UMES!K36</f>
        <v>0</v>
      </c>
      <c r="L64" s="162">
        <f t="shared" si="8"/>
        <v>700000</v>
      </c>
      <c r="M64" s="162">
        <f>H64-N64-O64</f>
        <v>0</v>
      </c>
      <c r="N64" s="162">
        <v>0</v>
      </c>
      <c r="O64" s="162">
        <v>0</v>
      </c>
      <c r="AA64" s="136"/>
      <c r="AB64" s="136"/>
      <c r="AC64" s="136"/>
      <c r="AD64" s="136"/>
      <c r="AF64" s="136">
        <f t="shared" si="9"/>
        <v>0</v>
      </c>
    </row>
    <row r="65" spans="1:36" x14ac:dyDescent="0.2">
      <c r="B65" s="165"/>
      <c r="C65" s="153"/>
      <c r="D65" s="154"/>
      <c r="E65" s="154"/>
      <c r="F65" s="155"/>
      <c r="G65" s="156"/>
      <c r="H65" s="157"/>
      <c r="I65" s="154"/>
      <c r="J65" s="158"/>
      <c r="K65" s="158"/>
      <c r="L65" s="154"/>
      <c r="M65" s="154"/>
      <c r="N65" s="154"/>
      <c r="O65" s="154"/>
      <c r="AA65" s="136"/>
      <c r="AB65" s="136"/>
      <c r="AC65" s="136"/>
      <c r="AD65" s="136"/>
      <c r="AH65" s="125">
        <v>43</v>
      </c>
    </row>
    <row r="66" spans="1:36" ht="13.5" thickBot="1" x14ac:dyDescent="0.25">
      <c r="B66" s="168" t="s">
        <v>138</v>
      </c>
      <c r="C66" s="169">
        <f t="shared" ref="C66:H66" si="11">SUM(C50:C65)</f>
        <v>30000000</v>
      </c>
      <c r="D66" s="169">
        <f t="shared" si="11"/>
        <v>0</v>
      </c>
      <c r="E66" s="169">
        <f t="shared" si="11"/>
        <v>63620.75</v>
      </c>
      <c r="F66" s="169">
        <f t="shared" si="11"/>
        <v>897052.64999999991</v>
      </c>
      <c r="G66" s="169">
        <f t="shared" si="11"/>
        <v>29166568.099999994</v>
      </c>
      <c r="H66" s="169">
        <f t="shared" si="11"/>
        <v>14253717.82</v>
      </c>
      <c r="I66" s="169">
        <f>SUM(I50:I63)</f>
        <v>0</v>
      </c>
      <c r="J66" s="169">
        <f t="shared" ref="J66:O66" si="12">SUM(J50:J65)</f>
        <v>0</v>
      </c>
      <c r="K66" s="169">
        <f t="shared" si="12"/>
        <v>0</v>
      </c>
      <c r="L66" s="169">
        <f t="shared" si="12"/>
        <v>14912850.280000001</v>
      </c>
      <c r="M66" s="169">
        <f t="shared" si="12"/>
        <v>1287511.7699999996</v>
      </c>
      <c r="N66" s="169">
        <f t="shared" si="12"/>
        <v>7479624.8299999991</v>
      </c>
      <c r="O66" s="169">
        <f t="shared" si="12"/>
        <v>5486581.2199999997</v>
      </c>
      <c r="U66" s="168" t="s">
        <v>129</v>
      </c>
      <c r="V66" s="133">
        <v>22</v>
      </c>
      <c r="AA66" s="169" t="e">
        <f>SUM(#REF!)</f>
        <v>#REF!</v>
      </c>
      <c r="AB66" s="169" t="e">
        <f>SUM(#REF!)</f>
        <v>#REF!</v>
      </c>
      <c r="AC66" s="169" t="e">
        <f>SUM(#REF!)</f>
        <v>#REF!</v>
      </c>
      <c r="AD66" s="169" t="e">
        <f>SUM(#REF!)</f>
        <v>#REF!</v>
      </c>
      <c r="AF66" s="136">
        <f>C66+D66+E66-F66-G66</f>
        <v>0</v>
      </c>
      <c r="AH66" s="125">
        <v>44</v>
      </c>
      <c r="AJ66" s="125">
        <v>11681822.739999998</v>
      </c>
    </row>
    <row r="67" spans="1:36" ht="13.5" thickTop="1" x14ac:dyDescent="0.2">
      <c r="C67" s="153"/>
      <c r="D67" s="154"/>
      <c r="E67" s="154"/>
      <c r="F67" s="155"/>
      <c r="G67" s="156"/>
      <c r="H67" s="157"/>
      <c r="I67" s="154"/>
      <c r="J67" s="158"/>
      <c r="K67" s="158"/>
      <c r="L67" s="154"/>
      <c r="M67" s="154"/>
      <c r="N67" s="154"/>
      <c r="O67" s="154"/>
      <c r="AA67" s="136"/>
      <c r="AB67" s="136"/>
      <c r="AC67" s="136"/>
      <c r="AD67" s="136"/>
      <c r="AH67" s="125">
        <v>45</v>
      </c>
    </row>
    <row r="68" spans="1:36" x14ac:dyDescent="0.2">
      <c r="A68" s="165" t="s">
        <v>139</v>
      </c>
      <c r="C68" s="153"/>
      <c r="D68" s="154"/>
      <c r="E68" s="154"/>
      <c r="F68" s="155"/>
      <c r="G68" s="156"/>
      <c r="H68" s="157"/>
      <c r="I68" s="154"/>
      <c r="J68" s="158"/>
      <c r="K68" s="158"/>
      <c r="L68" s="154"/>
      <c r="M68" s="154"/>
      <c r="N68" s="154"/>
      <c r="O68" s="154"/>
      <c r="AA68" s="136"/>
      <c r="AB68" s="136"/>
      <c r="AC68" s="136"/>
      <c r="AD68" s="136"/>
      <c r="AH68" s="125">
        <v>46</v>
      </c>
    </row>
    <row r="69" spans="1:36" x14ac:dyDescent="0.2">
      <c r="A69" s="165"/>
      <c r="B69" s="125" t="s">
        <v>140</v>
      </c>
      <c r="C69" s="153">
        <v>7760000</v>
      </c>
      <c r="D69" s="154"/>
      <c r="E69" s="154"/>
      <c r="F69" s="167">
        <f>7760000</f>
        <v>7760000</v>
      </c>
      <c r="G69" s="163">
        <f>[1]UMCP!F196</f>
        <v>0</v>
      </c>
      <c r="H69" s="164">
        <f>[1]UMCP!H196</f>
        <v>0</v>
      </c>
      <c r="I69" s="162"/>
      <c r="J69" s="167">
        <f>[1]UMCP!J196</f>
        <v>0</v>
      </c>
      <c r="K69" s="167">
        <f>[1]UMCP!K196</f>
        <v>0</v>
      </c>
      <c r="L69" s="162">
        <f>G69-H69-I69-J69-K69</f>
        <v>0</v>
      </c>
      <c r="M69" s="162">
        <f>H69-N69-O69</f>
        <v>0</v>
      </c>
      <c r="N69" s="162">
        <v>0</v>
      </c>
      <c r="O69" s="162">
        <v>0</v>
      </c>
      <c r="AA69" s="136"/>
      <c r="AB69" s="136"/>
      <c r="AC69" s="136"/>
      <c r="AD69" s="136"/>
      <c r="AF69" s="136">
        <f>C69+D69+E69-F69-G69</f>
        <v>0</v>
      </c>
      <c r="AH69" s="125">
        <v>47</v>
      </c>
      <c r="AI69" s="125" t="s">
        <v>111</v>
      </c>
      <c r="AJ69" s="125">
        <v>0</v>
      </c>
    </row>
    <row r="70" spans="1:36" x14ac:dyDescent="0.2">
      <c r="A70" s="165"/>
      <c r="B70" s="125" t="s">
        <v>141</v>
      </c>
      <c r="C70" s="153">
        <v>23550000</v>
      </c>
      <c r="D70" s="154"/>
      <c r="E70" s="154"/>
      <c r="F70" s="167">
        <v>23550000</v>
      </c>
      <c r="G70" s="163">
        <f>[1]UMCP!F201</f>
        <v>0</v>
      </c>
      <c r="H70" s="164">
        <f>[1]UMCP!H201</f>
        <v>0</v>
      </c>
      <c r="I70" s="162"/>
      <c r="J70" s="167">
        <f>[1]UMCP!J201</f>
        <v>0</v>
      </c>
      <c r="K70" s="167">
        <f>[1]UMCP!K201</f>
        <v>0</v>
      </c>
      <c r="L70" s="162">
        <f>G70-H70-I70-J70-K70</f>
        <v>0</v>
      </c>
      <c r="M70" s="162">
        <f>H70-N70-O70</f>
        <v>0</v>
      </c>
      <c r="N70" s="162">
        <v>0</v>
      </c>
      <c r="O70" s="162">
        <v>0</v>
      </c>
      <c r="AA70" s="136"/>
      <c r="AB70" s="136"/>
      <c r="AC70" s="136"/>
      <c r="AD70" s="136"/>
      <c r="AF70" s="136">
        <f>C70+D70+E70-F70-G70</f>
        <v>0</v>
      </c>
      <c r="AH70" s="125">
        <v>48</v>
      </c>
      <c r="AI70" s="125" t="s">
        <v>111</v>
      </c>
      <c r="AJ70" s="125">
        <v>0</v>
      </c>
    </row>
    <row r="71" spans="1:36" x14ac:dyDescent="0.2">
      <c r="A71" s="165"/>
      <c r="B71" s="125" t="s">
        <v>142</v>
      </c>
      <c r="C71" s="153">
        <v>3360000</v>
      </c>
      <c r="D71" s="154">
        <v>-377822.1</v>
      </c>
      <c r="E71" s="154"/>
      <c r="F71" s="54">
        <v>2982177.9</v>
      </c>
      <c r="G71" s="163">
        <f>[1]UMCP!F209</f>
        <v>0</v>
      </c>
      <c r="H71" s="164">
        <f>[1]UMCP!H209</f>
        <v>0</v>
      </c>
      <c r="I71" s="162"/>
      <c r="J71" s="167">
        <f>[1]UMCP!J209</f>
        <v>0</v>
      </c>
      <c r="K71" s="167">
        <f>[1]UMCP!K209</f>
        <v>0</v>
      </c>
      <c r="L71" s="162">
        <f>G71-H71-I71-J71-K71</f>
        <v>0</v>
      </c>
      <c r="M71" s="162">
        <f>H71-N71-O71</f>
        <v>0</v>
      </c>
      <c r="N71" s="162">
        <v>0</v>
      </c>
      <c r="O71" s="162">
        <v>0</v>
      </c>
      <c r="AA71" s="136"/>
      <c r="AB71" s="136"/>
      <c r="AC71" s="136"/>
      <c r="AD71" s="136"/>
      <c r="AF71" s="136">
        <f>C71+D71+E71-F71-G71</f>
        <v>0</v>
      </c>
      <c r="AH71" s="125">
        <v>49</v>
      </c>
      <c r="AI71" s="125" t="s">
        <v>111</v>
      </c>
      <c r="AJ71" s="125">
        <v>0</v>
      </c>
    </row>
    <row r="72" spans="1:36" x14ac:dyDescent="0.2">
      <c r="B72" s="125" t="s">
        <v>114</v>
      </c>
      <c r="C72" s="153">
        <v>10268103</v>
      </c>
      <c r="D72" s="154"/>
      <c r="E72" s="154"/>
      <c r="F72" s="54">
        <f>3074614.24+2436804.38+487.26</f>
        <v>5511905.8799999999</v>
      </c>
      <c r="G72" s="163">
        <f>[1]UMB!F98</f>
        <v>4756197.12</v>
      </c>
      <c r="H72" s="164">
        <f>[1]UMB!H98</f>
        <v>2253783.9700000002</v>
      </c>
      <c r="I72" s="162"/>
      <c r="J72" s="167">
        <f>[1]UMB!J98</f>
        <v>0</v>
      </c>
      <c r="K72" s="167">
        <f>[1]UMB!K98</f>
        <v>0</v>
      </c>
      <c r="L72" s="162">
        <f>G72-H72-I72-J72-K72</f>
        <v>2502413.15</v>
      </c>
      <c r="M72" s="162">
        <f>H72-N72-O72</f>
        <v>127370.02000000002</v>
      </c>
      <c r="N72" s="162">
        <v>561372.7200000002</v>
      </c>
      <c r="O72" s="162">
        <v>1565041.23</v>
      </c>
      <c r="AA72" s="136"/>
      <c r="AB72" s="136"/>
      <c r="AC72" s="136"/>
      <c r="AD72" s="136"/>
      <c r="AF72" s="136">
        <f>C72+D72+E72-F72-G72</f>
        <v>0</v>
      </c>
      <c r="AH72" s="125">
        <v>50</v>
      </c>
      <c r="AI72" s="125" t="s">
        <v>111</v>
      </c>
      <c r="AJ72" s="125">
        <v>2070668.07</v>
      </c>
    </row>
    <row r="73" spans="1:36" x14ac:dyDescent="0.2">
      <c r="B73" s="125" t="s">
        <v>143</v>
      </c>
      <c r="C73" s="153">
        <v>3230000</v>
      </c>
      <c r="D73" s="162">
        <f>-1000000-2230000</f>
        <v>-3230000</v>
      </c>
      <c r="E73" s="154"/>
      <c r="F73" s="128"/>
      <c r="G73" s="163">
        <f>'[1]USM &amp; COI'!G78</f>
        <v>0</v>
      </c>
      <c r="H73" s="164">
        <f>'[1]USM &amp; COI'!H78</f>
        <v>0</v>
      </c>
      <c r="I73" s="162"/>
      <c r="J73" s="167">
        <f>'[1]USM &amp; COI'!J78</f>
        <v>0</v>
      </c>
      <c r="K73" s="167">
        <f>'[1]USM &amp; COI'!K78</f>
        <v>0</v>
      </c>
      <c r="L73" s="162">
        <f>G73-H73-I73-J73-K73</f>
        <v>0</v>
      </c>
      <c r="M73" s="162">
        <f>H73-N73-O73</f>
        <v>0</v>
      </c>
      <c r="N73" s="162">
        <v>0</v>
      </c>
      <c r="O73" s="162">
        <v>0</v>
      </c>
      <c r="AA73" s="136"/>
      <c r="AB73" s="136"/>
      <c r="AC73" s="136"/>
      <c r="AD73" s="136"/>
      <c r="AF73" s="136">
        <f>C73+D73+E73-F73-G73</f>
        <v>0</v>
      </c>
      <c r="AH73" s="125">
        <v>51</v>
      </c>
      <c r="AJ73" s="125">
        <v>0</v>
      </c>
    </row>
    <row r="74" spans="1:36" x14ac:dyDescent="0.2">
      <c r="C74" s="153"/>
      <c r="D74" s="154"/>
      <c r="E74" s="154"/>
      <c r="F74" s="155"/>
      <c r="G74" s="156"/>
      <c r="H74" s="157"/>
      <c r="I74" s="154"/>
      <c r="J74" s="158"/>
      <c r="K74" s="158"/>
      <c r="L74" s="154"/>
      <c r="M74" s="154"/>
      <c r="N74" s="154"/>
      <c r="O74" s="154"/>
      <c r="AA74" s="136"/>
      <c r="AB74" s="136"/>
      <c r="AC74" s="136"/>
      <c r="AD74" s="136"/>
      <c r="AH74" s="125">
        <v>52</v>
      </c>
    </row>
    <row r="75" spans="1:36" ht="13.5" thickBot="1" x14ac:dyDescent="0.25">
      <c r="B75" s="168" t="s">
        <v>144</v>
      </c>
      <c r="C75" s="169">
        <f>SUM(C69:C74)</f>
        <v>48168103</v>
      </c>
      <c r="D75" s="169">
        <f t="shared" ref="D75:O75" si="13">SUM(D69:D74)</f>
        <v>-3607822.1</v>
      </c>
      <c r="E75" s="169">
        <f t="shared" si="13"/>
        <v>0</v>
      </c>
      <c r="F75" s="169">
        <f t="shared" si="13"/>
        <v>39804083.780000001</v>
      </c>
      <c r="G75" s="169">
        <f t="shared" si="13"/>
        <v>4756197.12</v>
      </c>
      <c r="H75" s="169">
        <f t="shared" si="13"/>
        <v>2253783.9700000002</v>
      </c>
      <c r="I75" s="169">
        <f t="shared" si="13"/>
        <v>0</v>
      </c>
      <c r="J75" s="169">
        <f t="shared" si="13"/>
        <v>0</v>
      </c>
      <c r="K75" s="169">
        <f t="shared" si="13"/>
        <v>0</v>
      </c>
      <c r="L75" s="169">
        <f t="shared" si="13"/>
        <v>2502413.15</v>
      </c>
      <c r="M75" s="169">
        <f t="shared" si="13"/>
        <v>127370.02000000002</v>
      </c>
      <c r="N75" s="169">
        <f t="shared" si="13"/>
        <v>561372.7200000002</v>
      </c>
      <c r="O75" s="169">
        <f t="shared" si="13"/>
        <v>1565041.23</v>
      </c>
      <c r="U75" s="168" t="s">
        <v>129</v>
      </c>
      <c r="V75" s="133">
        <v>22</v>
      </c>
      <c r="AA75" s="169" t="e">
        <f>SUM(#REF!)</f>
        <v>#REF!</v>
      </c>
      <c r="AB75" s="169" t="e">
        <f>SUM(#REF!)</f>
        <v>#REF!</v>
      </c>
      <c r="AC75" s="169" t="e">
        <f>SUM(#REF!)</f>
        <v>#REF!</v>
      </c>
      <c r="AD75" s="169" t="e">
        <f>SUM(#REF!)</f>
        <v>#REF!</v>
      </c>
      <c r="AF75" s="136">
        <f>C75+D75+E75-F75-G75</f>
        <v>0</v>
      </c>
      <c r="AH75" s="125">
        <v>53</v>
      </c>
      <c r="AJ75" s="125">
        <v>2070668.07</v>
      </c>
    </row>
    <row r="76" spans="1:36" ht="13.5" thickTop="1" x14ac:dyDescent="0.2">
      <c r="C76" s="153"/>
      <c r="D76" s="154"/>
      <c r="E76" s="154"/>
      <c r="F76" s="155"/>
      <c r="G76" s="156"/>
      <c r="H76" s="157"/>
      <c r="I76" s="154"/>
      <c r="J76" s="158"/>
      <c r="K76" s="158"/>
      <c r="L76" s="154"/>
      <c r="M76" s="154"/>
      <c r="N76" s="154"/>
      <c r="O76" s="154"/>
      <c r="AA76" s="136"/>
      <c r="AB76" s="136"/>
      <c r="AC76" s="136"/>
      <c r="AD76" s="136"/>
      <c r="AH76" s="125">
        <v>54</v>
      </c>
    </row>
    <row r="77" spans="1:36" x14ac:dyDescent="0.2">
      <c r="A77" s="165" t="s">
        <v>145</v>
      </c>
      <c r="C77" s="153"/>
      <c r="D77" s="154"/>
      <c r="E77" s="154"/>
      <c r="F77" s="128"/>
      <c r="G77" s="163"/>
      <c r="H77" s="164"/>
      <c r="I77" s="163"/>
      <c r="J77" s="163"/>
      <c r="K77" s="163"/>
      <c r="L77" s="162"/>
      <c r="M77" s="162"/>
      <c r="N77" s="162"/>
      <c r="O77" s="162"/>
      <c r="T77" s="165" t="s">
        <v>109</v>
      </c>
      <c r="V77" s="133">
        <v>5</v>
      </c>
      <c r="AH77" s="125">
        <v>55</v>
      </c>
    </row>
    <row r="78" spans="1:36" x14ac:dyDescent="0.2">
      <c r="B78" s="125" t="s">
        <v>146</v>
      </c>
      <c r="C78" s="153">
        <v>5000000</v>
      </c>
      <c r="D78" s="154"/>
      <c r="E78" s="154"/>
      <c r="F78" s="167">
        <f>187966.72+1357440.43</f>
        <v>1545407.15</v>
      </c>
      <c r="G78" s="163">
        <f>[1]UMCP!F177</f>
        <v>3454592.8500000006</v>
      </c>
      <c r="H78" s="164">
        <f>[1]UMCP!H177</f>
        <v>30672.97</v>
      </c>
      <c r="I78" s="154"/>
      <c r="J78" s="158"/>
      <c r="K78" s="167">
        <f>[1]UMCP!K177</f>
        <v>0</v>
      </c>
      <c r="L78" s="162">
        <f>G78-H78-I78-J78-K78</f>
        <v>3423919.8800000004</v>
      </c>
      <c r="M78" s="162">
        <f t="shared" ref="M78:M92" si="14">H78-N78-O78</f>
        <v>24022.97</v>
      </c>
      <c r="N78" s="162">
        <v>6650</v>
      </c>
      <c r="O78" s="162">
        <v>0</v>
      </c>
      <c r="AA78" s="136"/>
      <c r="AB78" s="136"/>
      <c r="AC78" s="136"/>
      <c r="AD78" s="136"/>
      <c r="AF78" s="136">
        <f t="shared" ref="AF78:AF92" si="15">C78+D78+E78-F78-G78</f>
        <v>0</v>
      </c>
      <c r="AH78" s="125">
        <v>56</v>
      </c>
      <c r="AI78" s="125" t="s">
        <v>111</v>
      </c>
      <c r="AJ78" s="125">
        <v>0</v>
      </c>
    </row>
    <row r="79" spans="1:36" x14ac:dyDescent="0.2">
      <c r="B79" s="125" t="s">
        <v>147</v>
      </c>
      <c r="C79" s="153">
        <v>10000000</v>
      </c>
      <c r="D79" s="154"/>
      <c r="E79" s="154"/>
      <c r="F79" s="167">
        <f>4026.61+2117361.09+420341.95</f>
        <v>2541729.65</v>
      </c>
      <c r="G79" s="163">
        <f>[1]UMES!F144</f>
        <v>7458270.3500000006</v>
      </c>
      <c r="H79" s="164">
        <f>[1]UMES!H144</f>
        <v>1399881.2299999997</v>
      </c>
      <c r="I79" s="154"/>
      <c r="J79" s="158"/>
      <c r="K79" s="158"/>
      <c r="L79" s="162">
        <f t="shared" ref="L79:L92" si="16">G79-H79-I79-J79-K79</f>
        <v>6058389.120000001</v>
      </c>
      <c r="M79" s="162">
        <f t="shared" si="14"/>
        <v>71901.839999999851</v>
      </c>
      <c r="N79" s="162">
        <v>1327979.3899999999</v>
      </c>
      <c r="O79" s="162">
        <v>0</v>
      </c>
      <c r="AA79" s="136"/>
      <c r="AB79" s="136"/>
      <c r="AC79" s="136"/>
      <c r="AD79" s="136"/>
      <c r="AF79" s="136">
        <f t="shared" si="15"/>
        <v>0</v>
      </c>
      <c r="AH79" s="125">
        <v>57</v>
      </c>
      <c r="AI79" s="125" t="s">
        <v>111</v>
      </c>
      <c r="AJ79" s="125">
        <v>0</v>
      </c>
    </row>
    <row r="80" spans="1:36" x14ac:dyDescent="0.2">
      <c r="B80" s="125" t="s">
        <v>148</v>
      </c>
      <c r="C80" s="153">
        <v>5000000</v>
      </c>
      <c r="D80" s="154"/>
      <c r="E80" s="154"/>
      <c r="F80" s="167">
        <f>60956.13+1036219.92+6874.52</f>
        <v>1104050.57</v>
      </c>
      <c r="G80" s="163">
        <f>[1]FSU!F166</f>
        <v>3895949.43</v>
      </c>
      <c r="H80" s="164">
        <f>[1]FSU!H166</f>
        <v>282946.76</v>
      </c>
      <c r="I80" s="154"/>
      <c r="J80" s="158"/>
      <c r="K80" s="158"/>
      <c r="L80" s="162">
        <f t="shared" si="16"/>
        <v>3613002.67</v>
      </c>
      <c r="M80" s="162">
        <f t="shared" si="14"/>
        <v>164078.53000000003</v>
      </c>
      <c r="N80" s="162">
        <v>118868.23</v>
      </c>
      <c r="O80" s="162">
        <v>0</v>
      </c>
      <c r="AA80" s="136"/>
      <c r="AB80" s="136"/>
      <c r="AC80" s="136"/>
      <c r="AD80" s="136"/>
      <c r="AF80" s="136">
        <f t="shared" si="15"/>
        <v>0</v>
      </c>
      <c r="AH80" s="125">
        <v>58</v>
      </c>
      <c r="AI80" s="125" t="s">
        <v>111</v>
      </c>
      <c r="AJ80" s="125">
        <v>0</v>
      </c>
    </row>
    <row r="81" spans="1:36" x14ac:dyDescent="0.2">
      <c r="B81" s="165" t="s">
        <v>112</v>
      </c>
      <c r="C81" s="153"/>
      <c r="D81" s="154"/>
      <c r="E81" s="154"/>
      <c r="F81" s="155"/>
      <c r="G81" s="163"/>
      <c r="H81" s="157"/>
      <c r="I81" s="154"/>
      <c r="J81" s="158"/>
      <c r="K81" s="158"/>
      <c r="L81" s="162"/>
      <c r="M81" s="162">
        <f t="shared" si="14"/>
        <v>0</v>
      </c>
      <c r="N81" s="162"/>
      <c r="O81" s="162"/>
      <c r="AA81" s="136"/>
      <c r="AB81" s="136"/>
      <c r="AC81" s="136"/>
      <c r="AD81" s="136"/>
      <c r="AF81" s="136">
        <f t="shared" si="15"/>
        <v>0</v>
      </c>
      <c r="AH81" s="125">
        <v>59</v>
      </c>
    </row>
    <row r="82" spans="1:36" x14ac:dyDescent="0.2">
      <c r="B82" s="125" t="s">
        <v>113</v>
      </c>
      <c r="C82" s="153">
        <v>4744551</v>
      </c>
      <c r="D82" s="154"/>
      <c r="E82" s="154"/>
      <c r="F82" s="167">
        <f>723026.82+4021524.18</f>
        <v>4744551</v>
      </c>
      <c r="G82" s="163">
        <f>[1]UMCP!F108</f>
        <v>0</v>
      </c>
      <c r="H82" s="164">
        <f>[1]UMCP!H108</f>
        <v>0</v>
      </c>
      <c r="I82" s="154"/>
      <c r="J82" s="158"/>
      <c r="K82" s="167">
        <f>[1]UMCP!K108</f>
        <v>0</v>
      </c>
      <c r="L82" s="162">
        <f t="shared" si="16"/>
        <v>0</v>
      </c>
      <c r="M82" s="162">
        <f t="shared" si="14"/>
        <v>0</v>
      </c>
      <c r="N82" s="162">
        <v>0</v>
      </c>
      <c r="O82" s="162">
        <v>0</v>
      </c>
      <c r="AA82" s="136"/>
      <c r="AB82" s="136"/>
      <c r="AC82" s="136"/>
      <c r="AD82" s="136"/>
      <c r="AF82" s="136">
        <f t="shared" si="15"/>
        <v>0</v>
      </c>
      <c r="AH82" s="125">
        <v>60</v>
      </c>
      <c r="AJ82" s="125">
        <v>0</v>
      </c>
    </row>
    <row r="83" spans="1:36" x14ac:dyDescent="0.2">
      <c r="B83" s="125" t="s">
        <v>114</v>
      </c>
      <c r="C83" s="153">
        <v>1926995</v>
      </c>
      <c r="D83" s="154"/>
      <c r="E83" s="154"/>
      <c r="F83" s="167">
        <f>500000+26189+40850.54</f>
        <v>567039.54</v>
      </c>
      <c r="G83" s="163">
        <f>[1]UMB!F117</f>
        <v>1359955.46</v>
      </c>
      <c r="H83" s="164">
        <f>[1]UMB!H117</f>
        <v>719427.3600000001</v>
      </c>
      <c r="I83" s="154"/>
      <c r="J83" s="158"/>
      <c r="K83" s="158"/>
      <c r="L83" s="162">
        <f>G83-H83-I83-J83-K83</f>
        <v>640528.09999999986</v>
      </c>
      <c r="M83" s="162">
        <f t="shared" si="14"/>
        <v>189102</v>
      </c>
      <c r="N83" s="162">
        <v>185189.8600000001</v>
      </c>
      <c r="O83" s="162">
        <v>345135.5</v>
      </c>
      <c r="AA83" s="136"/>
      <c r="AB83" s="136"/>
      <c r="AC83" s="136"/>
      <c r="AD83" s="136"/>
      <c r="AF83" s="136">
        <f t="shared" si="15"/>
        <v>0</v>
      </c>
      <c r="AH83" s="125">
        <v>61</v>
      </c>
      <c r="AJ83" s="125">
        <v>359471.9</v>
      </c>
    </row>
    <row r="84" spans="1:36" x14ac:dyDescent="0.2">
      <c r="B84" s="125" t="s">
        <v>115</v>
      </c>
      <c r="C84" s="153">
        <v>563795</v>
      </c>
      <c r="D84" s="154"/>
      <c r="E84" s="154"/>
      <c r="F84" s="167">
        <v>0</v>
      </c>
      <c r="G84" s="163">
        <f>[1]UMES!F71</f>
        <v>563795</v>
      </c>
      <c r="H84" s="164">
        <f>[1]UMES!H71</f>
        <v>424374.56</v>
      </c>
      <c r="I84" s="154"/>
      <c r="J84" s="158"/>
      <c r="K84" s="167">
        <f>[1]UMES!K71</f>
        <v>0</v>
      </c>
      <c r="L84" s="162">
        <f t="shared" si="16"/>
        <v>139420.44</v>
      </c>
      <c r="M84" s="162">
        <f t="shared" si="14"/>
        <v>0</v>
      </c>
      <c r="N84" s="162">
        <v>4385.5599999999977</v>
      </c>
      <c r="O84" s="162">
        <v>419989</v>
      </c>
      <c r="AA84" s="136"/>
      <c r="AB84" s="136"/>
      <c r="AC84" s="136"/>
      <c r="AD84" s="136"/>
      <c r="AF84" s="136">
        <f t="shared" si="15"/>
        <v>0</v>
      </c>
      <c r="AH84" s="125">
        <v>62</v>
      </c>
      <c r="AJ84" s="125">
        <v>424374.56</v>
      </c>
    </row>
    <row r="85" spans="1:36" x14ac:dyDescent="0.2">
      <c r="B85" s="125" t="s">
        <v>116</v>
      </c>
      <c r="C85" s="153">
        <v>1081882</v>
      </c>
      <c r="D85" s="154"/>
      <c r="E85" s="154"/>
      <c r="F85" s="167"/>
      <c r="G85" s="163">
        <f>[1]UMBC!F42</f>
        <v>1081882</v>
      </c>
      <c r="H85" s="164">
        <f>[1]UMBC!H42</f>
        <v>0</v>
      </c>
      <c r="I85" s="154"/>
      <c r="J85" s="158"/>
      <c r="K85" s="158"/>
      <c r="L85" s="162">
        <f t="shared" si="16"/>
        <v>1081882</v>
      </c>
      <c r="M85" s="162">
        <f t="shared" si="14"/>
        <v>0</v>
      </c>
      <c r="N85" s="162">
        <v>0</v>
      </c>
      <c r="O85" s="162">
        <v>0</v>
      </c>
      <c r="AA85" s="136"/>
      <c r="AB85" s="136"/>
      <c r="AC85" s="136"/>
      <c r="AD85" s="136"/>
      <c r="AF85" s="136">
        <f t="shared" si="15"/>
        <v>0</v>
      </c>
      <c r="AH85" s="125">
        <v>63</v>
      </c>
      <c r="AJ85" s="125">
        <v>0</v>
      </c>
    </row>
    <row r="86" spans="1:36" x14ac:dyDescent="0.2">
      <c r="B86" s="125" t="s">
        <v>117</v>
      </c>
      <c r="C86" s="153">
        <v>206031</v>
      </c>
      <c r="D86" s="154"/>
      <c r="E86" s="154"/>
      <c r="F86" s="167"/>
      <c r="G86" s="163">
        <f>[1]UMCES!F26</f>
        <v>206031</v>
      </c>
      <c r="H86" s="164">
        <f>[1]UMCES!H26</f>
        <v>0</v>
      </c>
      <c r="I86" s="154"/>
      <c r="J86" s="158"/>
      <c r="K86" s="158"/>
      <c r="L86" s="162">
        <f t="shared" si="16"/>
        <v>206031</v>
      </c>
      <c r="M86" s="162">
        <f t="shared" si="14"/>
        <v>0</v>
      </c>
      <c r="N86" s="162">
        <v>-141453.12</v>
      </c>
      <c r="O86" s="162">
        <v>141453.12</v>
      </c>
      <c r="AA86" s="136"/>
      <c r="AB86" s="136"/>
      <c r="AC86" s="136"/>
      <c r="AD86" s="136"/>
      <c r="AF86" s="136">
        <f t="shared" si="15"/>
        <v>0</v>
      </c>
      <c r="AH86" s="125">
        <v>64</v>
      </c>
      <c r="AJ86" s="125">
        <v>0</v>
      </c>
    </row>
    <row r="87" spans="1:36" x14ac:dyDescent="0.2">
      <c r="B87" s="125" t="s">
        <v>118</v>
      </c>
      <c r="C87" s="153">
        <v>490197</v>
      </c>
      <c r="D87" s="154"/>
      <c r="E87" s="154"/>
      <c r="F87" s="167">
        <f>23144.51+447527.34</f>
        <v>470671.85000000003</v>
      </c>
      <c r="G87" s="163">
        <f>[1]BSU!F51</f>
        <v>19525.149999999965</v>
      </c>
      <c r="H87" s="164">
        <f>[1]BSU!H51</f>
        <v>19525.150000000001</v>
      </c>
      <c r="I87" s="154"/>
      <c r="J87" s="158"/>
      <c r="K87" s="167">
        <f>[1]BSU!K51</f>
        <v>0</v>
      </c>
      <c r="L87" s="162">
        <f t="shared" si="16"/>
        <v>-3.637978807091713E-11</v>
      </c>
      <c r="M87" s="162">
        <f t="shared" si="14"/>
        <v>1274.0999999999979</v>
      </c>
      <c r="N87" s="162">
        <v>17041.660000000003</v>
      </c>
      <c r="O87" s="162">
        <v>1209.3900000000001</v>
      </c>
      <c r="AA87" s="136"/>
      <c r="AB87" s="136"/>
      <c r="AC87" s="136"/>
      <c r="AD87" s="136"/>
      <c r="AF87" s="136">
        <f t="shared" si="15"/>
        <v>0</v>
      </c>
      <c r="AH87" s="125">
        <v>65</v>
      </c>
      <c r="AJ87" s="125">
        <v>2221.42</v>
      </c>
    </row>
    <row r="88" spans="1:36" x14ac:dyDescent="0.2">
      <c r="B88" s="125" t="s">
        <v>119</v>
      </c>
      <c r="C88" s="153">
        <v>457081</v>
      </c>
      <c r="D88" s="154"/>
      <c r="E88" s="154"/>
      <c r="F88" s="167">
        <f>198994.71</f>
        <v>198994.71</v>
      </c>
      <c r="G88" s="163">
        <f>[1]CSU!F47</f>
        <v>258086.28999999998</v>
      </c>
      <c r="H88" s="164">
        <f>[1]CSU!H47</f>
        <v>258086.28999999998</v>
      </c>
      <c r="I88" s="154"/>
      <c r="J88" s="158"/>
      <c r="K88" s="167">
        <f>[1]CSU!K47</f>
        <v>0</v>
      </c>
      <c r="L88" s="162">
        <f t="shared" si="16"/>
        <v>0</v>
      </c>
      <c r="M88" s="162">
        <f t="shared" si="14"/>
        <v>0</v>
      </c>
      <c r="N88" s="162">
        <v>123479.23999999999</v>
      </c>
      <c r="O88" s="162">
        <v>134607.04999999999</v>
      </c>
      <c r="AA88" s="136"/>
      <c r="AB88" s="136"/>
      <c r="AC88" s="136"/>
      <c r="AD88" s="136"/>
      <c r="AF88" s="136">
        <f t="shared" si="15"/>
        <v>0</v>
      </c>
      <c r="AH88" s="125">
        <v>66</v>
      </c>
      <c r="AJ88" s="125">
        <v>258086.28999999998</v>
      </c>
    </row>
    <row r="89" spans="1:36" x14ac:dyDescent="0.2">
      <c r="B89" s="125" t="s">
        <v>120</v>
      </c>
      <c r="C89" s="153">
        <v>419210</v>
      </c>
      <c r="D89" s="154"/>
      <c r="E89" s="154"/>
      <c r="F89" s="167">
        <f>41693.17+94557.56</f>
        <v>136250.72999999998</v>
      </c>
      <c r="G89" s="163">
        <f>[1]FSU!F76</f>
        <v>282959.27</v>
      </c>
      <c r="H89" s="164">
        <f>[1]FSU!H76</f>
        <v>282959.26999999996</v>
      </c>
      <c r="I89" s="154"/>
      <c r="J89" s="158"/>
      <c r="K89" s="167">
        <f>[1]FSU!K76</f>
        <v>0</v>
      </c>
      <c r="L89" s="162">
        <f t="shared" si="16"/>
        <v>5.8207660913467407E-11</v>
      </c>
      <c r="M89" s="162">
        <f t="shared" si="14"/>
        <v>0</v>
      </c>
      <c r="N89" s="162">
        <v>39094.699999999953</v>
      </c>
      <c r="O89" s="162">
        <v>243864.57</v>
      </c>
      <c r="AA89" s="136"/>
      <c r="AB89" s="136"/>
      <c r="AC89" s="136"/>
      <c r="AD89" s="136"/>
      <c r="AF89" s="136">
        <f t="shared" si="15"/>
        <v>0</v>
      </c>
      <c r="AH89" s="125">
        <v>67</v>
      </c>
      <c r="AJ89" s="125">
        <v>282959.26999999996</v>
      </c>
    </row>
    <row r="90" spans="1:36" x14ac:dyDescent="0.2">
      <c r="B90" s="125" t="s">
        <v>137</v>
      </c>
      <c r="C90" s="153">
        <v>612726</v>
      </c>
      <c r="D90" s="154"/>
      <c r="E90" s="154"/>
      <c r="F90" s="167">
        <f>238902.37</f>
        <v>238902.37</v>
      </c>
      <c r="G90" s="163">
        <f>[1]SU!F53</f>
        <v>373823.63</v>
      </c>
      <c r="H90" s="164">
        <f>[1]SU!H53</f>
        <v>338653.17000000004</v>
      </c>
      <c r="I90" s="154"/>
      <c r="J90" s="158"/>
      <c r="K90" s="167">
        <f>[1]SU!K53</f>
        <v>0</v>
      </c>
      <c r="L90" s="162">
        <f t="shared" si="16"/>
        <v>35170.459999999963</v>
      </c>
      <c r="M90" s="162">
        <f t="shared" si="14"/>
        <v>0</v>
      </c>
      <c r="N90" s="162">
        <v>248100.00000000006</v>
      </c>
      <c r="O90" s="162">
        <v>90553.17</v>
      </c>
      <c r="AA90" s="136"/>
      <c r="AB90" s="136"/>
      <c r="AC90" s="136"/>
      <c r="AD90" s="136"/>
      <c r="AF90" s="136">
        <f t="shared" si="15"/>
        <v>0</v>
      </c>
      <c r="AH90" s="125">
        <v>68</v>
      </c>
      <c r="AJ90" s="125">
        <v>338653.17000000004</v>
      </c>
    </row>
    <row r="91" spans="1:36" x14ac:dyDescent="0.2">
      <c r="B91" s="125" t="s">
        <v>122</v>
      </c>
      <c r="C91" s="153">
        <v>1044456</v>
      </c>
      <c r="D91" s="154"/>
      <c r="E91" s="154"/>
      <c r="F91" s="155"/>
      <c r="G91" s="163">
        <f>[1]TU!F73+[1]TU!F80</f>
        <v>1044456</v>
      </c>
      <c r="H91" s="164">
        <f>[1]TU!H73+[1]TU!H80</f>
        <v>504670.47</v>
      </c>
      <c r="I91" s="154"/>
      <c r="J91" s="158"/>
      <c r="K91" s="158"/>
      <c r="L91" s="162">
        <f t="shared" si="16"/>
        <v>539785.53</v>
      </c>
      <c r="M91" s="162">
        <f t="shared" si="14"/>
        <v>487932.87</v>
      </c>
      <c r="N91" s="162">
        <v>16737.599999999999</v>
      </c>
      <c r="O91" s="162">
        <v>0</v>
      </c>
      <c r="AA91" s="136"/>
      <c r="AB91" s="136"/>
      <c r="AC91" s="136"/>
      <c r="AD91" s="136"/>
      <c r="AF91" s="136">
        <f t="shared" si="15"/>
        <v>0</v>
      </c>
      <c r="AH91" s="125">
        <v>69</v>
      </c>
      <c r="AJ91" s="125">
        <v>16737.599999999999</v>
      </c>
    </row>
    <row r="92" spans="1:36" x14ac:dyDescent="0.2">
      <c r="B92" s="125" t="s">
        <v>123</v>
      </c>
      <c r="C92" s="153">
        <v>453076</v>
      </c>
      <c r="D92" s="154"/>
      <c r="E92" s="154"/>
      <c r="F92" s="155"/>
      <c r="G92" s="163">
        <f>[1]UB!F63</f>
        <v>453076</v>
      </c>
      <c r="H92" s="164">
        <f>[1]UB!H63</f>
        <v>0</v>
      </c>
      <c r="I92" s="154"/>
      <c r="J92" s="158"/>
      <c r="K92" s="158"/>
      <c r="L92" s="162">
        <f t="shared" si="16"/>
        <v>453076</v>
      </c>
      <c r="M92" s="162">
        <f t="shared" si="14"/>
        <v>0</v>
      </c>
      <c r="N92" s="162">
        <v>0</v>
      </c>
      <c r="O92" s="162">
        <v>0</v>
      </c>
      <c r="AA92" s="136"/>
      <c r="AB92" s="136"/>
      <c r="AC92" s="136"/>
      <c r="AD92" s="136"/>
      <c r="AF92" s="136">
        <f t="shared" si="15"/>
        <v>0</v>
      </c>
      <c r="AH92" s="125">
        <v>70</v>
      </c>
      <c r="AJ92" s="125">
        <v>0</v>
      </c>
    </row>
    <row r="93" spans="1:36" x14ac:dyDescent="0.2">
      <c r="C93" s="153"/>
      <c r="D93" s="154"/>
      <c r="E93" s="154"/>
      <c r="F93" s="155"/>
      <c r="G93" s="156"/>
      <c r="H93" s="157"/>
      <c r="I93" s="154"/>
      <c r="J93" s="158"/>
      <c r="K93" s="158"/>
      <c r="L93" s="154"/>
      <c r="M93" s="154"/>
      <c r="N93" s="154"/>
      <c r="O93" s="154"/>
      <c r="AA93" s="136"/>
      <c r="AB93" s="136"/>
      <c r="AC93" s="136"/>
      <c r="AD93" s="136"/>
      <c r="AH93" s="125">
        <v>71</v>
      </c>
    </row>
    <row r="94" spans="1:36" ht="13.5" thickBot="1" x14ac:dyDescent="0.25">
      <c r="B94" s="168" t="s">
        <v>149</v>
      </c>
      <c r="C94" s="169">
        <f t="shared" ref="C94:H94" si="17">SUM(C78:C93)</f>
        <v>32000000</v>
      </c>
      <c r="D94" s="169">
        <f t="shared" si="17"/>
        <v>0</v>
      </c>
      <c r="E94" s="169">
        <f t="shared" si="17"/>
        <v>0</v>
      </c>
      <c r="F94" s="169">
        <f t="shared" si="17"/>
        <v>11547597.57</v>
      </c>
      <c r="G94" s="169">
        <f t="shared" si="17"/>
        <v>20452402.429999996</v>
      </c>
      <c r="H94" s="169">
        <f t="shared" si="17"/>
        <v>4261197.2299999995</v>
      </c>
      <c r="I94" s="169">
        <f>SUM(I4:I93)</f>
        <v>0</v>
      </c>
      <c r="J94" s="169">
        <f t="shared" ref="J94:O94" si="18">SUM(J78:J93)</f>
        <v>0</v>
      </c>
      <c r="K94" s="169">
        <f t="shared" si="18"/>
        <v>0</v>
      </c>
      <c r="L94" s="169">
        <f t="shared" si="18"/>
        <v>16191205.200000001</v>
      </c>
      <c r="M94" s="169">
        <f t="shared" si="18"/>
        <v>938312.30999999982</v>
      </c>
      <c r="N94" s="169">
        <f t="shared" si="18"/>
        <v>1946073.1199999999</v>
      </c>
      <c r="O94" s="169">
        <f t="shared" si="18"/>
        <v>1376811.8</v>
      </c>
      <c r="U94" s="168" t="s">
        <v>129</v>
      </c>
      <c r="V94" s="133">
        <v>22</v>
      </c>
      <c r="AA94" s="169">
        <f>SUM(AA78:AA93)</f>
        <v>0</v>
      </c>
      <c r="AB94" s="169">
        <f>SUM(AB78:AB93)</f>
        <v>0</v>
      </c>
      <c r="AC94" s="169">
        <f>SUM(AC78:AC93)</f>
        <v>0</v>
      </c>
      <c r="AD94" s="169">
        <f>SUM(AD78:AD93)</f>
        <v>0</v>
      </c>
      <c r="AF94" s="136">
        <f>C94+D94+E94-F94-G94</f>
        <v>0</v>
      </c>
      <c r="AH94" s="125">
        <v>72</v>
      </c>
      <c r="AJ94" s="125">
        <v>1682504.21</v>
      </c>
    </row>
    <row r="95" spans="1:36" ht="13.5" thickTop="1" x14ac:dyDescent="0.2">
      <c r="C95" s="153"/>
      <c r="D95" s="154"/>
      <c r="E95" s="154"/>
      <c r="F95" s="155"/>
      <c r="G95" s="156"/>
      <c r="H95" s="157"/>
      <c r="I95" s="154"/>
      <c r="J95" s="158"/>
      <c r="K95" s="158"/>
      <c r="L95" s="154"/>
      <c r="M95" s="154"/>
      <c r="N95" s="154"/>
      <c r="O95" s="154"/>
      <c r="AA95" s="136"/>
      <c r="AB95" s="136"/>
      <c r="AC95" s="136"/>
      <c r="AD95" s="136"/>
      <c r="AH95" s="125">
        <v>73</v>
      </c>
    </row>
    <row r="96" spans="1:36" x14ac:dyDescent="0.2">
      <c r="A96" s="165" t="s">
        <v>150</v>
      </c>
      <c r="C96" s="153"/>
      <c r="D96" s="154"/>
      <c r="E96" s="154"/>
      <c r="F96" s="128"/>
      <c r="G96" s="163"/>
      <c r="H96" s="164"/>
      <c r="I96" s="163"/>
      <c r="J96" s="163"/>
      <c r="K96" s="163"/>
      <c r="L96" s="162"/>
      <c r="M96" s="162"/>
      <c r="N96" s="162"/>
      <c r="O96" s="162"/>
      <c r="T96" s="165" t="s">
        <v>109</v>
      </c>
      <c r="V96" s="133">
        <v>5</v>
      </c>
      <c r="AH96" s="125">
        <v>74</v>
      </c>
    </row>
    <row r="97" spans="2:36" x14ac:dyDescent="0.2">
      <c r="B97" s="125" t="s">
        <v>151</v>
      </c>
      <c r="C97" s="153">
        <v>5000000</v>
      </c>
      <c r="D97" s="154"/>
      <c r="E97" s="154"/>
      <c r="F97" s="162">
        <f>3442.39+202638.55+926670.4</f>
        <v>1132751.3400000001</v>
      </c>
      <c r="G97" s="163">
        <f>[1]UMES!F161</f>
        <v>3867248.6600000006</v>
      </c>
      <c r="H97" s="164">
        <f>[1]UMES!H161</f>
        <v>802730.79</v>
      </c>
      <c r="I97" s="162">
        <f>[1]UMES!I161</f>
        <v>0</v>
      </c>
      <c r="J97" s="167">
        <f>[1]UMES!J161</f>
        <v>0</v>
      </c>
      <c r="K97" s="167">
        <f>[1]UMES!K161</f>
        <v>0</v>
      </c>
      <c r="L97" s="162">
        <f>G97-H97-I97-J97-K97</f>
        <v>3064517.8700000006</v>
      </c>
      <c r="M97" s="162">
        <f>H97-N97-O97</f>
        <v>86264.790000000037</v>
      </c>
      <c r="N97" s="162">
        <v>716466</v>
      </c>
      <c r="O97" s="162">
        <v>0</v>
      </c>
      <c r="AF97" s="136">
        <f t="shared" ref="AF97:AF116" si="19">C97+D97+E97-F97-G97</f>
        <v>0</v>
      </c>
      <c r="AH97" s="125">
        <v>75</v>
      </c>
      <c r="AI97" s="125" t="s">
        <v>111</v>
      </c>
      <c r="AJ97" s="125">
        <v>0</v>
      </c>
    </row>
    <row r="98" spans="2:36" x14ac:dyDescent="0.2">
      <c r="B98" s="125" t="s">
        <v>147</v>
      </c>
      <c r="C98" s="153">
        <v>1008000</v>
      </c>
      <c r="D98" s="154"/>
      <c r="E98" s="154"/>
      <c r="F98" s="162">
        <f>51347.72+344271.58+612380.7</f>
        <v>1008000</v>
      </c>
      <c r="G98" s="163">
        <f>[1]UMES!F151</f>
        <v>0</v>
      </c>
      <c r="H98" s="164">
        <f>[1]UMES!H151</f>
        <v>0</v>
      </c>
      <c r="I98" s="162">
        <f>[1]UMES!I151</f>
        <v>0</v>
      </c>
      <c r="J98" s="167">
        <f>[1]UMES!J151</f>
        <v>0</v>
      </c>
      <c r="K98" s="167">
        <f>[1]UMES!K151</f>
        <v>0</v>
      </c>
      <c r="L98" s="162">
        <f t="shared" ref="L98:L116" si="20">G98-H98-I98-J98-K98</f>
        <v>0</v>
      </c>
      <c r="M98" s="162">
        <f>H98-N98-O98</f>
        <v>0</v>
      </c>
      <c r="N98" s="162">
        <v>0</v>
      </c>
      <c r="O98" s="162">
        <v>0</v>
      </c>
      <c r="AF98" s="136">
        <f t="shared" si="19"/>
        <v>0</v>
      </c>
      <c r="AH98" s="125">
        <v>76</v>
      </c>
      <c r="AI98" s="125" t="s">
        <v>111</v>
      </c>
      <c r="AJ98" s="125">
        <v>0</v>
      </c>
    </row>
    <row r="99" spans="2:36" x14ac:dyDescent="0.2">
      <c r="B99" s="125" t="s">
        <v>152</v>
      </c>
      <c r="C99" s="153">
        <v>2346000</v>
      </c>
      <c r="D99" s="154"/>
      <c r="E99" s="154"/>
      <c r="F99" s="162">
        <f>146449.9+2199550.1</f>
        <v>2346000</v>
      </c>
      <c r="G99" s="163">
        <f>[1]UMBC!F88</f>
        <v>0</v>
      </c>
      <c r="H99" s="164">
        <f>[1]UMBC!H88</f>
        <v>0</v>
      </c>
      <c r="I99" s="162">
        <f>[1]UMBC!I88</f>
        <v>0</v>
      </c>
      <c r="J99" s="167">
        <f>[1]UMBC!J88</f>
        <v>0</v>
      </c>
      <c r="K99" s="167">
        <f>[1]UMBC!K88</f>
        <v>0</v>
      </c>
      <c r="L99" s="162">
        <f t="shared" si="20"/>
        <v>0</v>
      </c>
      <c r="M99" s="162">
        <f>H99-N99-O99</f>
        <v>0</v>
      </c>
      <c r="N99" s="162">
        <v>0</v>
      </c>
      <c r="O99" s="162">
        <v>0</v>
      </c>
      <c r="AF99" s="136">
        <f t="shared" si="19"/>
        <v>0</v>
      </c>
      <c r="AH99" s="125">
        <v>77</v>
      </c>
      <c r="AI99" s="125" t="s">
        <v>111</v>
      </c>
      <c r="AJ99" s="125">
        <v>0</v>
      </c>
    </row>
    <row r="100" spans="2:36" x14ac:dyDescent="0.2">
      <c r="B100" s="125" t="s">
        <v>153</v>
      </c>
      <c r="C100" s="153">
        <v>5000000</v>
      </c>
      <c r="D100" s="154"/>
      <c r="E100" s="154"/>
      <c r="F100" s="162">
        <f>1180.17+2012908.63+2985911.2</f>
        <v>5000000</v>
      </c>
      <c r="G100" s="163">
        <f>'[1]USM &amp; COI'!G87</f>
        <v>0</v>
      </c>
      <c r="H100" s="164">
        <f>'[1]USM &amp; COI'!H87</f>
        <v>0</v>
      </c>
      <c r="I100" s="162">
        <f>'[1]USM &amp; COI'!I87</f>
        <v>0</v>
      </c>
      <c r="J100" s="167">
        <f>'[1]USM &amp; COI'!J87</f>
        <v>0</v>
      </c>
      <c r="K100" s="167">
        <f>'[1]USM &amp; COI'!K87</f>
        <v>0</v>
      </c>
      <c r="L100" s="162">
        <f t="shared" si="20"/>
        <v>0</v>
      </c>
      <c r="M100" s="162">
        <f>H100-N100-O100</f>
        <v>0</v>
      </c>
      <c r="N100" s="162">
        <v>0</v>
      </c>
      <c r="O100" s="162">
        <v>0</v>
      </c>
      <c r="AF100" s="136">
        <f t="shared" si="19"/>
        <v>0</v>
      </c>
      <c r="AH100" s="125">
        <v>78</v>
      </c>
      <c r="AI100" s="125" t="s">
        <v>111</v>
      </c>
      <c r="AJ100" s="125">
        <v>0</v>
      </c>
    </row>
    <row r="101" spans="2:36" x14ac:dyDescent="0.2">
      <c r="B101" s="125" t="s">
        <v>154</v>
      </c>
      <c r="C101" s="153">
        <v>2000000</v>
      </c>
      <c r="D101" s="154"/>
      <c r="E101" s="154"/>
      <c r="F101" s="162">
        <f>2000000</f>
        <v>2000000</v>
      </c>
      <c r="G101" s="163">
        <v>0</v>
      </c>
      <c r="H101" s="164">
        <v>0</v>
      </c>
      <c r="I101" s="162">
        <v>0</v>
      </c>
      <c r="J101" s="167">
        <v>0</v>
      </c>
      <c r="K101" s="167">
        <v>0</v>
      </c>
      <c r="L101" s="162">
        <f t="shared" si="20"/>
        <v>0</v>
      </c>
      <c r="M101" s="162">
        <f>H101-N101-O101</f>
        <v>0</v>
      </c>
      <c r="N101" s="162">
        <v>0</v>
      </c>
      <c r="O101" s="162">
        <v>0</v>
      </c>
      <c r="AF101" s="136">
        <f t="shared" si="19"/>
        <v>0</v>
      </c>
      <c r="AH101" s="125">
        <v>79</v>
      </c>
      <c r="AI101" s="125" t="s">
        <v>111</v>
      </c>
      <c r="AJ101" s="125">
        <v>0</v>
      </c>
    </row>
    <row r="102" spans="2:36" x14ac:dyDescent="0.2">
      <c r="B102" s="165" t="s">
        <v>112</v>
      </c>
      <c r="C102" s="153"/>
      <c r="D102" s="154"/>
      <c r="E102" s="154"/>
      <c r="F102" s="162"/>
      <c r="G102" s="163"/>
      <c r="H102" s="164"/>
      <c r="I102" s="162"/>
      <c r="J102" s="167"/>
      <c r="K102" s="167"/>
      <c r="L102" s="162"/>
      <c r="M102" s="162"/>
      <c r="N102" s="162"/>
      <c r="O102" s="162"/>
      <c r="AF102" s="136">
        <f t="shared" si="19"/>
        <v>0</v>
      </c>
      <c r="AH102" s="125">
        <v>80</v>
      </c>
    </row>
    <row r="103" spans="2:36" x14ac:dyDescent="0.2">
      <c r="B103" s="125" t="s">
        <v>113</v>
      </c>
      <c r="C103" s="153">
        <v>7300000</v>
      </c>
      <c r="D103" s="154"/>
      <c r="E103" s="154"/>
      <c r="F103" s="162">
        <f>194905.04+7105094.96</f>
        <v>7300000</v>
      </c>
      <c r="G103" s="163">
        <f>[1]UMCP!F126</f>
        <v>0</v>
      </c>
      <c r="H103" s="164">
        <f>[1]UMCP!H126</f>
        <v>0</v>
      </c>
      <c r="I103" s="162">
        <f>[1]UMCP!I126</f>
        <v>0</v>
      </c>
      <c r="J103" s="167">
        <f>[1]UMCP!J126</f>
        <v>0</v>
      </c>
      <c r="K103" s="167">
        <f>[1]UMCP!K126</f>
        <v>0</v>
      </c>
      <c r="L103" s="162">
        <f t="shared" si="20"/>
        <v>0</v>
      </c>
      <c r="M103" s="162">
        <f t="shared" ref="M103:M116" si="21">H103-N103-O103</f>
        <v>0</v>
      </c>
      <c r="N103" s="162">
        <v>0</v>
      </c>
      <c r="O103" s="162">
        <v>0</v>
      </c>
      <c r="AF103" s="136">
        <f t="shared" si="19"/>
        <v>0</v>
      </c>
      <c r="AH103" s="125">
        <v>81</v>
      </c>
      <c r="AJ103" s="125">
        <v>0</v>
      </c>
    </row>
    <row r="104" spans="2:36" x14ac:dyDescent="0.2">
      <c r="B104" s="125" t="s">
        <v>114</v>
      </c>
      <c r="C104" s="153">
        <v>2675000</v>
      </c>
      <c r="D104" s="154"/>
      <c r="E104" s="154"/>
      <c r="F104" s="162">
        <f>431549.85+72768.56+10256.2</f>
        <v>514574.61</v>
      </c>
      <c r="G104" s="163">
        <f>[1]UMB!F140</f>
        <v>2160425.39</v>
      </c>
      <c r="H104" s="164">
        <f>[1]UMB!H140</f>
        <v>1456842.43</v>
      </c>
      <c r="I104" s="162">
        <f>[1]UMB!I140</f>
        <v>0</v>
      </c>
      <c r="J104" s="167">
        <f>[1]UMB!J140</f>
        <v>0</v>
      </c>
      <c r="K104" s="167">
        <f>[1]UMB!K140</f>
        <v>0</v>
      </c>
      <c r="L104" s="162">
        <f t="shared" si="20"/>
        <v>703582.9600000002</v>
      </c>
      <c r="M104" s="162">
        <f t="shared" si="21"/>
        <v>337443.57999999973</v>
      </c>
      <c r="N104" s="162">
        <v>135937.27000000014</v>
      </c>
      <c r="O104" s="162">
        <v>983461.58</v>
      </c>
      <c r="AF104" s="136">
        <f t="shared" si="19"/>
        <v>0</v>
      </c>
      <c r="AH104" s="125">
        <v>82</v>
      </c>
      <c r="AJ104" s="125">
        <v>1105236.1400000001</v>
      </c>
    </row>
    <row r="105" spans="2:36" x14ac:dyDescent="0.2">
      <c r="B105" s="125" t="s">
        <v>115</v>
      </c>
      <c r="C105" s="153">
        <v>642000</v>
      </c>
      <c r="D105" s="154"/>
      <c r="E105" s="154"/>
      <c r="F105" s="162">
        <f>550000+89800</f>
        <v>639800</v>
      </c>
      <c r="G105" s="163">
        <f>[1]UMES!F78</f>
        <v>2200</v>
      </c>
      <c r="H105" s="164">
        <f>[1]UMES!H78</f>
        <v>0</v>
      </c>
      <c r="I105" s="162">
        <f>[1]UMES!I78</f>
        <v>0</v>
      </c>
      <c r="J105" s="167">
        <f>[1]UMES!J78</f>
        <v>0</v>
      </c>
      <c r="K105" s="167">
        <f>[1]UMES!K78</f>
        <v>0</v>
      </c>
      <c r="L105" s="162">
        <f t="shared" si="20"/>
        <v>2200</v>
      </c>
      <c r="M105" s="162">
        <f t="shared" si="21"/>
        <v>0</v>
      </c>
      <c r="N105" s="162">
        <v>0</v>
      </c>
      <c r="O105" s="162">
        <v>0</v>
      </c>
      <c r="AF105" s="136">
        <f t="shared" si="19"/>
        <v>0</v>
      </c>
      <c r="AH105" s="125">
        <v>83</v>
      </c>
      <c r="AJ105" s="125">
        <v>0</v>
      </c>
    </row>
    <row r="106" spans="2:36" x14ac:dyDescent="0.2">
      <c r="B106" s="125" t="s">
        <v>116</v>
      </c>
      <c r="C106" s="153">
        <v>1452000</v>
      </c>
      <c r="D106" s="154"/>
      <c r="E106" s="154"/>
      <c r="F106" s="162">
        <f>75864.25</f>
        <v>75864.25</v>
      </c>
      <c r="G106" s="163">
        <f>[1]UMBC!F57</f>
        <v>1376135.75</v>
      </c>
      <c r="H106" s="164">
        <f>[1]UMBC!H57</f>
        <v>134506.43000000002</v>
      </c>
      <c r="I106" s="162">
        <f>[1]UMBC!I57</f>
        <v>0</v>
      </c>
      <c r="J106" s="167">
        <f>[1]UMBC!J57</f>
        <v>0</v>
      </c>
      <c r="K106" s="167">
        <f>[1]UMBC!K57</f>
        <v>0</v>
      </c>
      <c r="L106" s="162">
        <f t="shared" si="20"/>
        <v>1241629.32</v>
      </c>
      <c r="M106" s="162">
        <f t="shared" si="21"/>
        <v>0</v>
      </c>
      <c r="N106" s="162">
        <v>79381.630000000019</v>
      </c>
      <c r="O106" s="162">
        <v>55124.800000000003</v>
      </c>
      <c r="AF106" s="136">
        <f t="shared" si="19"/>
        <v>0</v>
      </c>
      <c r="AH106" s="125">
        <v>84</v>
      </c>
      <c r="AJ106" s="125">
        <v>134506.43000000002</v>
      </c>
    </row>
    <row r="107" spans="2:36" x14ac:dyDescent="0.2">
      <c r="B107" s="125" t="s">
        <v>117</v>
      </c>
      <c r="C107" s="153">
        <v>317000</v>
      </c>
      <c r="D107" s="154"/>
      <c r="E107" s="154"/>
      <c r="F107" s="162">
        <f>317000</f>
        <v>317000</v>
      </c>
      <c r="G107" s="163">
        <v>0</v>
      </c>
      <c r="H107" s="164">
        <v>0</v>
      </c>
      <c r="I107" s="162">
        <v>0</v>
      </c>
      <c r="J107" s="167">
        <v>0</v>
      </c>
      <c r="K107" s="167">
        <v>0</v>
      </c>
      <c r="L107" s="162">
        <f t="shared" si="20"/>
        <v>0</v>
      </c>
      <c r="M107" s="162">
        <f t="shared" si="21"/>
        <v>0</v>
      </c>
      <c r="N107" s="162">
        <v>0</v>
      </c>
      <c r="O107" s="162">
        <v>0</v>
      </c>
      <c r="AF107" s="136">
        <f t="shared" si="19"/>
        <v>0</v>
      </c>
      <c r="AH107" s="125">
        <v>85</v>
      </c>
      <c r="AJ107" s="125">
        <v>0</v>
      </c>
    </row>
    <row r="108" spans="2:36" s="175" customFormat="1" x14ac:dyDescent="0.2">
      <c r="B108" s="175" t="s">
        <v>118</v>
      </c>
      <c r="C108" s="176">
        <v>554000</v>
      </c>
      <c r="D108" s="177"/>
      <c r="E108" s="177"/>
      <c r="F108" s="178">
        <f>385023.91+8523.63</f>
        <v>393547.54</v>
      </c>
      <c r="G108" s="179">
        <f>[1]BSU!F60</f>
        <v>160452.45999999996</v>
      </c>
      <c r="H108" s="179">
        <f>[1]BSU!H60</f>
        <v>160452.46</v>
      </c>
      <c r="I108" s="178">
        <f>[1]BSU!I60</f>
        <v>0</v>
      </c>
      <c r="J108" s="180">
        <f>[1]BSU!J60</f>
        <v>0</v>
      </c>
      <c r="K108" s="180">
        <f>[1]BSU!K60</f>
        <v>0</v>
      </c>
      <c r="L108" s="178">
        <f t="shared" si="20"/>
        <v>-2.9103830456733704E-11</v>
      </c>
      <c r="M108" s="178">
        <f t="shared" si="21"/>
        <v>0</v>
      </c>
      <c r="N108" s="178">
        <v>160452.46</v>
      </c>
      <c r="O108" s="178">
        <v>0</v>
      </c>
      <c r="P108" s="181"/>
      <c r="Q108" s="181"/>
      <c r="R108" s="181"/>
      <c r="V108" s="182"/>
      <c r="W108" s="183"/>
      <c r="AA108" s="184"/>
      <c r="AB108" s="184"/>
      <c r="AC108" s="184"/>
      <c r="AD108" s="184"/>
      <c r="AE108" s="185"/>
      <c r="AF108" s="185">
        <f t="shared" si="19"/>
        <v>0</v>
      </c>
      <c r="AH108" s="175">
        <v>86</v>
      </c>
      <c r="AJ108" s="175">
        <v>0</v>
      </c>
    </row>
    <row r="109" spans="2:36" x14ac:dyDescent="0.2">
      <c r="B109" s="125" t="s">
        <v>119</v>
      </c>
      <c r="C109" s="153">
        <v>309000</v>
      </c>
      <c r="D109" s="154"/>
      <c r="E109" s="154"/>
      <c r="F109" s="162">
        <f>309000</f>
        <v>309000</v>
      </c>
      <c r="G109" s="163">
        <f>[1]CSU!F56</f>
        <v>0</v>
      </c>
      <c r="H109" s="164">
        <f>[1]CSU!H56</f>
        <v>0</v>
      </c>
      <c r="I109" s="162">
        <f>[1]CSU!I56</f>
        <v>0</v>
      </c>
      <c r="J109" s="167">
        <f>[1]CSU!J56</f>
        <v>0</v>
      </c>
      <c r="K109" s="167">
        <f>[1]CSU!K56</f>
        <v>0</v>
      </c>
      <c r="L109" s="162">
        <f t="shared" si="20"/>
        <v>0</v>
      </c>
      <c r="M109" s="162">
        <f t="shared" si="21"/>
        <v>0</v>
      </c>
      <c r="N109" s="162">
        <v>0</v>
      </c>
      <c r="O109" s="162">
        <v>0</v>
      </c>
      <c r="AF109" s="136">
        <f t="shared" si="19"/>
        <v>0</v>
      </c>
      <c r="AH109" s="125">
        <v>87</v>
      </c>
      <c r="AJ109" s="125">
        <v>0</v>
      </c>
    </row>
    <row r="110" spans="2:36" x14ac:dyDescent="0.2">
      <c r="B110" s="125" t="s">
        <v>120</v>
      </c>
      <c r="C110" s="153">
        <v>645000</v>
      </c>
      <c r="D110" s="154"/>
      <c r="E110" s="154"/>
      <c r="F110" s="162">
        <f>36199.86+216461.22+179395.12</f>
        <v>432056.2</v>
      </c>
      <c r="G110" s="163">
        <f>[1]FSU!F91</f>
        <v>212943.80000000005</v>
      </c>
      <c r="H110" s="164">
        <f>[1]FSU!H91</f>
        <v>212943.8</v>
      </c>
      <c r="I110" s="162">
        <f>[1]FSU!I91</f>
        <v>0</v>
      </c>
      <c r="J110" s="167">
        <f>[1]FSU!J91</f>
        <v>0</v>
      </c>
      <c r="K110" s="167">
        <f>[1]FSU!K91</f>
        <v>0</v>
      </c>
      <c r="L110" s="162">
        <f t="shared" si="20"/>
        <v>5.8207660913467407E-11</v>
      </c>
      <c r="M110" s="162">
        <f t="shared" si="21"/>
        <v>0</v>
      </c>
      <c r="N110" s="162">
        <v>0</v>
      </c>
      <c r="O110" s="162">
        <v>212943.8</v>
      </c>
      <c r="AF110" s="136">
        <f t="shared" si="19"/>
        <v>0</v>
      </c>
      <c r="AH110" s="125">
        <v>88</v>
      </c>
      <c r="AJ110" s="125">
        <v>212943.8</v>
      </c>
    </row>
    <row r="111" spans="2:36" x14ac:dyDescent="0.2">
      <c r="B111" s="125" t="s">
        <v>137</v>
      </c>
      <c r="C111" s="153">
        <v>536000</v>
      </c>
      <c r="D111" s="154"/>
      <c r="E111" s="154"/>
      <c r="F111" s="162">
        <f>49413.17+486586.83</f>
        <v>536000</v>
      </c>
      <c r="G111" s="163">
        <f>[1]SU!F60</f>
        <v>0</v>
      </c>
      <c r="H111" s="164">
        <f>[1]SU!H60</f>
        <v>0</v>
      </c>
      <c r="I111" s="162">
        <f>[1]SU!I60</f>
        <v>0</v>
      </c>
      <c r="J111" s="167">
        <f>[1]SU!J60</f>
        <v>0</v>
      </c>
      <c r="K111" s="167">
        <f>[1]SU!K60</f>
        <v>0</v>
      </c>
      <c r="L111" s="162">
        <f t="shared" si="20"/>
        <v>0</v>
      </c>
      <c r="M111" s="162">
        <f t="shared" si="21"/>
        <v>0</v>
      </c>
      <c r="N111" s="162">
        <v>0</v>
      </c>
      <c r="O111" s="162">
        <v>0</v>
      </c>
      <c r="AF111" s="136">
        <f t="shared" si="19"/>
        <v>0</v>
      </c>
      <c r="AH111" s="125">
        <v>89</v>
      </c>
      <c r="AJ111" s="125">
        <v>0</v>
      </c>
    </row>
    <row r="112" spans="2:36" x14ac:dyDescent="0.2">
      <c r="B112" s="125" t="s">
        <v>122</v>
      </c>
      <c r="C112" s="153">
        <f>525000+575000+489000</f>
        <v>1589000</v>
      </c>
      <c r="D112" s="154"/>
      <c r="E112" s="154"/>
      <c r="F112" s="162">
        <f>360938.78+43732.93</f>
        <v>404671.71</v>
      </c>
      <c r="G112" s="163">
        <f>[1]TU!F87+[1]TU!F103+[1]TU!F112</f>
        <v>1184328.29</v>
      </c>
      <c r="H112" s="164">
        <f>[1]TU!H87+[1]TU!H103+[1]TU!H112</f>
        <v>760322.97</v>
      </c>
      <c r="I112" s="162">
        <f>[1]TU!I87+[1]TU!I103+[1]TU!I112</f>
        <v>0</v>
      </c>
      <c r="J112" s="167">
        <f>[1]TU!J87+[1]TU!J103+[1]TU!J112</f>
        <v>0</v>
      </c>
      <c r="K112" s="167">
        <f>[1]TU!K87+[1]TU!K103+[1]TU!K112</f>
        <v>0</v>
      </c>
      <c r="L112" s="162">
        <f t="shared" si="20"/>
        <v>424005.32000000007</v>
      </c>
      <c r="M112" s="162">
        <f t="shared" si="21"/>
        <v>114342.17999999993</v>
      </c>
      <c r="N112" s="162">
        <v>474747.43000000005</v>
      </c>
      <c r="O112" s="162">
        <v>171233.36</v>
      </c>
      <c r="AF112" s="136">
        <f t="shared" si="19"/>
        <v>0</v>
      </c>
      <c r="AH112" s="125">
        <v>90</v>
      </c>
      <c r="AJ112" s="125">
        <v>226231.86</v>
      </c>
    </row>
    <row r="113" spans="1:36" s="175" customFormat="1" x14ac:dyDescent="0.2">
      <c r="B113" s="175" t="s">
        <v>123</v>
      </c>
      <c r="C113" s="176">
        <v>418000</v>
      </c>
      <c r="D113" s="177"/>
      <c r="E113" s="177"/>
      <c r="F113" s="178">
        <f>157585.77+164124.54+19900+15132.35+4208.6</f>
        <v>360951.25999999995</v>
      </c>
      <c r="G113" s="179">
        <f>[1]UB!F76</f>
        <v>57048.739999999991</v>
      </c>
      <c r="H113" s="186">
        <f>[1]UB!H76</f>
        <v>37409.100000000006</v>
      </c>
      <c r="I113" s="178">
        <f>[1]UB!I76</f>
        <v>0</v>
      </c>
      <c r="J113" s="180">
        <f>[1]UB!J76</f>
        <v>0</v>
      </c>
      <c r="K113" s="180">
        <f>[1]UB!K76</f>
        <v>0</v>
      </c>
      <c r="L113" s="178">
        <f t="shared" si="20"/>
        <v>19639.639999999985</v>
      </c>
      <c r="M113" s="178">
        <f t="shared" si="21"/>
        <v>0</v>
      </c>
      <c r="N113" s="178">
        <v>10436.270000000004</v>
      </c>
      <c r="O113" s="178">
        <v>26972.83</v>
      </c>
      <c r="P113" s="181"/>
      <c r="Q113" s="181"/>
      <c r="R113" s="181"/>
      <c r="V113" s="182"/>
      <c r="W113" s="183"/>
      <c r="AA113" s="184"/>
      <c r="AB113" s="184"/>
      <c r="AC113" s="184"/>
      <c r="AD113" s="184"/>
      <c r="AE113" s="185"/>
      <c r="AF113" s="185">
        <f t="shared" si="19"/>
        <v>5.8207660913467407E-11</v>
      </c>
      <c r="AH113" s="175">
        <v>91</v>
      </c>
      <c r="AJ113" s="175">
        <v>28566.100000000002</v>
      </c>
    </row>
    <row r="114" spans="1:36" x14ac:dyDescent="0.2">
      <c r="B114" s="165" t="s">
        <v>127</v>
      </c>
      <c r="C114" s="153">
        <v>2209000</v>
      </c>
      <c r="D114" s="125"/>
      <c r="E114" s="162">
        <f>955.58+30+236864.83+43817.68+38000+113000+563000+287627.14-24627.14-1400000-1520000</f>
        <v>-1661331.91</v>
      </c>
      <c r="F114" s="162"/>
      <c r="G114" s="163">
        <f>'[1]Emergency Funds'!G37</f>
        <v>547668.09000000032</v>
      </c>
      <c r="H114" s="164"/>
      <c r="I114" s="162"/>
      <c r="J114" s="167"/>
      <c r="K114" s="167"/>
      <c r="L114" s="162">
        <f t="shared" si="20"/>
        <v>547668.09000000032</v>
      </c>
      <c r="M114" s="162">
        <f t="shared" si="21"/>
        <v>0</v>
      </c>
      <c r="N114" s="162"/>
      <c r="O114" s="162"/>
      <c r="AF114" s="136">
        <f t="shared" si="19"/>
        <v>0</v>
      </c>
      <c r="AH114" s="125">
        <v>92</v>
      </c>
    </row>
    <row r="115" spans="1:36" x14ac:dyDescent="0.2">
      <c r="B115" s="125" t="s">
        <v>155</v>
      </c>
      <c r="C115" s="153"/>
      <c r="D115" s="125"/>
      <c r="E115" s="162">
        <v>1400000</v>
      </c>
      <c r="F115" s="162">
        <f>301683.5+1098316.5</f>
        <v>1400000</v>
      </c>
      <c r="G115" s="163">
        <f>[1]UMES!F31</f>
        <v>0</v>
      </c>
      <c r="H115" s="164">
        <f>[1]UMES!H31</f>
        <v>0</v>
      </c>
      <c r="I115" s="162"/>
      <c r="J115" s="167"/>
      <c r="K115" s="167"/>
      <c r="L115" s="162">
        <f t="shared" si="20"/>
        <v>0</v>
      </c>
      <c r="M115" s="162">
        <f t="shared" si="21"/>
        <v>0</v>
      </c>
      <c r="N115" s="162">
        <v>0</v>
      </c>
      <c r="O115" s="162">
        <v>0</v>
      </c>
      <c r="AF115" s="136">
        <f t="shared" si="19"/>
        <v>0</v>
      </c>
      <c r="AH115" s="125">
        <v>93</v>
      </c>
      <c r="AJ115" s="125">
        <v>0</v>
      </c>
    </row>
    <row r="116" spans="1:36" x14ac:dyDescent="0.2">
      <c r="B116" s="125" t="s">
        <v>156</v>
      </c>
      <c r="C116" s="153"/>
      <c r="D116" s="125"/>
      <c r="E116" s="162">
        <v>1520000</v>
      </c>
      <c r="F116" s="162">
        <f>145740.07</f>
        <v>145740.07</v>
      </c>
      <c r="G116" s="163">
        <f>'[1]USM &amp; COI'!G45</f>
        <v>1374259.93</v>
      </c>
      <c r="H116" s="164">
        <f>'[1]USM &amp; COI'!H45</f>
        <v>1374259.93</v>
      </c>
      <c r="I116" s="162"/>
      <c r="J116" s="167"/>
      <c r="K116" s="167">
        <f>'[1]USM &amp; COI'!K45</f>
        <v>0</v>
      </c>
      <c r="L116" s="162">
        <f t="shared" si="20"/>
        <v>0</v>
      </c>
      <c r="M116" s="162">
        <f t="shared" si="21"/>
        <v>0</v>
      </c>
      <c r="N116" s="162">
        <v>744416.44</v>
      </c>
      <c r="O116" s="162">
        <v>629843.49</v>
      </c>
      <c r="AF116" s="136">
        <f t="shared" si="19"/>
        <v>0</v>
      </c>
      <c r="AH116" s="125">
        <v>94</v>
      </c>
      <c r="AJ116" s="125">
        <v>1374259.93</v>
      </c>
    </row>
    <row r="117" spans="1:36" x14ac:dyDescent="0.2">
      <c r="B117" s="165"/>
      <c r="C117" s="153"/>
      <c r="D117" s="154"/>
      <c r="E117" s="154"/>
      <c r="F117" s="162"/>
      <c r="G117" s="163"/>
      <c r="H117" s="164"/>
      <c r="I117" s="162"/>
      <c r="J117" s="167"/>
      <c r="K117" s="167"/>
      <c r="L117" s="162"/>
      <c r="M117" s="162"/>
      <c r="N117" s="162"/>
      <c r="O117" s="162"/>
      <c r="AH117" s="125">
        <v>95</v>
      </c>
    </row>
    <row r="118" spans="1:36" ht="13.5" thickBot="1" x14ac:dyDescent="0.25">
      <c r="B118" s="168" t="s">
        <v>157</v>
      </c>
      <c r="C118" s="169">
        <f>SUM(C97:C117)</f>
        <v>34000000</v>
      </c>
      <c r="D118" s="169">
        <f t="shared" ref="D118:O118" si="22">SUM(D97:D117)</f>
        <v>0</v>
      </c>
      <c r="E118" s="169">
        <f t="shared" si="22"/>
        <v>1258668.0900000001</v>
      </c>
      <c r="F118" s="169">
        <f>SUM(F97:F117)</f>
        <v>24315956.98</v>
      </c>
      <c r="G118" s="169">
        <f t="shared" si="22"/>
        <v>10942711.110000001</v>
      </c>
      <c r="H118" s="169">
        <f>SUM(H97:H117)</f>
        <v>4939467.91</v>
      </c>
      <c r="I118" s="169">
        <f t="shared" si="22"/>
        <v>0</v>
      </c>
      <c r="J118" s="169">
        <f t="shared" si="22"/>
        <v>0</v>
      </c>
      <c r="K118" s="169">
        <f t="shared" si="22"/>
        <v>0</v>
      </c>
      <c r="L118" s="169">
        <f t="shared" si="22"/>
        <v>6003243.2000000011</v>
      </c>
      <c r="M118" s="169">
        <f t="shared" si="22"/>
        <v>538050.5499999997</v>
      </c>
      <c r="N118" s="169">
        <f t="shared" si="22"/>
        <v>2321837.5</v>
      </c>
      <c r="O118" s="169">
        <f t="shared" si="22"/>
        <v>2079579.86</v>
      </c>
      <c r="U118" s="168" t="s">
        <v>129</v>
      </c>
      <c r="V118" s="133">
        <v>22</v>
      </c>
      <c r="AA118" s="169">
        <f>SUM(AA100:AA117)</f>
        <v>0</v>
      </c>
      <c r="AB118" s="169">
        <f>SUM(AB100:AB117)</f>
        <v>0</v>
      </c>
      <c r="AC118" s="169">
        <f>SUM(AC100:AC117)</f>
        <v>0</v>
      </c>
      <c r="AD118" s="169">
        <f>SUM(AD100:AD117)</f>
        <v>0</v>
      </c>
      <c r="AF118" s="136">
        <f>C118+D118+E118-F118-G118</f>
        <v>0</v>
      </c>
      <c r="AH118" s="125">
        <v>96</v>
      </c>
      <c r="AJ118" s="125">
        <v>3081744.26</v>
      </c>
    </row>
    <row r="119" spans="1:36" ht="13.5" thickTop="1" x14ac:dyDescent="0.2">
      <c r="B119" s="165"/>
      <c r="C119" s="153"/>
      <c r="D119" s="154"/>
      <c r="E119" s="154"/>
      <c r="F119" s="162"/>
      <c r="G119" s="163"/>
      <c r="H119" s="164"/>
      <c r="I119" s="162"/>
      <c r="J119" s="167"/>
      <c r="K119" s="167"/>
      <c r="L119" s="162"/>
      <c r="M119" s="162"/>
      <c r="N119" s="162"/>
      <c r="O119" s="162"/>
      <c r="AH119" s="125">
        <v>97</v>
      </c>
    </row>
    <row r="120" spans="1:36" x14ac:dyDescent="0.2">
      <c r="A120" s="165" t="s">
        <v>158</v>
      </c>
      <c r="C120" s="153"/>
      <c r="D120" s="154"/>
      <c r="E120" s="154"/>
      <c r="F120" s="187"/>
      <c r="G120" s="163"/>
      <c r="H120" s="164"/>
      <c r="I120" s="163"/>
      <c r="J120" s="163"/>
      <c r="K120" s="163"/>
      <c r="L120" s="162"/>
      <c r="M120" s="162"/>
      <c r="N120" s="162"/>
      <c r="O120" s="162"/>
      <c r="T120" s="165" t="s">
        <v>109</v>
      </c>
      <c r="V120" s="133">
        <v>5</v>
      </c>
      <c r="AH120" s="125">
        <v>98</v>
      </c>
    </row>
    <row r="121" spans="1:36" x14ac:dyDescent="0.2">
      <c r="B121" s="125" t="s">
        <v>159</v>
      </c>
      <c r="C121" s="153">
        <v>5000000</v>
      </c>
      <c r="D121" s="154"/>
      <c r="E121" s="154"/>
      <c r="F121" s="188">
        <f>1519594.09+758267.97+1278318.07</f>
        <v>3556180.13</v>
      </c>
      <c r="G121" s="163">
        <f>[1]UMBC!F82</f>
        <v>1443819.8700000003</v>
      </c>
      <c r="H121" s="164">
        <f>[1]UMBC!H82</f>
        <v>2814.5699999999997</v>
      </c>
      <c r="I121" s="162">
        <f>[1]UMBC!I82</f>
        <v>0</v>
      </c>
      <c r="J121" s="167">
        <f>[1]UMBC!J82</f>
        <v>0</v>
      </c>
      <c r="K121" s="167">
        <f>[1]UMBC!K82</f>
        <v>0</v>
      </c>
      <c r="L121" s="162">
        <f>G121-H121-I121-J121-K121</f>
        <v>1441005.3000000003</v>
      </c>
      <c r="M121" s="162">
        <f t="shared" ref="M121:M139" si="23">H121-N121-O121</f>
        <v>0</v>
      </c>
      <c r="N121" s="162">
        <v>2814.5699999999997</v>
      </c>
      <c r="O121" s="162">
        <v>0</v>
      </c>
      <c r="P121" s="159">
        <v>51</v>
      </c>
      <c r="Q121" s="159">
        <v>39</v>
      </c>
      <c r="R121" s="159" t="s">
        <v>160</v>
      </c>
      <c r="AF121" s="136">
        <f t="shared" ref="AF121:AF139" si="24">C121+D121+E121-F121-G121</f>
        <v>0</v>
      </c>
      <c r="AH121" s="125">
        <v>99</v>
      </c>
      <c r="AI121" s="125" t="s">
        <v>111</v>
      </c>
      <c r="AJ121" s="125">
        <v>0</v>
      </c>
    </row>
    <row r="122" spans="1:36" x14ac:dyDescent="0.2">
      <c r="B122" s="125" t="s">
        <v>154</v>
      </c>
      <c r="C122" s="153">
        <v>2000000</v>
      </c>
      <c r="D122" s="154"/>
      <c r="E122" s="154"/>
      <c r="F122" s="163">
        <f>2000000</f>
        <v>2000000</v>
      </c>
      <c r="G122" s="163">
        <v>0</v>
      </c>
      <c r="H122" s="164">
        <v>0</v>
      </c>
      <c r="I122" s="162">
        <v>0</v>
      </c>
      <c r="J122" s="167">
        <v>0</v>
      </c>
      <c r="K122" s="167">
        <v>0</v>
      </c>
      <c r="L122" s="162">
        <f>G122-H122-I122-J122-K122</f>
        <v>0</v>
      </c>
      <c r="M122" s="162">
        <f t="shared" si="23"/>
        <v>0</v>
      </c>
      <c r="N122" s="162">
        <v>0</v>
      </c>
      <c r="O122" s="162">
        <v>0</v>
      </c>
      <c r="P122" s="159">
        <v>52</v>
      </c>
      <c r="Q122" s="159">
        <v>39</v>
      </c>
      <c r="R122" s="159" t="s">
        <v>160</v>
      </c>
      <c r="AF122" s="136">
        <f t="shared" si="24"/>
        <v>0</v>
      </c>
      <c r="AH122" s="125">
        <v>100</v>
      </c>
      <c r="AJ122" s="125">
        <v>0</v>
      </c>
    </row>
    <row r="123" spans="1:36" x14ac:dyDescent="0.2">
      <c r="B123" s="165" t="s">
        <v>112</v>
      </c>
      <c r="C123" s="153"/>
      <c r="D123" s="154"/>
      <c r="E123" s="154"/>
      <c r="F123" s="163"/>
      <c r="G123" s="163"/>
      <c r="H123" s="164"/>
      <c r="I123" s="162"/>
      <c r="J123" s="167"/>
      <c r="K123" s="167"/>
      <c r="L123" s="162"/>
      <c r="M123" s="162"/>
      <c r="N123" s="162"/>
      <c r="O123" s="162"/>
      <c r="AF123" s="136">
        <f t="shared" si="24"/>
        <v>0</v>
      </c>
      <c r="AH123" s="125">
        <v>101</v>
      </c>
    </row>
    <row r="124" spans="1:36" x14ac:dyDescent="0.2">
      <c r="B124" s="125" t="s">
        <v>113</v>
      </c>
      <c r="C124" s="153">
        <v>7300000</v>
      </c>
      <c r="D124" s="154"/>
      <c r="E124" s="154"/>
      <c r="F124" s="163">
        <f>7300000</f>
        <v>7300000</v>
      </c>
      <c r="G124" s="163">
        <v>0</v>
      </c>
      <c r="H124" s="164">
        <v>0</v>
      </c>
      <c r="I124" s="162">
        <v>0</v>
      </c>
      <c r="J124" s="167">
        <v>0</v>
      </c>
      <c r="K124" s="167">
        <v>0</v>
      </c>
      <c r="L124" s="162">
        <f>G124-H124-I124-J124-K124</f>
        <v>0</v>
      </c>
      <c r="M124" s="162">
        <f t="shared" si="23"/>
        <v>0</v>
      </c>
      <c r="N124" s="162">
        <v>0</v>
      </c>
      <c r="O124" s="162">
        <v>0</v>
      </c>
      <c r="P124" s="159" t="s">
        <v>161</v>
      </c>
      <c r="Q124" s="159">
        <v>39</v>
      </c>
      <c r="R124" s="159" t="s">
        <v>160</v>
      </c>
      <c r="AF124" s="136">
        <f t="shared" si="24"/>
        <v>0</v>
      </c>
      <c r="AH124" s="125">
        <v>102</v>
      </c>
      <c r="AJ124" s="125">
        <v>0</v>
      </c>
    </row>
    <row r="125" spans="1:36" x14ac:dyDescent="0.2">
      <c r="B125" s="125" t="s">
        <v>114</v>
      </c>
      <c r="C125" s="153">
        <v>2675000</v>
      </c>
      <c r="D125" s="154"/>
      <c r="E125" s="154"/>
      <c r="F125" s="162">
        <f>13390+405590.39+429133.23</f>
        <v>848113.62</v>
      </c>
      <c r="G125" s="163">
        <f>[1]UMB!F160</f>
        <v>1826886.38</v>
      </c>
      <c r="H125" s="164">
        <f>[1]UMB!H160</f>
        <v>1014428.9500000001</v>
      </c>
      <c r="I125" s="162">
        <f>[1]UMB!I160</f>
        <v>0</v>
      </c>
      <c r="J125" s="167">
        <f>[1]UMB!J160</f>
        <v>0</v>
      </c>
      <c r="K125" s="167">
        <f>[1]UMB!K160</f>
        <v>0</v>
      </c>
      <c r="L125" s="162">
        <f t="shared" ref="L125:L139" si="25">G125-H125-I125-J125-K125</f>
        <v>812457.42999999982</v>
      </c>
      <c r="M125" s="162">
        <f t="shared" si="23"/>
        <v>8077.4599999999627</v>
      </c>
      <c r="N125" s="162">
        <v>202099.75000000012</v>
      </c>
      <c r="O125" s="162">
        <v>804251.74</v>
      </c>
      <c r="P125" s="159" t="s">
        <v>161</v>
      </c>
      <c r="Q125" s="159">
        <v>39</v>
      </c>
      <c r="R125" s="159" t="s">
        <v>160</v>
      </c>
      <c r="AF125" s="136">
        <f t="shared" si="24"/>
        <v>0</v>
      </c>
      <c r="AH125" s="125">
        <v>103</v>
      </c>
      <c r="AJ125" s="125">
        <v>921582.1100000001</v>
      </c>
    </row>
    <row r="126" spans="1:36" x14ac:dyDescent="0.2">
      <c r="B126" s="125" t="s">
        <v>115</v>
      </c>
      <c r="C126" s="153">
        <v>642000</v>
      </c>
      <c r="D126" s="154"/>
      <c r="E126" s="154"/>
      <c r="F126" s="162">
        <v>832.28</v>
      </c>
      <c r="G126" s="163">
        <f>[1]UMES!F99</f>
        <v>641167.72</v>
      </c>
      <c r="H126" s="164">
        <f>[1]UMES!H99</f>
        <v>480467.08000000007</v>
      </c>
      <c r="I126" s="162">
        <f>[1]UMES!I99</f>
        <v>0</v>
      </c>
      <c r="J126" s="167">
        <f>[1]UMES!J99</f>
        <v>0</v>
      </c>
      <c r="K126" s="167">
        <f>[1]UMES!K99</f>
        <v>0</v>
      </c>
      <c r="L126" s="162">
        <f t="shared" si="25"/>
        <v>160700.6399999999</v>
      </c>
      <c r="M126" s="162">
        <f t="shared" si="23"/>
        <v>810.64999999996508</v>
      </c>
      <c r="N126" s="162">
        <v>479656.43000000011</v>
      </c>
      <c r="O126" s="162">
        <v>0</v>
      </c>
      <c r="P126" s="159" t="s">
        <v>161</v>
      </c>
      <c r="Q126" s="159">
        <v>39</v>
      </c>
      <c r="R126" s="159" t="s">
        <v>160</v>
      </c>
      <c r="AF126" s="136">
        <f t="shared" si="24"/>
        <v>0</v>
      </c>
      <c r="AH126" s="125">
        <v>104</v>
      </c>
      <c r="AJ126" s="125">
        <v>479483.93000000011</v>
      </c>
    </row>
    <row r="127" spans="1:36" x14ac:dyDescent="0.2">
      <c r="B127" s="125" t="s">
        <v>116</v>
      </c>
      <c r="C127" s="153">
        <v>1452000</v>
      </c>
      <c r="D127" s="154"/>
      <c r="E127" s="154"/>
      <c r="F127" s="162">
        <f>340834.58+54036.14+38394.56</f>
        <v>433265.28</v>
      </c>
      <c r="G127" s="163">
        <f>[1]UMBC!F73</f>
        <v>1018734.72</v>
      </c>
      <c r="H127" s="164">
        <f>[1]UMBC!H73</f>
        <v>155222.82999999999</v>
      </c>
      <c r="I127" s="162">
        <f>[1]UMBC!I73</f>
        <v>0</v>
      </c>
      <c r="J127" s="167">
        <f>[1]UMBC!J73</f>
        <v>0</v>
      </c>
      <c r="K127" s="167">
        <f>[1]UMBC!K73</f>
        <v>0</v>
      </c>
      <c r="L127" s="162">
        <f t="shared" si="25"/>
        <v>863511.89</v>
      </c>
      <c r="M127" s="162">
        <f t="shared" si="23"/>
        <v>0</v>
      </c>
      <c r="N127" s="162">
        <v>118919.48999999999</v>
      </c>
      <c r="O127" s="162">
        <v>36303.339999999997</v>
      </c>
      <c r="P127" s="159" t="s">
        <v>161</v>
      </c>
      <c r="Q127" s="159">
        <v>39</v>
      </c>
      <c r="R127" s="159" t="s">
        <v>160</v>
      </c>
      <c r="AF127" s="136">
        <f t="shared" si="24"/>
        <v>0</v>
      </c>
      <c r="AH127" s="125">
        <v>105</v>
      </c>
      <c r="AJ127" s="125">
        <v>158037.4</v>
      </c>
    </row>
    <row r="128" spans="1:36" x14ac:dyDescent="0.2">
      <c r="B128" s="125" t="s">
        <v>117</v>
      </c>
      <c r="C128" s="153">
        <v>317000</v>
      </c>
      <c r="D128" s="154"/>
      <c r="E128" s="154"/>
      <c r="F128" s="162">
        <v>317000</v>
      </c>
      <c r="G128" s="163">
        <v>0</v>
      </c>
      <c r="H128" s="164">
        <v>0</v>
      </c>
      <c r="I128" s="162">
        <v>0</v>
      </c>
      <c r="J128" s="167">
        <v>0</v>
      </c>
      <c r="K128" s="167">
        <v>0</v>
      </c>
      <c r="L128" s="162">
        <f t="shared" si="25"/>
        <v>0</v>
      </c>
      <c r="M128" s="162">
        <f t="shared" si="23"/>
        <v>0</v>
      </c>
      <c r="N128" s="162">
        <v>0</v>
      </c>
      <c r="O128" s="162">
        <v>0</v>
      </c>
      <c r="P128" s="159" t="s">
        <v>161</v>
      </c>
      <c r="Q128" s="159">
        <v>39</v>
      </c>
      <c r="R128" s="159" t="s">
        <v>160</v>
      </c>
      <c r="AF128" s="136">
        <f t="shared" si="24"/>
        <v>0</v>
      </c>
      <c r="AH128" s="125">
        <v>106</v>
      </c>
      <c r="AJ128" s="125">
        <v>0</v>
      </c>
    </row>
    <row r="129" spans="1:36" x14ac:dyDescent="0.2">
      <c r="B129" s="125" t="s">
        <v>118</v>
      </c>
      <c r="C129" s="153">
        <v>554000</v>
      </c>
      <c r="D129" s="154"/>
      <c r="E129" s="154"/>
      <c r="F129" s="162">
        <f>144688.18+409311.82</f>
        <v>554000</v>
      </c>
      <c r="G129" s="163">
        <v>0</v>
      </c>
      <c r="H129" s="164">
        <v>0</v>
      </c>
      <c r="I129" s="162">
        <v>0</v>
      </c>
      <c r="J129" s="167">
        <v>0</v>
      </c>
      <c r="K129" s="167">
        <v>0</v>
      </c>
      <c r="L129" s="162">
        <f t="shared" si="25"/>
        <v>0</v>
      </c>
      <c r="M129" s="162">
        <f t="shared" si="23"/>
        <v>0</v>
      </c>
      <c r="N129" s="162">
        <v>0</v>
      </c>
      <c r="O129" s="162">
        <v>0</v>
      </c>
      <c r="P129" s="159" t="s">
        <v>161</v>
      </c>
      <c r="Q129" s="159">
        <v>39</v>
      </c>
      <c r="R129" s="159" t="s">
        <v>160</v>
      </c>
      <c r="AF129" s="136">
        <f t="shared" si="24"/>
        <v>0</v>
      </c>
      <c r="AH129" s="125">
        <v>107</v>
      </c>
      <c r="AJ129" s="125">
        <v>0</v>
      </c>
    </row>
    <row r="130" spans="1:36" x14ac:dyDescent="0.2">
      <c r="B130" s="125" t="s">
        <v>119</v>
      </c>
      <c r="C130" s="153">
        <v>654000</v>
      </c>
      <c r="D130" s="154"/>
      <c r="E130" s="154"/>
      <c r="F130" s="162">
        <f>405006.46+248993.54</f>
        <v>654000</v>
      </c>
      <c r="G130" s="163">
        <f>[1]CSU!F66</f>
        <v>0</v>
      </c>
      <c r="H130" s="164">
        <f>[1]CSU!H66</f>
        <v>0</v>
      </c>
      <c r="I130" s="162">
        <f>[1]CSU!I66</f>
        <v>0</v>
      </c>
      <c r="J130" s="167">
        <f>[1]CSU!J66</f>
        <v>0</v>
      </c>
      <c r="K130" s="167">
        <f>[1]CSU!K66</f>
        <v>0</v>
      </c>
      <c r="L130" s="162">
        <f t="shared" si="25"/>
        <v>0</v>
      </c>
      <c r="M130" s="162">
        <f t="shared" si="23"/>
        <v>0</v>
      </c>
      <c r="N130" s="162">
        <v>0</v>
      </c>
      <c r="O130" s="162">
        <v>0</v>
      </c>
      <c r="P130" s="159" t="s">
        <v>161</v>
      </c>
      <c r="Q130" s="159">
        <v>39</v>
      </c>
      <c r="R130" s="159" t="s">
        <v>160</v>
      </c>
      <c r="AF130" s="136">
        <f t="shared" si="24"/>
        <v>0</v>
      </c>
      <c r="AH130" s="125">
        <v>108</v>
      </c>
      <c r="AJ130" s="125">
        <v>0</v>
      </c>
    </row>
    <row r="131" spans="1:36" x14ac:dyDescent="0.2">
      <c r="B131" s="125" t="s">
        <v>120</v>
      </c>
      <c r="C131" s="153">
        <v>400000</v>
      </c>
      <c r="D131" s="154"/>
      <c r="E131" s="154"/>
      <c r="F131" s="162">
        <f>96350+239419.19</f>
        <v>335769.19</v>
      </c>
      <c r="G131" s="163">
        <f>[1]FSU!F104</f>
        <v>64230.809999999969</v>
      </c>
      <c r="H131" s="164">
        <f>[1]FSU!H104</f>
        <v>64230.810000000005</v>
      </c>
      <c r="I131" s="162">
        <f>[1]FSU!I104</f>
        <v>0</v>
      </c>
      <c r="J131" s="167">
        <f>[1]FSU!J104</f>
        <v>0</v>
      </c>
      <c r="K131" s="167">
        <f>[1]FSU!K104</f>
        <v>0</v>
      </c>
      <c r="L131" s="162">
        <f t="shared" si="25"/>
        <v>-3.637978807091713E-11</v>
      </c>
      <c r="M131" s="162">
        <f t="shared" si="23"/>
        <v>0</v>
      </c>
      <c r="N131" s="162">
        <v>47239.340000000004</v>
      </c>
      <c r="O131" s="162">
        <v>16991.47</v>
      </c>
      <c r="P131" s="159" t="s">
        <v>161</v>
      </c>
      <c r="Q131" s="159">
        <v>39</v>
      </c>
      <c r="R131" s="159" t="s">
        <v>160</v>
      </c>
      <c r="AF131" s="136">
        <f t="shared" si="24"/>
        <v>0</v>
      </c>
      <c r="AH131" s="125">
        <v>109</v>
      </c>
      <c r="AJ131" s="125">
        <v>64230.810000000005</v>
      </c>
    </row>
    <row r="132" spans="1:36" x14ac:dyDescent="0.2">
      <c r="B132" s="125" t="s">
        <v>137</v>
      </c>
      <c r="C132" s="153">
        <v>536000</v>
      </c>
      <c r="D132" s="154"/>
      <c r="E132" s="154"/>
      <c r="F132" s="162">
        <f>742.5+328152.75</f>
        <v>328895.25</v>
      </c>
      <c r="G132" s="163">
        <f>[1]SU!F71</f>
        <v>207104.75</v>
      </c>
      <c r="H132" s="164">
        <f>[1]SU!H71</f>
        <v>206747.25</v>
      </c>
      <c r="I132" s="162">
        <f>[1]SU!I71</f>
        <v>0</v>
      </c>
      <c r="J132" s="167">
        <f>[1]SU!J71</f>
        <v>0</v>
      </c>
      <c r="K132" s="167">
        <f>[1]SU!K71</f>
        <v>0</v>
      </c>
      <c r="L132" s="162">
        <f t="shared" si="25"/>
        <v>357.5</v>
      </c>
      <c r="M132" s="162">
        <f t="shared" si="23"/>
        <v>0</v>
      </c>
      <c r="N132" s="162">
        <v>204528</v>
      </c>
      <c r="O132" s="162">
        <v>2219.25</v>
      </c>
      <c r="P132" s="159" t="s">
        <v>161</v>
      </c>
      <c r="Q132" s="159">
        <v>39</v>
      </c>
      <c r="R132" s="159" t="s">
        <v>160</v>
      </c>
      <c r="AF132" s="136">
        <f t="shared" si="24"/>
        <v>0</v>
      </c>
      <c r="AH132" s="125">
        <v>110</v>
      </c>
      <c r="AJ132" s="125">
        <v>206747.25</v>
      </c>
    </row>
    <row r="133" spans="1:36" x14ac:dyDescent="0.2">
      <c r="B133" s="125" t="s">
        <v>122</v>
      </c>
      <c r="C133" s="153">
        <v>1589000</v>
      </c>
      <c r="D133" s="154"/>
      <c r="E133" s="154"/>
      <c r="F133" s="162">
        <f>367011.51+207988.49+357268.33+489000</f>
        <v>1421268.33</v>
      </c>
      <c r="G133" s="163">
        <f>[1]TU!F121+[1]TU!F134+[1]TU!F142</f>
        <v>167731.66999999998</v>
      </c>
      <c r="H133" s="164">
        <f>[1]TU!H121+[1]TU!H134+[1]TU!H142</f>
        <v>167731.07</v>
      </c>
      <c r="I133" s="162">
        <f>[1]TU!I121+[1]TU!I134+[1]TU!I142</f>
        <v>0</v>
      </c>
      <c r="J133" s="167">
        <f>[1]TU!J121+[1]TU!J134+[1]TU!J142</f>
        <v>0</v>
      </c>
      <c r="K133" s="167">
        <f>[1]TU!K121+[1]TU!K134+[1]TU!K142</f>
        <v>0</v>
      </c>
      <c r="L133" s="162">
        <f t="shared" si="25"/>
        <v>0.59999999997671694</v>
      </c>
      <c r="M133" s="162">
        <f t="shared" si="23"/>
        <v>0</v>
      </c>
      <c r="N133" s="162">
        <v>122671.07</v>
      </c>
      <c r="O133" s="162">
        <v>45060</v>
      </c>
      <c r="P133" s="159" t="s">
        <v>161</v>
      </c>
      <c r="Q133" s="159">
        <v>39</v>
      </c>
      <c r="R133" s="159" t="s">
        <v>160</v>
      </c>
      <c r="AF133" s="136">
        <f t="shared" si="24"/>
        <v>0</v>
      </c>
      <c r="AH133" s="125">
        <v>111</v>
      </c>
      <c r="AJ133" s="125">
        <v>92480</v>
      </c>
    </row>
    <row r="134" spans="1:36" x14ac:dyDescent="0.2">
      <c r="B134" s="125" t="s">
        <v>123</v>
      </c>
      <c r="C134" s="153">
        <v>418000</v>
      </c>
      <c r="D134" s="154"/>
      <c r="E134" s="154"/>
      <c r="F134" s="162">
        <f>13371.5+295046.47+23808.8</f>
        <v>332226.76999999996</v>
      </c>
      <c r="G134" s="163">
        <f>[1]UB!F84</f>
        <v>85773.230000000025</v>
      </c>
      <c r="H134" s="164">
        <f>[1]UB!H84</f>
        <v>0</v>
      </c>
      <c r="I134" s="162">
        <f>[1]UB!I84</f>
        <v>0</v>
      </c>
      <c r="J134" s="167">
        <f>[1]UB!J84</f>
        <v>0</v>
      </c>
      <c r="K134" s="167">
        <f>[1]UB!K84</f>
        <v>0</v>
      </c>
      <c r="L134" s="162">
        <f t="shared" si="25"/>
        <v>85773.230000000025</v>
      </c>
      <c r="M134" s="162">
        <f t="shared" si="23"/>
        <v>0</v>
      </c>
      <c r="N134" s="162">
        <v>0</v>
      </c>
      <c r="O134" s="162">
        <v>0</v>
      </c>
      <c r="P134" s="159" t="s">
        <v>161</v>
      </c>
      <c r="Q134" s="159">
        <v>39</v>
      </c>
      <c r="R134" s="159" t="s">
        <v>160</v>
      </c>
      <c r="AF134" s="136">
        <f t="shared" si="24"/>
        <v>0</v>
      </c>
      <c r="AH134" s="125">
        <v>112</v>
      </c>
      <c r="AJ134" s="125">
        <v>0</v>
      </c>
    </row>
    <row r="135" spans="1:36" x14ac:dyDescent="0.2">
      <c r="B135" s="189" t="s">
        <v>127</v>
      </c>
      <c r="C135" s="153">
        <v>463000</v>
      </c>
      <c r="D135" s="135"/>
      <c r="E135" s="162">
        <f>8697.6+177641.14+50128.27+162025.87+2318.6+2348.4+847+80.78+16856.95+4079.92+81129.75+3352.47+311231.58-130000+5410.7+0.44+569.73+0.7-88000-200000-315000</f>
        <v>93719.899999999907</v>
      </c>
      <c r="F135" s="162"/>
      <c r="G135" s="163">
        <f>'[1]Emergency Funds'!G62</f>
        <v>556719.89999999991</v>
      </c>
      <c r="H135" s="164">
        <f>'[1]Emergency Funds'!H62</f>
        <v>0</v>
      </c>
      <c r="I135" s="162"/>
      <c r="J135" s="167"/>
      <c r="K135" s="167"/>
      <c r="L135" s="162">
        <f t="shared" si="25"/>
        <v>556719.89999999991</v>
      </c>
      <c r="M135" s="162">
        <f t="shared" si="23"/>
        <v>0</v>
      </c>
      <c r="N135" s="162">
        <v>0</v>
      </c>
      <c r="O135" s="162"/>
      <c r="P135" s="159" t="s">
        <v>161</v>
      </c>
      <c r="Q135" s="159">
        <v>39</v>
      </c>
      <c r="R135" s="159" t="s">
        <v>160</v>
      </c>
      <c r="AF135" s="136">
        <f t="shared" si="24"/>
        <v>0</v>
      </c>
      <c r="AH135" s="125">
        <v>113</v>
      </c>
    </row>
    <row r="136" spans="1:36" x14ac:dyDescent="0.2">
      <c r="B136" s="125" t="s">
        <v>162</v>
      </c>
      <c r="C136" s="153"/>
      <c r="D136" s="125"/>
      <c r="E136" s="162">
        <v>130000</v>
      </c>
      <c r="F136" s="162"/>
      <c r="G136" s="163">
        <f>[1]UMCP!F7</f>
        <v>130000</v>
      </c>
      <c r="H136" s="164">
        <f>[1]UMCP!H7</f>
        <v>0</v>
      </c>
      <c r="I136" s="162">
        <v>0</v>
      </c>
      <c r="J136" s="167">
        <f>[1]UMCP!J7</f>
        <v>0</v>
      </c>
      <c r="K136" s="167">
        <f>[1]UMCP!K7</f>
        <v>0</v>
      </c>
      <c r="L136" s="162">
        <f t="shared" si="25"/>
        <v>130000</v>
      </c>
      <c r="M136" s="162">
        <f t="shared" si="23"/>
        <v>0</v>
      </c>
      <c r="N136" s="162">
        <v>0</v>
      </c>
      <c r="O136" s="162">
        <v>0</v>
      </c>
      <c r="AF136" s="136">
        <f t="shared" si="24"/>
        <v>0</v>
      </c>
      <c r="AH136" s="125">
        <v>114</v>
      </c>
      <c r="AJ136" s="125">
        <v>0</v>
      </c>
    </row>
    <row r="137" spans="1:36" x14ac:dyDescent="0.2">
      <c r="B137" s="125" t="s">
        <v>163</v>
      </c>
      <c r="C137" s="153"/>
      <c r="D137" s="125"/>
      <c r="E137" s="162">
        <v>88000</v>
      </c>
      <c r="F137" s="162"/>
      <c r="G137" s="163">
        <f>'[1]USM &amp; COI'!G92</f>
        <v>88000</v>
      </c>
      <c r="H137" s="164">
        <f>'[1]USM &amp; COI'!H92</f>
        <v>0</v>
      </c>
      <c r="I137" s="162"/>
      <c r="J137" s="167"/>
      <c r="K137" s="167"/>
      <c r="L137" s="162">
        <f t="shared" si="25"/>
        <v>88000</v>
      </c>
      <c r="M137" s="162">
        <f t="shared" si="23"/>
        <v>0</v>
      </c>
      <c r="N137" s="162">
        <v>0</v>
      </c>
      <c r="O137" s="162">
        <v>0</v>
      </c>
      <c r="AF137" s="136">
        <f t="shared" si="24"/>
        <v>0</v>
      </c>
      <c r="AH137" s="125">
        <v>115</v>
      </c>
      <c r="AJ137" s="125">
        <v>0</v>
      </c>
    </row>
    <row r="138" spans="1:36" x14ac:dyDescent="0.2">
      <c r="B138" s="190" t="s">
        <v>164</v>
      </c>
      <c r="C138" s="153"/>
      <c r="D138" s="125"/>
      <c r="E138" s="162">
        <v>200000</v>
      </c>
      <c r="F138" s="162"/>
      <c r="G138" s="163">
        <f>[1]UMES!F24</f>
        <v>200000</v>
      </c>
      <c r="H138" s="164">
        <f>[1]UMES!H24</f>
        <v>0</v>
      </c>
      <c r="I138" s="162"/>
      <c r="J138" s="167"/>
      <c r="K138" s="167"/>
      <c r="L138" s="162">
        <f t="shared" si="25"/>
        <v>200000</v>
      </c>
      <c r="M138" s="162">
        <f t="shared" si="23"/>
        <v>0</v>
      </c>
      <c r="N138" s="162">
        <v>0</v>
      </c>
      <c r="O138" s="162">
        <v>0</v>
      </c>
      <c r="AF138" s="136">
        <f t="shared" si="24"/>
        <v>0</v>
      </c>
    </row>
    <row r="139" spans="1:36" x14ac:dyDescent="0.2">
      <c r="B139" s="190" t="s">
        <v>165</v>
      </c>
      <c r="C139" s="153"/>
      <c r="D139" s="125"/>
      <c r="E139" s="162">
        <v>315000</v>
      </c>
      <c r="F139" s="162"/>
      <c r="G139" s="163">
        <f>'[1]USM &amp; COI'!G49</f>
        <v>315000</v>
      </c>
      <c r="H139" s="164">
        <f>'[1]USM &amp; COI'!H49</f>
        <v>0</v>
      </c>
      <c r="I139" s="162"/>
      <c r="J139" s="167"/>
      <c r="K139" s="167"/>
      <c r="L139" s="162">
        <f t="shared" si="25"/>
        <v>315000</v>
      </c>
      <c r="M139" s="162">
        <f t="shared" si="23"/>
        <v>0</v>
      </c>
      <c r="N139" s="162">
        <v>0</v>
      </c>
      <c r="O139" s="162"/>
      <c r="AF139" s="136">
        <f t="shared" si="24"/>
        <v>0</v>
      </c>
    </row>
    <row r="140" spans="1:36" x14ac:dyDescent="0.2">
      <c r="C140" s="153"/>
      <c r="D140" s="154"/>
      <c r="E140" s="154"/>
      <c r="F140" s="162"/>
      <c r="G140" s="156"/>
      <c r="H140" s="157"/>
      <c r="I140" s="154"/>
      <c r="J140" s="158"/>
      <c r="K140" s="158"/>
      <c r="L140" s="154"/>
      <c r="M140" s="154"/>
      <c r="N140" s="154"/>
      <c r="O140" s="154"/>
      <c r="AH140" s="125">
        <v>116</v>
      </c>
    </row>
    <row r="141" spans="1:36" ht="13.5" thickBot="1" x14ac:dyDescent="0.25">
      <c r="B141" s="168" t="s">
        <v>166</v>
      </c>
      <c r="C141" s="169">
        <f t="shared" ref="C141:O141" si="26">SUM(C121:C140)</f>
        <v>24000000</v>
      </c>
      <c r="D141" s="169">
        <f t="shared" si="26"/>
        <v>0</v>
      </c>
      <c r="E141" s="169">
        <f t="shared" si="26"/>
        <v>826719.89999999991</v>
      </c>
      <c r="F141" s="169">
        <f t="shared" si="26"/>
        <v>18081550.849999998</v>
      </c>
      <c r="G141" s="169">
        <f t="shared" si="26"/>
        <v>6745169.0499999989</v>
      </c>
      <c r="H141" s="169">
        <f>SUM(H121:H140)</f>
        <v>2091642.5600000003</v>
      </c>
      <c r="I141" s="169">
        <f t="shared" si="26"/>
        <v>0</v>
      </c>
      <c r="J141" s="169">
        <f t="shared" si="26"/>
        <v>0</v>
      </c>
      <c r="K141" s="169">
        <f>SUM(K121:K140)</f>
        <v>0</v>
      </c>
      <c r="L141" s="169">
        <f t="shared" si="26"/>
        <v>4653526.49</v>
      </c>
      <c r="M141" s="169">
        <f t="shared" si="26"/>
        <v>8888.1099999999278</v>
      </c>
      <c r="N141" s="169">
        <f t="shared" si="26"/>
        <v>1177928.6500000001</v>
      </c>
      <c r="O141" s="169">
        <f t="shared" si="26"/>
        <v>904825.79999999993</v>
      </c>
      <c r="U141" s="168" t="s">
        <v>129</v>
      </c>
      <c r="V141" s="133">
        <v>22</v>
      </c>
      <c r="AA141" s="169">
        <f>SUM(AA121:AA140)</f>
        <v>0</v>
      </c>
      <c r="AB141" s="169">
        <f>SUM(AB121:AB140)</f>
        <v>0</v>
      </c>
      <c r="AC141" s="169">
        <f>SUM(AC121:AC140)</f>
        <v>0</v>
      </c>
      <c r="AD141" s="169">
        <f>SUM(AD121:AD140)</f>
        <v>0</v>
      </c>
      <c r="AF141" s="136">
        <f>C141+D141+E141-F141-G141</f>
        <v>0</v>
      </c>
      <c r="AH141" s="125">
        <v>117</v>
      </c>
      <c r="AJ141" s="125">
        <v>1922561.5000000002</v>
      </c>
    </row>
    <row r="142" spans="1:36" ht="13.5" thickTop="1" x14ac:dyDescent="0.2">
      <c r="B142" s="165"/>
      <c r="C142" s="153"/>
      <c r="D142" s="153"/>
      <c r="E142" s="153"/>
      <c r="F142" s="153"/>
      <c r="G142" s="153"/>
      <c r="H142" s="153"/>
      <c r="I142" s="153"/>
      <c r="J142" s="153"/>
      <c r="K142" s="153"/>
      <c r="L142" s="153"/>
      <c r="M142" s="153"/>
      <c r="N142" s="153"/>
      <c r="O142" s="153"/>
      <c r="U142" s="165"/>
      <c r="AA142" s="153"/>
      <c r="AB142" s="153"/>
      <c r="AC142" s="153"/>
      <c r="AD142" s="153"/>
      <c r="AH142" s="125">
        <v>118</v>
      </c>
    </row>
    <row r="143" spans="1:36" x14ac:dyDescent="0.2">
      <c r="A143" s="165" t="s">
        <v>167</v>
      </c>
      <c r="C143" s="153"/>
      <c r="D143" s="154"/>
      <c r="E143" s="154"/>
      <c r="F143" s="162"/>
      <c r="G143" s="163"/>
      <c r="H143" s="164"/>
      <c r="I143" s="163"/>
      <c r="J143" s="163"/>
      <c r="K143" s="163"/>
      <c r="L143" s="162"/>
      <c r="M143" s="162"/>
      <c r="N143" s="162"/>
      <c r="O143" s="162"/>
      <c r="T143" s="165" t="s">
        <v>109</v>
      </c>
      <c r="V143" s="133">
        <v>5</v>
      </c>
      <c r="AH143" s="125">
        <v>119</v>
      </c>
    </row>
    <row r="144" spans="1:36" hidden="1" x14ac:dyDescent="0.2">
      <c r="B144" s="125" t="s">
        <v>168</v>
      </c>
      <c r="C144" s="153">
        <v>5000000</v>
      </c>
      <c r="D144" s="154"/>
      <c r="E144" s="154"/>
      <c r="F144" s="163">
        <v>5000000</v>
      </c>
      <c r="G144" s="163">
        <v>0</v>
      </c>
      <c r="H144" s="164">
        <v>0</v>
      </c>
      <c r="I144" s="162">
        <v>0</v>
      </c>
      <c r="J144" s="167">
        <v>0</v>
      </c>
      <c r="K144" s="167">
        <v>0</v>
      </c>
      <c r="L144" s="162">
        <f>G144-H144-I144-J144-K144</f>
        <v>0</v>
      </c>
      <c r="M144" s="162"/>
      <c r="N144" s="162"/>
      <c r="O144" s="162">
        <f>H142+K142</f>
        <v>0</v>
      </c>
      <c r="P144" s="159">
        <v>51</v>
      </c>
      <c r="Q144" s="159">
        <v>39</v>
      </c>
      <c r="R144" s="159" t="s">
        <v>160</v>
      </c>
      <c r="AH144" s="125">
        <v>120</v>
      </c>
      <c r="AJ144" s="125">
        <v>0</v>
      </c>
    </row>
    <row r="145" spans="2:36" hidden="1" x14ac:dyDescent="0.2">
      <c r="B145" s="125" t="s">
        <v>169</v>
      </c>
      <c r="C145" s="153">
        <v>10000000</v>
      </c>
      <c r="D145" s="154"/>
      <c r="E145" s="154"/>
      <c r="F145" s="163">
        <f>317972.61+9676071.5+5955.89</f>
        <v>10000000</v>
      </c>
      <c r="G145" s="163">
        <v>0</v>
      </c>
      <c r="H145" s="164">
        <v>0</v>
      </c>
      <c r="I145" s="162">
        <v>0</v>
      </c>
      <c r="J145" s="167">
        <v>0</v>
      </c>
      <c r="K145" s="167">
        <v>0</v>
      </c>
      <c r="L145" s="162">
        <f>G145-H145-I145-J145-K145</f>
        <v>0</v>
      </c>
      <c r="M145" s="162"/>
      <c r="N145" s="162"/>
      <c r="O145" s="162">
        <f>H143+K143</f>
        <v>0</v>
      </c>
      <c r="P145" s="159">
        <v>52</v>
      </c>
      <c r="Q145" s="159">
        <v>39</v>
      </c>
      <c r="R145" s="159" t="s">
        <v>160</v>
      </c>
      <c r="AH145" s="125">
        <v>121</v>
      </c>
      <c r="AJ145" s="125">
        <v>0</v>
      </c>
    </row>
    <row r="146" spans="2:36" x14ac:dyDescent="0.2">
      <c r="B146" s="165" t="s">
        <v>112</v>
      </c>
      <c r="C146" s="153"/>
      <c r="D146" s="154"/>
      <c r="E146" s="154"/>
      <c r="F146" s="163"/>
      <c r="G146" s="163"/>
      <c r="H146" s="164"/>
      <c r="I146" s="162"/>
      <c r="J146" s="167"/>
      <c r="K146" s="167"/>
      <c r="L146" s="162"/>
      <c r="M146" s="162"/>
      <c r="N146" s="162"/>
      <c r="O146" s="162"/>
      <c r="AH146" s="125">
        <v>122</v>
      </c>
    </row>
    <row r="147" spans="2:36" hidden="1" x14ac:dyDescent="0.2">
      <c r="B147" s="125" t="s">
        <v>113</v>
      </c>
      <c r="C147" s="153">
        <v>7300000</v>
      </c>
      <c r="D147" s="154"/>
      <c r="E147" s="154"/>
      <c r="F147" s="163">
        <f>2171056.95+5128943.05</f>
        <v>7300000</v>
      </c>
      <c r="G147" s="163">
        <v>0</v>
      </c>
      <c r="H147" s="164">
        <v>0</v>
      </c>
      <c r="I147" s="162">
        <v>0</v>
      </c>
      <c r="J147" s="167">
        <v>0</v>
      </c>
      <c r="K147" s="167">
        <v>0</v>
      </c>
      <c r="L147" s="162">
        <f t="shared" ref="L147:L159" si="27">G147-H147-I147-J147-K147</f>
        <v>0</v>
      </c>
      <c r="M147" s="162"/>
      <c r="N147" s="162"/>
      <c r="O147" s="162">
        <f>H145+K145</f>
        <v>0</v>
      </c>
      <c r="P147" s="159" t="s">
        <v>161</v>
      </c>
      <c r="Q147" s="159">
        <v>39</v>
      </c>
      <c r="R147" s="159" t="s">
        <v>160</v>
      </c>
      <c r="AH147" s="125">
        <v>123</v>
      </c>
      <c r="AJ147" s="125">
        <v>0</v>
      </c>
    </row>
    <row r="148" spans="2:36" x14ac:dyDescent="0.2">
      <c r="B148" s="125" t="s">
        <v>114</v>
      </c>
      <c r="C148" s="153">
        <v>2675000</v>
      </c>
      <c r="D148" s="154"/>
      <c r="E148" s="154"/>
      <c r="F148" s="162">
        <f>36926.03+655774.19+47446</f>
        <v>740146.22</v>
      </c>
      <c r="G148" s="163">
        <f>[1]UMB!F182</f>
        <v>1934853.7800000003</v>
      </c>
      <c r="H148" s="164">
        <f>[1]UMB!H182</f>
        <v>945312.5199999999</v>
      </c>
      <c r="I148" s="162">
        <f>[1]UMB!I182</f>
        <v>0</v>
      </c>
      <c r="J148" s="167">
        <f>[1]UMB!J182</f>
        <v>0</v>
      </c>
      <c r="K148" s="167">
        <f>[1]UMB!K182</f>
        <v>0</v>
      </c>
      <c r="L148" s="162">
        <f t="shared" si="27"/>
        <v>989541.26000000036</v>
      </c>
      <c r="M148" s="162">
        <f t="shared" ref="M148:M159" si="28">H148-N148-O148</f>
        <v>0</v>
      </c>
      <c r="N148" s="162">
        <v>419725.30999999994</v>
      </c>
      <c r="O148" s="162">
        <v>525587.21</v>
      </c>
      <c r="P148" s="159" t="s">
        <v>161</v>
      </c>
      <c r="Q148" s="159">
        <v>39</v>
      </c>
      <c r="R148" s="159" t="s">
        <v>160</v>
      </c>
      <c r="AF148" s="136">
        <f t="shared" ref="AF148:AF159" si="29">C148+D148+E148-F148-G148</f>
        <v>0</v>
      </c>
      <c r="AH148" s="125">
        <v>124</v>
      </c>
      <c r="AJ148" s="125">
        <v>932858.97999999986</v>
      </c>
    </row>
    <row r="149" spans="2:36" x14ac:dyDescent="0.2">
      <c r="B149" s="125" t="s">
        <v>115</v>
      </c>
      <c r="C149" s="153">
        <v>642000</v>
      </c>
      <c r="D149" s="154"/>
      <c r="E149" s="154"/>
      <c r="F149" s="162">
        <f>71845.71+290497.77</f>
        <v>362343.48000000004</v>
      </c>
      <c r="G149" s="163">
        <f>[1]UMES!F109</f>
        <v>279656.52</v>
      </c>
      <c r="H149" s="164">
        <f>[1]UMES!H109</f>
        <v>1473.29</v>
      </c>
      <c r="I149" s="162">
        <f>[1]UMES!I109</f>
        <v>0</v>
      </c>
      <c r="J149" s="167">
        <f>[1]UMES!J109</f>
        <v>0</v>
      </c>
      <c r="K149" s="167">
        <f>[1]UMES!K109</f>
        <v>0</v>
      </c>
      <c r="L149" s="162">
        <f t="shared" si="27"/>
        <v>278183.23000000004</v>
      </c>
      <c r="M149" s="162">
        <f t="shared" si="28"/>
        <v>0</v>
      </c>
      <c r="N149" s="162">
        <v>0</v>
      </c>
      <c r="O149" s="162">
        <v>1473.29</v>
      </c>
      <c r="P149" s="159" t="s">
        <v>161</v>
      </c>
      <c r="Q149" s="159">
        <v>39</v>
      </c>
      <c r="R149" s="159" t="s">
        <v>160</v>
      </c>
      <c r="AF149" s="136">
        <f t="shared" si="29"/>
        <v>0</v>
      </c>
      <c r="AH149" s="125">
        <v>125</v>
      </c>
      <c r="AJ149" s="125">
        <v>1473.29</v>
      </c>
    </row>
    <row r="150" spans="2:36" hidden="1" x14ac:dyDescent="0.2">
      <c r="B150" s="125" t="s">
        <v>116</v>
      </c>
      <c r="C150" s="153">
        <v>1452000</v>
      </c>
      <c r="D150" s="154"/>
      <c r="E150" s="154"/>
      <c r="F150" s="162">
        <f>1452000</f>
        <v>1452000</v>
      </c>
      <c r="G150" s="163">
        <v>0</v>
      </c>
      <c r="H150" s="164">
        <v>0</v>
      </c>
      <c r="I150" s="162">
        <v>0</v>
      </c>
      <c r="J150" s="167">
        <v>0</v>
      </c>
      <c r="K150" s="167">
        <v>0</v>
      </c>
      <c r="L150" s="162">
        <f t="shared" si="27"/>
        <v>0</v>
      </c>
      <c r="M150" s="162">
        <f t="shared" si="28"/>
        <v>0</v>
      </c>
      <c r="N150" s="162">
        <v>0</v>
      </c>
      <c r="O150" s="162">
        <f>H150+I150+J150+K150</f>
        <v>0</v>
      </c>
      <c r="P150" s="159" t="s">
        <v>161</v>
      </c>
      <c r="Q150" s="159">
        <v>39</v>
      </c>
      <c r="R150" s="159" t="s">
        <v>160</v>
      </c>
      <c r="AF150" s="136">
        <f t="shared" si="29"/>
        <v>0</v>
      </c>
      <c r="AH150" s="125">
        <v>126</v>
      </c>
      <c r="AJ150" s="125">
        <v>0</v>
      </c>
    </row>
    <row r="151" spans="2:36" hidden="1" x14ac:dyDescent="0.2">
      <c r="B151" s="125" t="s">
        <v>117</v>
      </c>
      <c r="C151" s="153">
        <v>317000</v>
      </c>
      <c r="D151" s="154"/>
      <c r="E151" s="154"/>
      <c r="F151" s="162">
        <v>317000</v>
      </c>
      <c r="G151" s="163">
        <v>0</v>
      </c>
      <c r="H151" s="164">
        <v>0</v>
      </c>
      <c r="I151" s="162">
        <v>0</v>
      </c>
      <c r="J151" s="167">
        <v>0</v>
      </c>
      <c r="K151" s="167">
        <v>0</v>
      </c>
      <c r="L151" s="162">
        <f t="shared" si="27"/>
        <v>0</v>
      </c>
      <c r="M151" s="162">
        <f t="shared" si="28"/>
        <v>0</v>
      </c>
      <c r="N151" s="162">
        <v>0</v>
      </c>
      <c r="O151" s="162">
        <f>H151+I151+J151+K151</f>
        <v>0</v>
      </c>
      <c r="P151" s="159" t="s">
        <v>161</v>
      </c>
      <c r="Q151" s="159">
        <v>39</v>
      </c>
      <c r="R151" s="159" t="s">
        <v>160</v>
      </c>
      <c r="AF151" s="136">
        <f t="shared" si="29"/>
        <v>0</v>
      </c>
      <c r="AH151" s="125">
        <v>127</v>
      </c>
      <c r="AJ151" s="125">
        <v>0</v>
      </c>
    </row>
    <row r="152" spans="2:36" x14ac:dyDescent="0.2">
      <c r="B152" s="125" t="s">
        <v>118</v>
      </c>
      <c r="C152" s="153">
        <v>554000</v>
      </c>
      <c r="D152" s="154"/>
      <c r="E152" s="154"/>
      <c r="F152" s="162">
        <f>159826.61+42301.37</f>
        <v>202127.97999999998</v>
      </c>
      <c r="G152" s="163">
        <f>[1]BSU!F76</f>
        <v>351872.02</v>
      </c>
      <c r="H152" s="164">
        <f>[1]BSU!H76</f>
        <v>351872.02</v>
      </c>
      <c r="I152" s="162">
        <f>[1]BSU!I76</f>
        <v>0</v>
      </c>
      <c r="J152" s="167">
        <f>[1]BSU!J76</f>
        <v>0</v>
      </c>
      <c r="K152" s="167">
        <f>[1]BSU!K76</f>
        <v>0</v>
      </c>
      <c r="L152" s="162">
        <f t="shared" si="27"/>
        <v>0</v>
      </c>
      <c r="M152" s="162">
        <f t="shared" si="28"/>
        <v>0</v>
      </c>
      <c r="N152" s="162">
        <v>78023.910000000033</v>
      </c>
      <c r="O152" s="162">
        <v>273848.11</v>
      </c>
      <c r="P152" s="159" t="s">
        <v>161</v>
      </c>
      <c r="Q152" s="159">
        <v>39</v>
      </c>
      <c r="R152" s="159" t="s">
        <v>160</v>
      </c>
      <c r="AF152" s="136">
        <f t="shared" si="29"/>
        <v>0</v>
      </c>
      <c r="AH152" s="125">
        <v>128</v>
      </c>
      <c r="AJ152" s="125">
        <v>281354.11</v>
      </c>
    </row>
    <row r="153" spans="2:36" hidden="1" x14ac:dyDescent="0.2">
      <c r="B153" s="125" t="s">
        <v>119</v>
      </c>
      <c r="C153" s="153">
        <v>409000</v>
      </c>
      <c r="D153" s="154"/>
      <c r="E153" s="154"/>
      <c r="F153" s="162">
        <f>274238.46+134761.54</f>
        <v>409000</v>
      </c>
      <c r="G153" s="163">
        <v>0</v>
      </c>
      <c r="H153" s="164">
        <v>0</v>
      </c>
      <c r="I153" s="162">
        <v>0</v>
      </c>
      <c r="J153" s="167">
        <v>0</v>
      </c>
      <c r="K153" s="167">
        <v>0</v>
      </c>
      <c r="L153" s="162">
        <f t="shared" si="27"/>
        <v>0</v>
      </c>
      <c r="M153" s="162">
        <f t="shared" si="28"/>
        <v>0</v>
      </c>
      <c r="N153" s="162">
        <v>0</v>
      </c>
      <c r="O153" s="162">
        <f>H153+I153+J153+K153</f>
        <v>0</v>
      </c>
      <c r="P153" s="159" t="s">
        <v>161</v>
      </c>
      <c r="Q153" s="159">
        <v>39</v>
      </c>
      <c r="R153" s="159" t="s">
        <v>160</v>
      </c>
      <c r="AF153" s="136">
        <f t="shared" si="29"/>
        <v>0</v>
      </c>
      <c r="AH153" s="125">
        <v>129</v>
      </c>
      <c r="AJ153" s="125">
        <v>0</v>
      </c>
    </row>
    <row r="154" spans="2:36" x14ac:dyDescent="0.2">
      <c r="B154" s="125" t="s">
        <v>120</v>
      </c>
      <c r="C154" s="153">
        <v>645000</v>
      </c>
      <c r="D154" s="154"/>
      <c r="E154" s="154"/>
      <c r="F154" s="162">
        <f>611741.64</f>
        <v>611741.64</v>
      </c>
      <c r="G154" s="163">
        <f>[1]FSU!F118</f>
        <v>33258.359999999986</v>
      </c>
      <c r="H154" s="164">
        <f>[1]FSU!H118</f>
        <v>33258.36</v>
      </c>
      <c r="I154" s="162">
        <f>[1]FSU!I118</f>
        <v>0</v>
      </c>
      <c r="J154" s="167">
        <f>[1]FSU!J118</f>
        <v>0</v>
      </c>
      <c r="K154" s="167">
        <f>[1]FSU!K118</f>
        <v>0</v>
      </c>
      <c r="L154" s="162">
        <f t="shared" si="27"/>
        <v>-1.4551915228366852E-11</v>
      </c>
      <c r="M154" s="162">
        <f t="shared" si="28"/>
        <v>0</v>
      </c>
      <c r="N154" s="162">
        <v>0</v>
      </c>
      <c r="O154" s="162">
        <v>33258.36</v>
      </c>
      <c r="P154" s="159" t="s">
        <v>161</v>
      </c>
      <c r="Q154" s="159">
        <v>39</v>
      </c>
      <c r="R154" s="159" t="s">
        <v>160</v>
      </c>
      <c r="AF154" s="136">
        <f t="shared" si="29"/>
        <v>0</v>
      </c>
      <c r="AH154" s="125">
        <v>130</v>
      </c>
      <c r="AJ154" s="125">
        <v>33258.36</v>
      </c>
    </row>
    <row r="155" spans="2:36" hidden="1" x14ac:dyDescent="0.2">
      <c r="B155" s="125" t="s">
        <v>137</v>
      </c>
      <c r="C155" s="153">
        <v>536000</v>
      </c>
      <c r="D155" s="154"/>
      <c r="E155" s="154"/>
      <c r="F155" s="162">
        <f>536000</f>
        <v>536000</v>
      </c>
      <c r="G155" s="163">
        <v>0</v>
      </c>
      <c r="H155" s="164">
        <v>0</v>
      </c>
      <c r="I155" s="162">
        <v>0</v>
      </c>
      <c r="J155" s="167">
        <v>0</v>
      </c>
      <c r="K155" s="167">
        <v>0</v>
      </c>
      <c r="L155" s="162">
        <f t="shared" si="27"/>
        <v>0</v>
      </c>
      <c r="M155" s="162">
        <f t="shared" si="28"/>
        <v>0</v>
      </c>
      <c r="N155" s="162">
        <v>0</v>
      </c>
      <c r="O155" s="162">
        <f>H155+I155+J155+K155</f>
        <v>0</v>
      </c>
      <c r="P155" s="159" t="s">
        <v>161</v>
      </c>
      <c r="Q155" s="159">
        <v>39</v>
      </c>
      <c r="R155" s="159" t="s">
        <v>160</v>
      </c>
      <c r="AF155" s="136">
        <f t="shared" si="29"/>
        <v>0</v>
      </c>
      <c r="AH155" s="125">
        <v>131</v>
      </c>
      <c r="AJ155" s="125">
        <v>0</v>
      </c>
    </row>
    <row r="156" spans="2:36" x14ac:dyDescent="0.2">
      <c r="B156" s="125" t="s">
        <v>122</v>
      </c>
      <c r="C156" s="153">
        <v>1589000</v>
      </c>
      <c r="D156" s="154"/>
      <c r="E156" s="154"/>
      <c r="F156" s="162">
        <f>32706.17+518001.39+20198.17+550000+377628.95+53455.07+7915.98</f>
        <v>1559905.73</v>
      </c>
      <c r="G156" s="163">
        <f>[1]TU!F157+[1]TU!F163+[1]TU!F171</f>
        <v>29094.266999999938</v>
      </c>
      <c r="H156" s="164">
        <f>[1]TU!H157+[1]TU!H163+[1]TU!H171</f>
        <v>29094.27</v>
      </c>
      <c r="I156" s="162">
        <f>[1]TU!I157+[1]TU!I163+[1]TU!I171</f>
        <v>0</v>
      </c>
      <c r="J156" s="167">
        <f>[1]TU!J157+[1]TU!J163+[1]TU!J171</f>
        <v>0</v>
      </c>
      <c r="K156" s="167">
        <f>[1]TU!K157+[1]TU!K163+[1]TU!K171</f>
        <v>0</v>
      </c>
      <c r="L156" s="162">
        <f t="shared" si="27"/>
        <v>-3.0000000624568202E-3</v>
      </c>
      <c r="M156" s="162">
        <f t="shared" si="28"/>
        <v>0</v>
      </c>
      <c r="N156" s="162">
        <v>12726.4</v>
      </c>
      <c r="O156" s="162">
        <v>16367.87</v>
      </c>
      <c r="P156" s="159" t="s">
        <v>161</v>
      </c>
      <c r="Q156" s="159">
        <v>39</v>
      </c>
      <c r="R156" s="159" t="s">
        <v>160</v>
      </c>
      <c r="AF156" s="136">
        <f t="shared" si="29"/>
        <v>3.0000000806467142E-3</v>
      </c>
      <c r="AH156" s="125">
        <v>132</v>
      </c>
      <c r="AJ156" s="125">
        <v>29094.27</v>
      </c>
    </row>
    <row r="157" spans="2:36" x14ac:dyDescent="0.2">
      <c r="B157" s="125" t="s">
        <v>123</v>
      </c>
      <c r="C157" s="153">
        <v>418000</v>
      </c>
      <c r="D157" s="154"/>
      <c r="E157" s="154"/>
      <c r="F157" s="162">
        <f>2748.75+81771.25+15400</f>
        <v>99920</v>
      </c>
      <c r="G157" s="163">
        <f>[1]UB!F100</f>
        <v>318080</v>
      </c>
      <c r="H157" s="164">
        <f>[1]UB!H100</f>
        <v>179611.54</v>
      </c>
      <c r="I157" s="162">
        <f>[1]UB!I100</f>
        <v>0</v>
      </c>
      <c r="J157" s="167">
        <f>[1]UB!J100</f>
        <v>0</v>
      </c>
      <c r="K157" s="167">
        <f>[1]UB!K100</f>
        <v>0</v>
      </c>
      <c r="L157" s="162">
        <f t="shared" si="27"/>
        <v>138468.46</v>
      </c>
      <c r="M157" s="162">
        <f t="shared" si="28"/>
        <v>0</v>
      </c>
      <c r="N157" s="162">
        <v>143676</v>
      </c>
      <c r="O157" s="162">
        <v>35935.54</v>
      </c>
      <c r="P157" s="159" t="s">
        <v>161</v>
      </c>
      <c r="Q157" s="159">
        <v>39</v>
      </c>
      <c r="R157" s="159" t="s">
        <v>160</v>
      </c>
      <c r="AF157" s="136">
        <f t="shared" si="29"/>
        <v>0</v>
      </c>
      <c r="AH157" s="125">
        <v>133</v>
      </c>
      <c r="AJ157" s="125">
        <v>113811.54000000001</v>
      </c>
    </row>
    <row r="158" spans="2:36" x14ac:dyDescent="0.2">
      <c r="B158" s="165" t="s">
        <v>127</v>
      </c>
      <c r="C158" s="153">
        <v>463000</v>
      </c>
      <c r="D158" s="162"/>
      <c r="E158" s="162">
        <f>24627.14-200000-287627.14</f>
        <v>-463000</v>
      </c>
      <c r="F158" s="162"/>
      <c r="G158" s="163">
        <f>'[1]Emergency Funds'!G69</f>
        <v>0</v>
      </c>
      <c r="H158" s="164"/>
      <c r="I158" s="162"/>
      <c r="J158" s="167"/>
      <c r="K158" s="167"/>
      <c r="L158" s="162"/>
      <c r="M158" s="162">
        <f t="shared" si="28"/>
        <v>0</v>
      </c>
      <c r="N158" s="162"/>
      <c r="O158" s="162"/>
      <c r="P158" s="159" t="s">
        <v>161</v>
      </c>
      <c r="Q158" s="159">
        <v>39</v>
      </c>
      <c r="R158" s="159" t="s">
        <v>160</v>
      </c>
      <c r="AF158" s="136">
        <f t="shared" si="29"/>
        <v>0</v>
      </c>
      <c r="AH158" s="125">
        <v>134</v>
      </c>
    </row>
    <row r="159" spans="2:36" x14ac:dyDescent="0.2">
      <c r="B159" s="125" t="s">
        <v>170</v>
      </c>
      <c r="C159" s="153"/>
      <c r="D159" s="154"/>
      <c r="E159" s="162">
        <v>200000</v>
      </c>
      <c r="F159" s="162">
        <f>50289.6+58406.01</f>
        <v>108695.61</v>
      </c>
      <c r="G159" s="163">
        <f>[1]UMES!F19</f>
        <v>91304.389999999985</v>
      </c>
      <c r="H159" s="164">
        <f>[1]UMES!H19</f>
        <v>0</v>
      </c>
      <c r="I159" s="162">
        <f>[1]UMES!I109</f>
        <v>0</v>
      </c>
      <c r="J159" s="167">
        <f>[1]UMES!J19</f>
        <v>0</v>
      </c>
      <c r="K159" s="167">
        <f>[1]UMES!K19</f>
        <v>0</v>
      </c>
      <c r="L159" s="162">
        <f t="shared" si="27"/>
        <v>91304.389999999985</v>
      </c>
      <c r="M159" s="162">
        <f t="shared" si="28"/>
        <v>0</v>
      </c>
      <c r="N159" s="162">
        <v>0</v>
      </c>
      <c r="O159" s="162">
        <v>0</v>
      </c>
      <c r="AF159" s="136">
        <f t="shared" si="29"/>
        <v>0</v>
      </c>
      <c r="AH159" s="125">
        <v>135</v>
      </c>
      <c r="AJ159" s="125">
        <v>0</v>
      </c>
    </row>
    <row r="160" spans="2:36" x14ac:dyDescent="0.2">
      <c r="C160" s="153"/>
      <c r="D160" s="154"/>
      <c r="E160" s="154"/>
      <c r="F160" s="162"/>
      <c r="G160" s="156"/>
      <c r="H160" s="157"/>
      <c r="I160" s="154"/>
      <c r="J160" s="158"/>
      <c r="K160" s="158"/>
      <c r="L160" s="154"/>
      <c r="M160" s="154"/>
      <c r="N160" s="154"/>
      <c r="O160" s="154"/>
      <c r="AH160" s="125">
        <v>136</v>
      </c>
    </row>
    <row r="161" spans="1:36" ht="13.5" thickBot="1" x14ac:dyDescent="0.25">
      <c r="B161" s="168" t="s">
        <v>171</v>
      </c>
      <c r="C161" s="169">
        <f>SUM(C144:C160)</f>
        <v>32000000</v>
      </c>
      <c r="D161" s="169">
        <f t="shared" ref="D161:O161" si="30">SUM(D144:D160)</f>
        <v>0</v>
      </c>
      <c r="E161" s="169">
        <f t="shared" si="30"/>
        <v>-263000</v>
      </c>
      <c r="F161" s="169">
        <f>SUM(F144:F160)</f>
        <v>28698880.66</v>
      </c>
      <c r="G161" s="169">
        <f t="shared" si="30"/>
        <v>3038119.3370000003</v>
      </c>
      <c r="H161" s="169">
        <f t="shared" si="30"/>
        <v>1540622.0000000002</v>
      </c>
      <c r="I161" s="169">
        <f t="shared" si="30"/>
        <v>0</v>
      </c>
      <c r="J161" s="169">
        <f t="shared" si="30"/>
        <v>0</v>
      </c>
      <c r="K161" s="169">
        <f>SUM(K144:K160)</f>
        <v>0</v>
      </c>
      <c r="L161" s="169">
        <f t="shared" si="30"/>
        <v>1497497.3370000003</v>
      </c>
      <c r="M161" s="169">
        <f t="shared" si="30"/>
        <v>0</v>
      </c>
      <c r="N161" s="169">
        <f t="shared" si="30"/>
        <v>654151.62</v>
      </c>
      <c r="O161" s="169">
        <f t="shared" si="30"/>
        <v>886470.38</v>
      </c>
      <c r="U161" s="168" t="s">
        <v>129</v>
      </c>
      <c r="V161" s="133">
        <v>22</v>
      </c>
      <c r="AA161" s="169">
        <f>SUM(AA144:AA160)</f>
        <v>0</v>
      </c>
      <c r="AB161" s="169">
        <f>SUM(AB144:AB160)</f>
        <v>0</v>
      </c>
      <c r="AC161" s="169">
        <f>SUM(AC144:AC160)</f>
        <v>0</v>
      </c>
      <c r="AD161" s="169">
        <f>SUM(AD144:AD160)</f>
        <v>0</v>
      </c>
      <c r="AF161" s="136">
        <f>C161+D161+E161-F161-G161</f>
        <v>2.9999995604157448E-3</v>
      </c>
      <c r="AH161" s="125">
        <v>137</v>
      </c>
      <c r="AJ161" s="125">
        <v>1391850.55</v>
      </c>
    </row>
    <row r="162" spans="1:36" ht="13.5" thickTop="1" x14ac:dyDescent="0.2">
      <c r="C162" s="153"/>
      <c r="D162" s="154"/>
      <c r="E162" s="154"/>
      <c r="F162" s="191"/>
      <c r="G162" s="156"/>
      <c r="H162" s="157"/>
      <c r="I162" s="154"/>
      <c r="J162" s="158"/>
      <c r="K162" s="158"/>
      <c r="L162" s="154"/>
      <c r="M162" s="154"/>
      <c r="N162" s="154"/>
      <c r="O162" s="154"/>
      <c r="AH162" s="125">
        <v>138</v>
      </c>
    </row>
    <row r="163" spans="1:36" x14ac:dyDescent="0.2">
      <c r="A163" s="165" t="s">
        <v>172</v>
      </c>
      <c r="C163" s="153"/>
      <c r="D163" s="154"/>
      <c r="E163" s="154"/>
      <c r="F163" s="162"/>
      <c r="G163" s="156"/>
      <c r="H163" s="157"/>
      <c r="I163" s="156"/>
      <c r="J163" s="156"/>
      <c r="K163" s="156"/>
      <c r="L163" s="154"/>
      <c r="M163" s="154"/>
      <c r="N163" s="154"/>
      <c r="O163" s="154"/>
      <c r="T163" s="165" t="s">
        <v>109</v>
      </c>
      <c r="V163" s="133">
        <v>5</v>
      </c>
      <c r="AH163" s="125">
        <v>139</v>
      </c>
    </row>
    <row r="164" spans="1:36" hidden="1" x14ac:dyDescent="0.2">
      <c r="B164" s="125" t="s">
        <v>168</v>
      </c>
      <c r="C164" s="153">
        <v>7500000</v>
      </c>
      <c r="D164" s="154"/>
      <c r="E164" s="154"/>
      <c r="F164" s="162">
        <f>570673.59+3006114.55+3749577.86+173634</f>
        <v>7500000</v>
      </c>
      <c r="G164" s="163">
        <v>0</v>
      </c>
      <c r="H164" s="164">
        <v>0</v>
      </c>
      <c r="I164" s="162">
        <v>0</v>
      </c>
      <c r="J164" s="167">
        <v>0</v>
      </c>
      <c r="K164" s="167">
        <v>0</v>
      </c>
      <c r="L164" s="162">
        <f>G164-H164-I164-J164-K164</f>
        <v>0</v>
      </c>
      <c r="M164" s="162"/>
      <c r="N164" s="162"/>
      <c r="O164" s="162">
        <f>H162+K162</f>
        <v>0</v>
      </c>
      <c r="P164" s="159">
        <v>42.1</v>
      </c>
      <c r="Q164" s="159">
        <v>38</v>
      </c>
      <c r="R164" s="159" t="s">
        <v>160</v>
      </c>
      <c r="AA164" s="135">
        <v>3749577.86</v>
      </c>
      <c r="AB164" s="135">
        <v>173634</v>
      </c>
      <c r="AD164" s="135">
        <f>AA164+AB164+AC164</f>
        <v>3923211.86</v>
      </c>
      <c r="AH164" s="125">
        <v>140</v>
      </c>
      <c r="AJ164" s="125">
        <v>0</v>
      </c>
    </row>
    <row r="165" spans="1:36" x14ac:dyDescent="0.2">
      <c r="B165" s="165" t="s">
        <v>112</v>
      </c>
      <c r="C165" s="153"/>
      <c r="D165" s="154"/>
      <c r="E165" s="154"/>
      <c r="F165" s="128"/>
      <c r="G165" s="156"/>
      <c r="H165" s="157"/>
      <c r="I165" s="154"/>
      <c r="J165" s="158"/>
      <c r="K165" s="158"/>
      <c r="L165" s="162"/>
      <c r="M165" s="162"/>
      <c r="N165" s="162"/>
      <c r="O165" s="162"/>
      <c r="AH165" s="125">
        <v>141</v>
      </c>
    </row>
    <row r="166" spans="1:36" x14ac:dyDescent="0.2">
      <c r="B166" s="125" t="s">
        <v>113</v>
      </c>
      <c r="C166" s="153">
        <f>300000+990000+990000+550000+990000+295000+150000+100000+510000+975000+900000+550000</f>
        <v>7300000</v>
      </c>
      <c r="D166" s="154"/>
      <c r="E166" s="154"/>
      <c r="F166" s="162">
        <f>2767576.24+680881.45+3851542.31</f>
        <v>7300000</v>
      </c>
      <c r="G166" s="163">
        <v>0</v>
      </c>
      <c r="H166" s="164">
        <v>0</v>
      </c>
      <c r="I166" s="162">
        <v>0</v>
      </c>
      <c r="J166" s="167">
        <v>0</v>
      </c>
      <c r="K166" s="167">
        <v>0</v>
      </c>
      <c r="L166" s="162">
        <f t="shared" ref="L166:L176" si="31">G166-H166-I166-J166-K166</f>
        <v>0</v>
      </c>
      <c r="M166" s="162">
        <f t="shared" ref="M166:M177" si="32">H166-N166-O166</f>
        <v>0</v>
      </c>
      <c r="N166" s="162"/>
      <c r="O166" s="162">
        <v>0</v>
      </c>
      <c r="P166" s="159" t="s">
        <v>161</v>
      </c>
      <c r="Q166" s="159">
        <v>38</v>
      </c>
      <c r="R166" s="159" t="s">
        <v>160</v>
      </c>
      <c r="AB166" s="135">
        <v>2978923.66</v>
      </c>
      <c r="AD166" s="135">
        <f t="shared" ref="AD166:AD177" si="33">AA166+AB166+AC166</f>
        <v>2978923.66</v>
      </c>
      <c r="AF166" s="136">
        <f t="shared" ref="AF166:AF177" si="34">C166+D166+E166-F166-G166</f>
        <v>0</v>
      </c>
      <c r="AH166" s="125">
        <v>142</v>
      </c>
      <c r="AJ166" s="125">
        <v>0</v>
      </c>
    </row>
    <row r="167" spans="1:36" x14ac:dyDescent="0.2">
      <c r="B167" s="125" t="s">
        <v>114</v>
      </c>
      <c r="C167" s="153">
        <f>990000+990000+695000</f>
        <v>2675000</v>
      </c>
      <c r="D167" s="162">
        <v>-0.02</v>
      </c>
      <c r="E167" s="154"/>
      <c r="F167" s="163">
        <f>13205.39+184961.16+174257.2+675592.72+34722.5</f>
        <v>1082738.97</v>
      </c>
      <c r="G167" s="163">
        <f>[1]UMB!F211</f>
        <v>1592261.0099999995</v>
      </c>
      <c r="H167" s="164">
        <f>[1]UMB!H211</f>
        <v>1142422.08</v>
      </c>
      <c r="I167" s="162">
        <f>[1]UMB!I211</f>
        <v>0</v>
      </c>
      <c r="J167" s="167">
        <f>[1]UMB!J211</f>
        <v>0</v>
      </c>
      <c r="K167" s="167">
        <f>[1]UMB!K211</f>
        <v>0</v>
      </c>
      <c r="L167" s="162">
        <f t="shared" si="31"/>
        <v>449838.92999999947</v>
      </c>
      <c r="M167" s="162">
        <f t="shared" si="32"/>
        <v>352972.50000000012</v>
      </c>
      <c r="N167" s="162">
        <v>238561.30999999994</v>
      </c>
      <c r="O167" s="162">
        <v>550888.27</v>
      </c>
      <c r="P167" s="159" t="s">
        <v>161</v>
      </c>
      <c r="Q167" s="159">
        <v>38</v>
      </c>
      <c r="R167" s="159" t="s">
        <v>160</v>
      </c>
      <c r="AD167" s="135">
        <f t="shared" si="33"/>
        <v>0</v>
      </c>
      <c r="AF167" s="136">
        <f t="shared" si="34"/>
        <v>0</v>
      </c>
      <c r="AH167" s="125">
        <v>143</v>
      </c>
      <c r="AJ167" s="125">
        <v>789449.58</v>
      </c>
    </row>
    <row r="168" spans="1:36" hidden="1" x14ac:dyDescent="0.2">
      <c r="B168" s="125" t="s">
        <v>115</v>
      </c>
      <c r="C168" s="153">
        <v>642000</v>
      </c>
      <c r="D168" s="154"/>
      <c r="E168" s="154"/>
      <c r="F168" s="162">
        <f>637427.17+4572.83</f>
        <v>642000</v>
      </c>
      <c r="G168" s="163">
        <f>[1]UMES!F117</f>
        <v>-4.1836756281554699E-11</v>
      </c>
      <c r="H168" s="164">
        <f>[1]UMES!H117</f>
        <v>0</v>
      </c>
      <c r="I168" s="162">
        <f>[1]UMES!I117</f>
        <v>0</v>
      </c>
      <c r="J168" s="167">
        <f>[1]UMES!J117</f>
        <v>0</v>
      </c>
      <c r="K168" s="167">
        <f>[1]UMES!K117</f>
        <v>0</v>
      </c>
      <c r="L168" s="162">
        <f t="shared" si="31"/>
        <v>-4.1836756281554699E-11</v>
      </c>
      <c r="M168" s="162">
        <f t="shared" si="32"/>
        <v>0</v>
      </c>
      <c r="N168" s="162">
        <v>0</v>
      </c>
      <c r="O168" s="162">
        <f>H168+I168+J168+K168</f>
        <v>0</v>
      </c>
      <c r="P168" s="159" t="s">
        <v>161</v>
      </c>
      <c r="Q168" s="159">
        <v>38</v>
      </c>
      <c r="R168" s="159" t="s">
        <v>160</v>
      </c>
      <c r="AD168" s="135">
        <f t="shared" si="33"/>
        <v>0</v>
      </c>
      <c r="AF168" s="136">
        <f t="shared" si="34"/>
        <v>4.1836756281554699E-11</v>
      </c>
      <c r="AH168" s="125">
        <v>144</v>
      </c>
      <c r="AJ168" s="125">
        <v>0</v>
      </c>
    </row>
    <row r="169" spans="1:36" hidden="1" x14ac:dyDescent="0.2">
      <c r="B169" s="125" t="s">
        <v>116</v>
      </c>
      <c r="C169" s="153">
        <v>1452000</v>
      </c>
      <c r="D169" s="154"/>
      <c r="E169" s="154"/>
      <c r="F169" s="162">
        <f>371294.08+1056822.47+23883.45</f>
        <v>1452000</v>
      </c>
      <c r="G169" s="163">
        <v>0</v>
      </c>
      <c r="H169" s="164">
        <v>0</v>
      </c>
      <c r="I169" s="162">
        <v>0</v>
      </c>
      <c r="J169" s="167">
        <v>0</v>
      </c>
      <c r="K169" s="167">
        <v>0</v>
      </c>
      <c r="L169" s="162">
        <f t="shared" si="31"/>
        <v>0</v>
      </c>
      <c r="M169" s="162">
        <f t="shared" si="32"/>
        <v>0</v>
      </c>
      <c r="N169" s="162">
        <v>0</v>
      </c>
      <c r="O169" s="162">
        <f>H169+I169+J169+K169</f>
        <v>0</v>
      </c>
      <c r="P169" s="159" t="s">
        <v>161</v>
      </c>
      <c r="Q169" s="159">
        <v>38</v>
      </c>
      <c r="R169" s="159" t="s">
        <v>160</v>
      </c>
      <c r="AA169" s="135">
        <v>1027824.53</v>
      </c>
      <c r="AD169" s="135">
        <f t="shared" si="33"/>
        <v>1027824.53</v>
      </c>
      <c r="AF169" s="136">
        <f t="shared" si="34"/>
        <v>0</v>
      </c>
      <c r="AH169" s="125">
        <v>145</v>
      </c>
      <c r="AJ169" s="125">
        <v>0</v>
      </c>
    </row>
    <row r="170" spans="1:36" hidden="1" x14ac:dyDescent="0.2">
      <c r="B170" s="125" t="s">
        <v>117</v>
      </c>
      <c r="C170" s="153">
        <v>317000</v>
      </c>
      <c r="D170" s="154"/>
      <c r="E170" s="154"/>
      <c r="F170" s="162">
        <f>2937.02+314062.98</f>
        <v>317000</v>
      </c>
      <c r="G170" s="163">
        <v>0</v>
      </c>
      <c r="H170" s="164">
        <v>0</v>
      </c>
      <c r="I170" s="162">
        <v>0</v>
      </c>
      <c r="J170" s="167">
        <v>0</v>
      </c>
      <c r="K170" s="167">
        <v>0</v>
      </c>
      <c r="L170" s="162">
        <f t="shared" si="31"/>
        <v>0</v>
      </c>
      <c r="M170" s="162">
        <f t="shared" si="32"/>
        <v>0</v>
      </c>
      <c r="N170" s="162">
        <v>0</v>
      </c>
      <c r="O170" s="162">
        <f>H170+I170+J170+K170</f>
        <v>0</v>
      </c>
      <c r="P170" s="159" t="s">
        <v>161</v>
      </c>
      <c r="Q170" s="159">
        <v>38</v>
      </c>
      <c r="R170" s="159" t="s">
        <v>160</v>
      </c>
      <c r="AD170" s="135">
        <f t="shared" si="33"/>
        <v>0</v>
      </c>
      <c r="AF170" s="136">
        <f t="shared" si="34"/>
        <v>0</v>
      </c>
      <c r="AH170" s="125">
        <v>146</v>
      </c>
      <c r="AJ170" s="125">
        <v>0</v>
      </c>
    </row>
    <row r="171" spans="1:36" x14ac:dyDescent="0.2">
      <c r="B171" s="125" t="s">
        <v>118</v>
      </c>
      <c r="C171" s="153">
        <f>400000+154000</f>
        <v>554000</v>
      </c>
      <c r="D171" s="154"/>
      <c r="E171" s="154"/>
      <c r="F171" s="163">
        <f>28173+78156.58+373685.53</f>
        <v>480015.11000000004</v>
      </c>
      <c r="G171" s="163">
        <f>[1]BSU!F88</f>
        <v>73984.890000000014</v>
      </c>
      <c r="H171" s="164">
        <f>[1]BSU!H88</f>
        <v>73984.89</v>
      </c>
      <c r="I171" s="162">
        <f>[1]BSU!I88</f>
        <v>0</v>
      </c>
      <c r="J171" s="167">
        <f>[1]BSU!J88</f>
        <v>0</v>
      </c>
      <c r="K171" s="167">
        <f>[1]BSU!K88</f>
        <v>0</v>
      </c>
      <c r="L171" s="162">
        <f t="shared" si="31"/>
        <v>1.4551915228366852E-11</v>
      </c>
      <c r="M171" s="162">
        <f t="shared" si="32"/>
        <v>0</v>
      </c>
      <c r="N171" s="162">
        <v>0</v>
      </c>
      <c r="O171" s="162">
        <v>73984.89</v>
      </c>
      <c r="P171" s="159" t="s">
        <v>161</v>
      </c>
      <c r="Q171" s="159">
        <v>38</v>
      </c>
      <c r="R171" s="159" t="s">
        <v>160</v>
      </c>
      <c r="AA171" s="135">
        <v>28173</v>
      </c>
      <c r="AD171" s="135">
        <f t="shared" si="33"/>
        <v>28173</v>
      </c>
      <c r="AF171" s="136">
        <f t="shared" si="34"/>
        <v>0</v>
      </c>
      <c r="AH171" s="125">
        <v>147</v>
      </c>
      <c r="AJ171" s="125">
        <v>73984.89</v>
      </c>
    </row>
    <row r="172" spans="1:36" x14ac:dyDescent="0.2">
      <c r="B172" s="125" t="s">
        <v>119</v>
      </c>
      <c r="C172" s="153">
        <f>50000+150000+109000</f>
        <v>309000</v>
      </c>
      <c r="D172" s="154"/>
      <c r="E172" s="154"/>
      <c r="F172" s="162">
        <f>309000</f>
        <v>309000</v>
      </c>
      <c r="G172" s="163">
        <v>0</v>
      </c>
      <c r="H172" s="164">
        <v>0</v>
      </c>
      <c r="I172" s="162">
        <v>0</v>
      </c>
      <c r="J172" s="167">
        <v>0</v>
      </c>
      <c r="K172" s="167">
        <v>0</v>
      </c>
      <c r="L172" s="162">
        <f t="shared" si="31"/>
        <v>0</v>
      </c>
      <c r="M172" s="162">
        <f t="shared" si="32"/>
        <v>0</v>
      </c>
      <c r="N172" s="162">
        <v>0</v>
      </c>
      <c r="O172" s="162">
        <v>0</v>
      </c>
      <c r="P172" s="159" t="s">
        <v>161</v>
      </c>
      <c r="Q172" s="159">
        <v>38</v>
      </c>
      <c r="R172" s="159" t="s">
        <v>160</v>
      </c>
      <c r="AD172" s="135">
        <f t="shared" si="33"/>
        <v>0</v>
      </c>
      <c r="AF172" s="136">
        <f t="shared" si="34"/>
        <v>0</v>
      </c>
      <c r="AH172" s="125">
        <v>148</v>
      </c>
      <c r="AJ172" s="125">
        <v>0</v>
      </c>
    </row>
    <row r="173" spans="1:36" x14ac:dyDescent="0.2">
      <c r="B173" s="125" t="s">
        <v>120</v>
      </c>
      <c r="C173" s="153">
        <f>96974+51974+496052</f>
        <v>645000</v>
      </c>
      <c r="D173" s="154"/>
      <c r="E173" s="154"/>
      <c r="F173" s="163">
        <f>499480.88+49097+52268</f>
        <v>600845.88</v>
      </c>
      <c r="G173" s="163">
        <f>[1]FSU!F131</f>
        <v>44154.119999999995</v>
      </c>
      <c r="H173" s="164">
        <f>[1]FSU!H131</f>
        <v>44154.12</v>
      </c>
      <c r="I173" s="162">
        <f>[1]FSU!I131</f>
        <v>0</v>
      </c>
      <c r="J173" s="167">
        <f>[1]FSU!J131</f>
        <v>0</v>
      </c>
      <c r="K173" s="167">
        <f>[1]FSU!K131</f>
        <v>0</v>
      </c>
      <c r="L173" s="162">
        <f t="shared" si="31"/>
        <v>-7.2759576141834259E-12</v>
      </c>
      <c r="M173" s="162">
        <f t="shared" si="32"/>
        <v>0</v>
      </c>
      <c r="N173" s="162">
        <v>0</v>
      </c>
      <c r="O173" s="162">
        <v>44154.12</v>
      </c>
      <c r="P173" s="159" t="s">
        <v>161</v>
      </c>
      <c r="Q173" s="159">
        <v>38</v>
      </c>
      <c r="R173" s="159" t="s">
        <v>160</v>
      </c>
      <c r="AA173" s="135">
        <v>496051.52</v>
      </c>
      <c r="AD173" s="135">
        <f t="shared" si="33"/>
        <v>496051.52</v>
      </c>
      <c r="AF173" s="136">
        <f t="shared" si="34"/>
        <v>0</v>
      </c>
      <c r="AH173" s="125">
        <v>149</v>
      </c>
      <c r="AJ173" s="125">
        <v>44154.12</v>
      </c>
    </row>
    <row r="174" spans="1:36" x14ac:dyDescent="0.2">
      <c r="B174" s="125" t="s">
        <v>137</v>
      </c>
      <c r="C174" s="153">
        <v>536000</v>
      </c>
      <c r="D174" s="154"/>
      <c r="E174" s="154"/>
      <c r="F174" s="163">
        <f>10442.22+514492.66+11065.12</f>
        <v>536000</v>
      </c>
      <c r="G174" s="163">
        <v>0</v>
      </c>
      <c r="H174" s="164">
        <v>0</v>
      </c>
      <c r="I174" s="162">
        <v>0</v>
      </c>
      <c r="J174" s="167">
        <v>0</v>
      </c>
      <c r="K174" s="167">
        <v>0</v>
      </c>
      <c r="L174" s="162">
        <f t="shared" si="31"/>
        <v>0</v>
      </c>
      <c r="M174" s="162">
        <f t="shared" si="32"/>
        <v>0</v>
      </c>
      <c r="N174" s="162">
        <v>0</v>
      </c>
      <c r="O174" s="162">
        <v>0</v>
      </c>
      <c r="P174" s="159" t="s">
        <v>161</v>
      </c>
      <c r="Q174" s="159">
        <v>38</v>
      </c>
      <c r="R174" s="159" t="s">
        <v>160</v>
      </c>
      <c r="AD174" s="135">
        <f t="shared" si="33"/>
        <v>0</v>
      </c>
      <c r="AF174" s="136">
        <f t="shared" si="34"/>
        <v>0</v>
      </c>
      <c r="AH174" s="125">
        <v>150</v>
      </c>
      <c r="AJ174" s="125">
        <v>0</v>
      </c>
    </row>
    <row r="175" spans="1:36" x14ac:dyDescent="0.2">
      <c r="B175" s="125" t="s">
        <v>122</v>
      </c>
      <c r="C175" s="153">
        <f>600000+550000+439000</f>
        <v>1589000</v>
      </c>
      <c r="D175" s="162">
        <v>-0.7</v>
      </c>
      <c r="F175" s="163">
        <f>588447.37+453769.26+513210.16</f>
        <v>1555426.79</v>
      </c>
      <c r="G175" s="163">
        <f>[1]TU!F184</f>
        <v>33572.510000000024</v>
      </c>
      <c r="H175" s="164">
        <f>[1]TU!H184</f>
        <v>33572.51</v>
      </c>
      <c r="I175" s="162">
        <v>0</v>
      </c>
      <c r="J175" s="167">
        <v>0</v>
      </c>
      <c r="K175" s="167">
        <v>0</v>
      </c>
      <c r="L175" s="162">
        <f t="shared" si="31"/>
        <v>2.1827872842550278E-11</v>
      </c>
      <c r="M175" s="162">
        <f t="shared" si="32"/>
        <v>0</v>
      </c>
      <c r="N175" s="162">
        <v>0</v>
      </c>
      <c r="O175" s="162">
        <v>33572.51</v>
      </c>
      <c r="P175" s="159" t="s">
        <v>161</v>
      </c>
      <c r="Q175" s="159">
        <v>38</v>
      </c>
      <c r="R175" s="159" t="s">
        <v>160</v>
      </c>
      <c r="AA175" s="135">
        <v>46067.519999999997</v>
      </c>
      <c r="AD175" s="135">
        <f t="shared" si="33"/>
        <v>46067.519999999997</v>
      </c>
      <c r="AF175" s="136">
        <f t="shared" si="34"/>
        <v>0</v>
      </c>
      <c r="AH175" s="125">
        <v>151</v>
      </c>
      <c r="AJ175" s="125">
        <v>33572.51</v>
      </c>
    </row>
    <row r="176" spans="1:36" x14ac:dyDescent="0.2">
      <c r="B176" s="125" t="s">
        <v>123</v>
      </c>
      <c r="C176" s="153">
        <v>418000</v>
      </c>
      <c r="D176" s="154"/>
      <c r="E176" s="154"/>
      <c r="F176" s="162">
        <f>78065+160839.77+177315+1780.23</f>
        <v>418000</v>
      </c>
      <c r="G176" s="163">
        <f>[1]UB!F109</f>
        <v>1.0459189070388675E-11</v>
      </c>
      <c r="H176" s="164">
        <f>[1]UB!H109</f>
        <v>0</v>
      </c>
      <c r="I176" s="162">
        <f>[1]UB!I109</f>
        <v>0</v>
      </c>
      <c r="J176" s="167">
        <f>[1]UB!J109</f>
        <v>0</v>
      </c>
      <c r="K176" s="167">
        <f>[1]UB!K109</f>
        <v>0</v>
      </c>
      <c r="L176" s="162">
        <f t="shared" si="31"/>
        <v>1.0459189070388675E-11</v>
      </c>
      <c r="M176" s="162">
        <f t="shared" si="32"/>
        <v>0</v>
      </c>
      <c r="N176" s="162">
        <v>0</v>
      </c>
      <c r="O176" s="162">
        <v>0</v>
      </c>
      <c r="P176" s="159" t="s">
        <v>161</v>
      </c>
      <c r="Q176" s="159">
        <v>38</v>
      </c>
      <c r="R176" s="159" t="s">
        <v>160</v>
      </c>
      <c r="AA176" s="135">
        <v>159435</v>
      </c>
      <c r="AD176" s="135">
        <f t="shared" si="33"/>
        <v>159435</v>
      </c>
      <c r="AF176" s="136">
        <f t="shared" si="34"/>
        <v>-1.0459189070388675E-11</v>
      </c>
      <c r="AH176" s="125">
        <v>152</v>
      </c>
      <c r="AJ176" s="125">
        <v>0</v>
      </c>
    </row>
    <row r="177" spans="1:36" x14ac:dyDescent="0.2">
      <c r="B177" s="165" t="s">
        <v>127</v>
      </c>
      <c r="C177" s="153">
        <v>563000</v>
      </c>
      <c r="D177" s="154"/>
      <c r="E177" s="162">
        <f>-563000</f>
        <v>-563000</v>
      </c>
      <c r="F177" s="162"/>
      <c r="G177" s="163">
        <f>'[1]Emergency Funds'!G74</f>
        <v>0</v>
      </c>
      <c r="H177" s="164"/>
      <c r="I177" s="162"/>
      <c r="J177" s="167"/>
      <c r="K177" s="167"/>
      <c r="L177" s="162"/>
      <c r="M177" s="162">
        <f t="shared" si="32"/>
        <v>0</v>
      </c>
      <c r="N177" s="162"/>
      <c r="O177" s="162"/>
      <c r="P177" s="159" t="s">
        <v>161</v>
      </c>
      <c r="Q177" s="159">
        <v>38</v>
      </c>
      <c r="R177" s="159" t="s">
        <v>160</v>
      </c>
      <c r="AD177" s="135">
        <f t="shared" si="33"/>
        <v>0</v>
      </c>
      <c r="AF177" s="136">
        <f t="shared" si="34"/>
        <v>0</v>
      </c>
      <c r="AH177" s="125">
        <v>153</v>
      </c>
    </row>
    <row r="178" spans="1:36" x14ac:dyDescent="0.2">
      <c r="C178" s="153"/>
      <c r="D178" s="154"/>
      <c r="E178" s="154"/>
      <c r="F178" s="162"/>
      <c r="G178" s="156"/>
      <c r="H178" s="157"/>
      <c r="I178" s="154"/>
      <c r="J178" s="158"/>
      <c r="K178" s="158"/>
      <c r="L178" s="154"/>
      <c r="M178" s="154"/>
      <c r="N178" s="154"/>
      <c r="O178" s="154"/>
      <c r="AH178" s="125">
        <v>154</v>
      </c>
    </row>
    <row r="179" spans="1:36" ht="13.5" thickBot="1" x14ac:dyDescent="0.25">
      <c r="B179" s="168" t="s">
        <v>173</v>
      </c>
      <c r="C179" s="169">
        <f t="shared" ref="C179:K179" si="35">SUM(C164:C178)</f>
        <v>24500000</v>
      </c>
      <c r="D179" s="192">
        <f t="shared" si="35"/>
        <v>-0.72</v>
      </c>
      <c r="E179" s="192">
        <f t="shared" si="35"/>
        <v>-563000</v>
      </c>
      <c r="F179" s="192">
        <f t="shared" si="35"/>
        <v>22193026.749999996</v>
      </c>
      <c r="G179" s="192">
        <f t="shared" si="35"/>
        <v>1743972.5299999996</v>
      </c>
      <c r="H179" s="192">
        <f t="shared" si="35"/>
        <v>1294133.6000000001</v>
      </c>
      <c r="I179" s="192">
        <f t="shared" si="35"/>
        <v>0</v>
      </c>
      <c r="J179" s="192">
        <f t="shared" si="35"/>
        <v>0</v>
      </c>
      <c r="K179" s="192">
        <f t="shared" si="35"/>
        <v>0</v>
      </c>
      <c r="L179" s="192">
        <f>SUM(L164:L178)</f>
        <v>449838.92999999941</v>
      </c>
      <c r="M179" s="192">
        <f>SUM(M164:M178)</f>
        <v>352972.50000000012</v>
      </c>
      <c r="N179" s="192">
        <f>SUM(N164:N178)</f>
        <v>238561.30999999994</v>
      </c>
      <c r="O179" s="192">
        <f>SUM(O164:O178)</f>
        <v>702599.79</v>
      </c>
      <c r="U179" s="168" t="s">
        <v>129</v>
      </c>
      <c r="V179" s="133">
        <v>22</v>
      </c>
      <c r="AA179" s="192">
        <f>SUM(AA164:AA178)</f>
        <v>5507129.4299999997</v>
      </c>
      <c r="AB179" s="192">
        <f>SUM(AB164:AB178)</f>
        <v>3152557.66</v>
      </c>
      <c r="AC179" s="192">
        <f>SUM(AC164:AC178)</f>
        <v>0</v>
      </c>
      <c r="AD179" s="192">
        <f>SUM(AD164:AD178)</f>
        <v>8659687.0899999999</v>
      </c>
      <c r="AF179" s="136">
        <f>C179+D179+E179-F179-G179</f>
        <v>5.3551048040390015E-9</v>
      </c>
      <c r="AH179" s="125">
        <v>155</v>
      </c>
      <c r="AJ179" s="125">
        <v>941161.1</v>
      </c>
    </row>
    <row r="180" spans="1:36" ht="13.5" thickTop="1" x14ac:dyDescent="0.2">
      <c r="C180" s="153"/>
      <c r="D180" s="154"/>
      <c r="E180" s="154"/>
      <c r="F180" s="191"/>
      <c r="G180" s="156"/>
      <c r="H180" s="157"/>
      <c r="I180" s="154"/>
      <c r="J180" s="158"/>
      <c r="K180" s="158"/>
      <c r="L180" s="154"/>
      <c r="M180" s="154"/>
      <c r="N180" s="154"/>
      <c r="O180" s="154"/>
      <c r="AH180" s="125">
        <v>156</v>
      </c>
    </row>
    <row r="181" spans="1:36" x14ac:dyDescent="0.2">
      <c r="A181" s="165" t="s">
        <v>174</v>
      </c>
      <c r="C181" s="153"/>
      <c r="D181" s="154"/>
      <c r="E181" s="154"/>
      <c r="F181" s="162"/>
      <c r="G181" s="156"/>
      <c r="H181" s="157"/>
      <c r="I181" s="156"/>
      <c r="J181" s="156"/>
      <c r="K181" s="156"/>
      <c r="L181" s="154"/>
      <c r="M181" s="154"/>
      <c r="N181" s="154"/>
      <c r="O181" s="154"/>
      <c r="T181" s="165" t="s">
        <v>109</v>
      </c>
      <c r="V181" s="133">
        <v>5</v>
      </c>
      <c r="AH181" s="125">
        <v>157</v>
      </c>
    </row>
    <row r="182" spans="1:36" x14ac:dyDescent="0.2">
      <c r="B182" s="125" t="s">
        <v>175</v>
      </c>
      <c r="C182" s="153">
        <v>5000000</v>
      </c>
      <c r="D182" s="162"/>
      <c r="E182" s="162"/>
      <c r="F182" s="162">
        <f>233366.84+57065.83+3761966.02+325934.68+385895.56+235771.07</f>
        <v>5000000</v>
      </c>
      <c r="G182" s="163">
        <v>0</v>
      </c>
      <c r="H182" s="164">
        <v>0</v>
      </c>
      <c r="I182" s="162">
        <v>0</v>
      </c>
      <c r="J182" s="167">
        <v>0</v>
      </c>
      <c r="K182" s="167">
        <v>0</v>
      </c>
      <c r="L182" s="162">
        <f>G182-H182-I182-J182-K182</f>
        <v>0</v>
      </c>
      <c r="M182" s="162">
        <f>H182-N182-O182</f>
        <v>0</v>
      </c>
      <c r="N182" s="162"/>
      <c r="O182" s="162">
        <v>0</v>
      </c>
      <c r="P182" s="159">
        <v>41</v>
      </c>
      <c r="Q182" s="159">
        <v>37</v>
      </c>
      <c r="R182" s="159" t="s">
        <v>160</v>
      </c>
      <c r="AB182" s="135">
        <v>165841.88</v>
      </c>
      <c r="AD182" s="135">
        <f t="shared" ref="AD182:AD198" si="36">AA182+AB182+AC182</f>
        <v>165841.88</v>
      </c>
      <c r="AF182" s="136">
        <f t="shared" ref="AF182:AF199" si="37">C182+D182+E182-F182-G182</f>
        <v>0</v>
      </c>
      <c r="AH182" s="125">
        <v>158</v>
      </c>
      <c r="AJ182" s="125">
        <v>0</v>
      </c>
    </row>
    <row r="183" spans="1:36" x14ac:dyDescent="0.2">
      <c r="B183" s="125" t="s">
        <v>168</v>
      </c>
      <c r="C183" s="153">
        <v>20000000</v>
      </c>
      <c r="D183" s="162"/>
      <c r="E183" s="162"/>
      <c r="F183" s="162">
        <f>57764.24+19923609.95+18625.81</f>
        <v>19999999.999999996</v>
      </c>
      <c r="G183" s="163">
        <v>0</v>
      </c>
      <c r="H183" s="164">
        <v>0</v>
      </c>
      <c r="I183" s="162">
        <v>0</v>
      </c>
      <c r="J183" s="167">
        <v>0</v>
      </c>
      <c r="K183" s="167">
        <v>0</v>
      </c>
      <c r="L183" s="162">
        <f>G183-H183-I183-J183-K183</f>
        <v>0</v>
      </c>
      <c r="M183" s="162">
        <f>H183-N183-O183</f>
        <v>0</v>
      </c>
      <c r="N183" s="162"/>
      <c r="O183" s="162">
        <v>0</v>
      </c>
      <c r="P183" s="159">
        <v>42</v>
      </c>
      <c r="Q183" s="159">
        <v>37</v>
      </c>
      <c r="R183" s="159" t="s">
        <v>160</v>
      </c>
      <c r="AD183" s="135">
        <f t="shared" si="36"/>
        <v>0</v>
      </c>
      <c r="AF183" s="136">
        <f t="shared" si="37"/>
        <v>3.7252902984619141E-9</v>
      </c>
      <c r="AH183" s="125">
        <v>159</v>
      </c>
      <c r="AJ183" s="125">
        <v>0</v>
      </c>
    </row>
    <row r="184" spans="1:36" x14ac:dyDescent="0.2">
      <c r="B184" s="125" t="s">
        <v>176</v>
      </c>
      <c r="C184" s="153">
        <v>12500000</v>
      </c>
      <c r="D184" s="162"/>
      <c r="E184" s="162"/>
      <c r="F184" s="162">
        <f>9668105.38+340252.44+1882829.88+36511.16+572301.14</f>
        <v>12500000</v>
      </c>
      <c r="G184" s="163">
        <v>0</v>
      </c>
      <c r="H184" s="164">
        <v>0</v>
      </c>
      <c r="I184" s="162">
        <v>0</v>
      </c>
      <c r="J184" s="167">
        <v>0</v>
      </c>
      <c r="K184" s="167">
        <v>0</v>
      </c>
      <c r="L184" s="162">
        <f>G184-H184-I184-J184-K184</f>
        <v>0</v>
      </c>
      <c r="M184" s="162">
        <f>H184-N184-O184</f>
        <v>0</v>
      </c>
      <c r="N184" s="162"/>
      <c r="O184" s="162">
        <v>0</v>
      </c>
      <c r="P184" s="159">
        <v>43</v>
      </c>
      <c r="Q184" s="159">
        <v>37</v>
      </c>
      <c r="R184" s="159" t="s">
        <v>160</v>
      </c>
      <c r="AA184" s="135">
        <v>1589088.78</v>
      </c>
      <c r="AB184" s="135">
        <v>26085</v>
      </c>
      <c r="AD184" s="135">
        <f t="shared" si="36"/>
        <v>1615173.78</v>
      </c>
      <c r="AF184" s="136">
        <f t="shared" si="37"/>
        <v>0</v>
      </c>
      <c r="AH184" s="125">
        <v>160</v>
      </c>
      <c r="AJ184" s="125">
        <v>0</v>
      </c>
    </row>
    <row r="185" spans="1:36" x14ac:dyDescent="0.2">
      <c r="B185" s="165" t="s">
        <v>112</v>
      </c>
      <c r="C185" s="153"/>
      <c r="D185" s="162"/>
      <c r="E185" s="162"/>
      <c r="F185" s="162"/>
      <c r="G185" s="163"/>
      <c r="H185" s="164"/>
      <c r="I185" s="162"/>
      <c r="J185" s="167"/>
      <c r="K185" s="167"/>
      <c r="L185" s="162"/>
      <c r="M185" s="162"/>
      <c r="N185" s="162"/>
      <c r="O185" s="162"/>
      <c r="AD185" s="135">
        <f t="shared" si="36"/>
        <v>0</v>
      </c>
      <c r="AF185" s="136">
        <f t="shared" si="37"/>
        <v>0</v>
      </c>
      <c r="AH185" s="125">
        <v>161</v>
      </c>
    </row>
    <row r="186" spans="1:36" x14ac:dyDescent="0.2">
      <c r="B186" s="125" t="s">
        <v>113</v>
      </c>
      <c r="C186" s="153">
        <f>300000+990000+990000+550000+990000+295000+150000+100000+510000+975000+900000+550000</f>
        <v>7300000</v>
      </c>
      <c r="D186" s="162"/>
      <c r="E186" s="162"/>
      <c r="F186" s="162">
        <f>1361945.98+5938054.02</f>
        <v>7300000</v>
      </c>
      <c r="G186" s="163">
        <v>0</v>
      </c>
      <c r="H186" s="164">
        <v>0</v>
      </c>
      <c r="I186" s="162">
        <v>0</v>
      </c>
      <c r="J186" s="167">
        <v>0</v>
      </c>
      <c r="K186" s="167">
        <v>0</v>
      </c>
      <c r="L186" s="162">
        <f t="shared" ref="L186:L198" si="38">G186-H186-I186-J186-K186</f>
        <v>0</v>
      </c>
      <c r="M186" s="162">
        <f t="shared" ref="M186:M199" si="39">H186-N186-O186</f>
        <v>0</v>
      </c>
      <c r="N186" s="162"/>
      <c r="O186" s="162">
        <v>0</v>
      </c>
      <c r="P186" s="159" t="s">
        <v>161</v>
      </c>
      <c r="Q186" s="159">
        <v>37</v>
      </c>
      <c r="R186" s="159" t="s">
        <v>160</v>
      </c>
      <c r="AD186" s="135">
        <f t="shared" si="36"/>
        <v>0</v>
      </c>
      <c r="AF186" s="136">
        <f t="shared" si="37"/>
        <v>0</v>
      </c>
      <c r="AH186" s="125">
        <v>162</v>
      </c>
      <c r="AJ186" s="125">
        <v>0</v>
      </c>
    </row>
    <row r="187" spans="1:36" x14ac:dyDescent="0.2">
      <c r="B187" s="125" t="s">
        <v>114</v>
      </c>
      <c r="C187" s="153">
        <f>990000+990000+695000</f>
        <v>2675000</v>
      </c>
      <c r="D187" s="162">
        <v>0.02</v>
      </c>
      <c r="E187" s="162"/>
      <c r="F187" s="162">
        <f>889486.9+1052436.18+89262.15+515004.4+39277.38</f>
        <v>2585467.0099999998</v>
      </c>
      <c r="G187" s="163">
        <f>[1]UMB!F228</f>
        <v>89533.010000000111</v>
      </c>
      <c r="H187" s="164">
        <f>[1]UMB!H228</f>
        <v>89533.01</v>
      </c>
      <c r="I187" s="162">
        <f>[1]UMB!I228</f>
        <v>0</v>
      </c>
      <c r="J187" s="167">
        <f>[1]UMB!J228</f>
        <v>0</v>
      </c>
      <c r="K187" s="167">
        <f>[1]UMB!K228</f>
        <v>0</v>
      </c>
      <c r="L187" s="162">
        <f t="shared" si="38"/>
        <v>1.1641532182693481E-10</v>
      </c>
      <c r="M187" s="162">
        <f t="shared" si="39"/>
        <v>0</v>
      </c>
      <c r="N187" s="162">
        <v>0</v>
      </c>
      <c r="O187" s="162">
        <v>89533.01</v>
      </c>
      <c r="P187" s="159" t="s">
        <v>161</v>
      </c>
      <c r="Q187" s="159">
        <v>37</v>
      </c>
      <c r="R187" s="159" t="s">
        <v>160</v>
      </c>
      <c r="AA187" s="135">
        <v>370845.1</v>
      </c>
      <c r="AD187" s="135">
        <f t="shared" si="36"/>
        <v>370845.1</v>
      </c>
      <c r="AF187" s="136">
        <f t="shared" si="37"/>
        <v>1.3096723705530167E-10</v>
      </c>
      <c r="AH187" s="125">
        <v>163</v>
      </c>
      <c r="AJ187" s="125">
        <v>89533.01</v>
      </c>
    </row>
    <row r="188" spans="1:36" x14ac:dyDescent="0.2">
      <c r="B188" s="125" t="s">
        <v>115</v>
      </c>
      <c r="C188" s="153">
        <v>642000</v>
      </c>
      <c r="D188" s="162"/>
      <c r="E188" s="162"/>
      <c r="F188" s="163">
        <f>77261+564739</f>
        <v>642000</v>
      </c>
      <c r="G188" s="163">
        <v>0</v>
      </c>
      <c r="H188" s="164">
        <v>0</v>
      </c>
      <c r="I188" s="162">
        <v>0</v>
      </c>
      <c r="J188" s="167">
        <v>0</v>
      </c>
      <c r="K188" s="167">
        <v>0</v>
      </c>
      <c r="L188" s="162">
        <f t="shared" si="38"/>
        <v>0</v>
      </c>
      <c r="M188" s="162">
        <f t="shared" si="39"/>
        <v>0</v>
      </c>
      <c r="N188" s="162">
        <v>0</v>
      </c>
      <c r="O188" s="162">
        <v>0</v>
      </c>
      <c r="P188" s="159" t="s">
        <v>161</v>
      </c>
      <c r="Q188" s="159">
        <v>37</v>
      </c>
      <c r="R188" s="159" t="s">
        <v>160</v>
      </c>
      <c r="AD188" s="135">
        <f t="shared" si="36"/>
        <v>0</v>
      </c>
      <c r="AF188" s="136">
        <f t="shared" si="37"/>
        <v>0</v>
      </c>
      <c r="AH188" s="125">
        <v>164</v>
      </c>
      <c r="AJ188" s="125">
        <v>0</v>
      </c>
    </row>
    <row r="189" spans="1:36" x14ac:dyDescent="0.2">
      <c r="B189" s="125" t="s">
        <v>116</v>
      </c>
      <c r="C189" s="153">
        <v>1452000</v>
      </c>
      <c r="D189" s="162"/>
      <c r="E189" s="162"/>
      <c r="F189" s="162">
        <f>853408.33+498591.67+100000</f>
        <v>1452000</v>
      </c>
      <c r="G189" s="163">
        <v>0</v>
      </c>
      <c r="H189" s="164">
        <v>0</v>
      </c>
      <c r="I189" s="162">
        <v>0</v>
      </c>
      <c r="J189" s="167">
        <v>0</v>
      </c>
      <c r="K189" s="167">
        <v>0</v>
      </c>
      <c r="L189" s="162">
        <f t="shared" si="38"/>
        <v>0</v>
      </c>
      <c r="M189" s="162">
        <f t="shared" si="39"/>
        <v>0</v>
      </c>
      <c r="N189" s="162">
        <v>0</v>
      </c>
      <c r="O189" s="162">
        <v>0</v>
      </c>
      <c r="P189" s="159" t="s">
        <v>161</v>
      </c>
      <c r="Q189" s="159">
        <v>37</v>
      </c>
      <c r="R189" s="159" t="s">
        <v>160</v>
      </c>
      <c r="AD189" s="135">
        <f t="shared" si="36"/>
        <v>0</v>
      </c>
      <c r="AF189" s="136">
        <f t="shared" si="37"/>
        <v>0</v>
      </c>
      <c r="AH189" s="125">
        <v>165</v>
      </c>
      <c r="AJ189" s="125">
        <v>0</v>
      </c>
    </row>
    <row r="190" spans="1:36" x14ac:dyDescent="0.2">
      <c r="B190" s="125" t="s">
        <v>117</v>
      </c>
      <c r="C190" s="153">
        <v>317000</v>
      </c>
      <c r="D190" s="162"/>
      <c r="E190" s="162"/>
      <c r="F190" s="162">
        <f>317000</f>
        <v>317000</v>
      </c>
      <c r="G190" s="163">
        <v>0</v>
      </c>
      <c r="H190" s="164">
        <v>0</v>
      </c>
      <c r="I190" s="162">
        <v>0</v>
      </c>
      <c r="J190" s="167">
        <v>0</v>
      </c>
      <c r="K190" s="167">
        <v>0</v>
      </c>
      <c r="L190" s="162">
        <f t="shared" si="38"/>
        <v>0</v>
      </c>
      <c r="M190" s="162">
        <f t="shared" si="39"/>
        <v>0</v>
      </c>
      <c r="N190" s="162">
        <v>0</v>
      </c>
      <c r="O190" s="162">
        <v>0</v>
      </c>
      <c r="P190" s="159" t="s">
        <v>161</v>
      </c>
      <c r="Q190" s="159">
        <v>37</v>
      </c>
      <c r="R190" s="159" t="s">
        <v>160</v>
      </c>
      <c r="AD190" s="135">
        <f t="shared" si="36"/>
        <v>0</v>
      </c>
      <c r="AF190" s="136">
        <f t="shared" si="37"/>
        <v>0</v>
      </c>
      <c r="AH190" s="125">
        <v>166</v>
      </c>
      <c r="AJ190" s="125">
        <v>0</v>
      </c>
    </row>
    <row r="191" spans="1:36" x14ac:dyDescent="0.2">
      <c r="B191" s="125" t="s">
        <v>118</v>
      </c>
      <c r="C191" s="153">
        <f>154000+400000</f>
        <v>554000</v>
      </c>
      <c r="D191" s="162"/>
      <c r="E191" s="162"/>
      <c r="F191" s="162">
        <f>182583.42+275528.65+49660.29+12202.63+34025.01</f>
        <v>554000</v>
      </c>
      <c r="G191" s="163">
        <v>0</v>
      </c>
      <c r="H191" s="164">
        <v>0</v>
      </c>
      <c r="I191" s="162">
        <v>0</v>
      </c>
      <c r="J191" s="167">
        <v>0</v>
      </c>
      <c r="K191" s="167">
        <v>0</v>
      </c>
      <c r="L191" s="162">
        <f t="shared" si="38"/>
        <v>0</v>
      </c>
      <c r="M191" s="162">
        <f t="shared" si="39"/>
        <v>0</v>
      </c>
      <c r="N191" s="162">
        <v>0</v>
      </c>
      <c r="O191" s="162">
        <v>0</v>
      </c>
      <c r="P191" s="159" t="s">
        <v>161</v>
      </c>
      <c r="Q191" s="159">
        <v>37</v>
      </c>
      <c r="R191" s="159" t="s">
        <v>160</v>
      </c>
      <c r="AA191" s="135">
        <v>46537.61</v>
      </c>
      <c r="AD191" s="135">
        <f t="shared" si="36"/>
        <v>46537.61</v>
      </c>
      <c r="AF191" s="136">
        <f t="shared" si="37"/>
        <v>0</v>
      </c>
      <c r="AH191" s="125">
        <v>167</v>
      </c>
      <c r="AJ191" s="125">
        <v>0</v>
      </c>
    </row>
    <row r="192" spans="1:36" x14ac:dyDescent="0.2">
      <c r="B192" s="125" t="s">
        <v>119</v>
      </c>
      <c r="C192" s="153">
        <f>284000+125000</f>
        <v>409000</v>
      </c>
      <c r="D192" s="162"/>
      <c r="E192" s="162"/>
      <c r="F192" s="163">
        <f>349767.69+59232.31</f>
        <v>409000</v>
      </c>
      <c r="G192" s="163">
        <v>0</v>
      </c>
      <c r="H192" s="164">
        <v>0</v>
      </c>
      <c r="I192" s="162">
        <v>0</v>
      </c>
      <c r="J192" s="167">
        <v>0</v>
      </c>
      <c r="K192" s="167">
        <v>0</v>
      </c>
      <c r="L192" s="162">
        <f t="shared" si="38"/>
        <v>0</v>
      </c>
      <c r="M192" s="162">
        <f t="shared" si="39"/>
        <v>0</v>
      </c>
      <c r="N192" s="162">
        <v>0</v>
      </c>
      <c r="O192" s="162">
        <v>0</v>
      </c>
      <c r="P192" s="159" t="s">
        <v>161</v>
      </c>
      <c r="Q192" s="159">
        <v>37</v>
      </c>
      <c r="R192" s="159" t="s">
        <v>160</v>
      </c>
      <c r="AD192" s="135">
        <f t="shared" si="36"/>
        <v>0</v>
      </c>
      <c r="AF192" s="136">
        <f t="shared" si="37"/>
        <v>0</v>
      </c>
      <c r="AH192" s="125">
        <v>168</v>
      </c>
      <c r="AJ192" s="125">
        <v>0</v>
      </c>
    </row>
    <row r="193" spans="1:36" x14ac:dyDescent="0.2">
      <c r="B193" s="125" t="s">
        <v>120</v>
      </c>
      <c r="C193" s="153">
        <f>495000+150000</f>
        <v>645000</v>
      </c>
      <c r="D193" s="162"/>
      <c r="E193" s="162"/>
      <c r="F193" s="163">
        <f>218980.88+67737+325356.07+23047.08</f>
        <v>635121.02999999991</v>
      </c>
      <c r="G193" s="163">
        <f>[1]FSU!F143</f>
        <v>9878.9700000000448</v>
      </c>
      <c r="H193" s="164">
        <f>[1]FSU!H143</f>
        <v>9878.9699999999993</v>
      </c>
      <c r="I193" s="162">
        <f>[1]FSU!I143</f>
        <v>0</v>
      </c>
      <c r="J193" s="167">
        <f>[1]FSU!J143</f>
        <v>0</v>
      </c>
      <c r="K193" s="167">
        <f>[1]FSU!K143</f>
        <v>0</v>
      </c>
      <c r="L193" s="162">
        <f t="shared" si="38"/>
        <v>4.5474735088646412E-11</v>
      </c>
      <c r="M193" s="162">
        <f t="shared" si="39"/>
        <v>0</v>
      </c>
      <c r="N193" s="162">
        <v>0</v>
      </c>
      <c r="O193" s="162">
        <v>9878.9699999999993</v>
      </c>
      <c r="P193" s="159" t="s">
        <v>161</v>
      </c>
      <c r="Q193" s="159">
        <v>37</v>
      </c>
      <c r="R193" s="159" t="s">
        <v>160</v>
      </c>
      <c r="AD193" s="135">
        <f t="shared" si="36"/>
        <v>0</v>
      </c>
      <c r="AF193" s="136">
        <f t="shared" si="37"/>
        <v>4.3655745685100555E-11</v>
      </c>
      <c r="AH193" s="125">
        <v>169</v>
      </c>
      <c r="AJ193" s="125">
        <v>9878.9699999999993</v>
      </c>
    </row>
    <row r="194" spans="1:36" x14ac:dyDescent="0.2">
      <c r="B194" s="125" t="s">
        <v>137</v>
      </c>
      <c r="C194" s="153">
        <f>100000+236000+200000</f>
        <v>536000</v>
      </c>
      <c r="D194" s="162">
        <v>0.03</v>
      </c>
      <c r="E194" s="162"/>
      <c r="F194" s="162">
        <f>51450.65+149768.64+281527.91+41350.19+11902.64</f>
        <v>536000.02999999991</v>
      </c>
      <c r="G194" s="163">
        <v>0</v>
      </c>
      <c r="H194" s="164">
        <v>0</v>
      </c>
      <c r="I194" s="162">
        <v>0</v>
      </c>
      <c r="J194" s="167">
        <v>0</v>
      </c>
      <c r="K194" s="167">
        <v>0</v>
      </c>
      <c r="L194" s="162">
        <f t="shared" si="38"/>
        <v>0</v>
      </c>
      <c r="M194" s="162">
        <f t="shared" si="39"/>
        <v>0</v>
      </c>
      <c r="N194" s="162"/>
      <c r="O194" s="162">
        <v>0</v>
      </c>
      <c r="P194" s="159" t="s">
        <v>161</v>
      </c>
      <c r="Q194" s="159">
        <v>37</v>
      </c>
      <c r="R194" s="159" t="s">
        <v>160</v>
      </c>
      <c r="AA194" s="135">
        <v>1280</v>
      </c>
      <c r="AD194" s="135">
        <f t="shared" si="36"/>
        <v>1280</v>
      </c>
      <c r="AF194" s="136">
        <f t="shared" si="37"/>
        <v>1.1641532182693481E-10</v>
      </c>
      <c r="AH194" s="125">
        <v>170</v>
      </c>
      <c r="AJ194" s="125">
        <v>0</v>
      </c>
    </row>
    <row r="195" spans="1:36" x14ac:dyDescent="0.2">
      <c r="B195" s="125" t="s">
        <v>122</v>
      </c>
      <c r="C195" s="153">
        <f>900000+250000+439000</f>
        <v>1589000</v>
      </c>
      <c r="D195" s="162"/>
      <c r="E195" s="162"/>
      <c r="F195" s="162">
        <f>621656.31+967343.69</f>
        <v>1589000</v>
      </c>
      <c r="G195" s="163">
        <f>[1]TU!F191+[1]TU!F198+[1]TU!F204</f>
        <v>0</v>
      </c>
      <c r="H195" s="164">
        <f>[1]TU!H191+[1]TU!H198+[1]TU!H204</f>
        <v>0</v>
      </c>
      <c r="I195" s="162">
        <f>[1]TU!I191+[1]TU!I198+[1]TU!I204</f>
        <v>0</v>
      </c>
      <c r="J195" s="167">
        <f>[1]TU!J191+[1]TU!J198+[1]TU!J204</f>
        <v>0</v>
      </c>
      <c r="K195" s="167">
        <f>[1]TU!K191+[1]TU!K198+[1]TU!K204</f>
        <v>0</v>
      </c>
      <c r="L195" s="162">
        <f t="shared" si="38"/>
        <v>0</v>
      </c>
      <c r="M195" s="162">
        <f t="shared" si="39"/>
        <v>0</v>
      </c>
      <c r="N195" s="162">
        <v>0</v>
      </c>
      <c r="O195" s="162">
        <v>0</v>
      </c>
      <c r="P195" s="159" t="s">
        <v>161</v>
      </c>
      <c r="Q195" s="159">
        <v>37</v>
      </c>
      <c r="R195" s="159" t="s">
        <v>160</v>
      </c>
      <c r="AA195" s="135">
        <v>620128.97</v>
      </c>
      <c r="AD195" s="135">
        <f t="shared" si="36"/>
        <v>620128.97</v>
      </c>
      <c r="AF195" s="136">
        <f t="shared" si="37"/>
        <v>0</v>
      </c>
      <c r="AH195" s="125">
        <v>171</v>
      </c>
      <c r="AJ195" s="125">
        <v>0</v>
      </c>
    </row>
    <row r="196" spans="1:36" x14ac:dyDescent="0.2">
      <c r="B196" s="125" t="s">
        <v>123</v>
      </c>
      <c r="C196" s="153">
        <v>418000</v>
      </c>
      <c r="D196" s="162"/>
      <c r="E196" s="162"/>
      <c r="F196" s="162">
        <f>17749.93+363435.12+18289.79+18525.16</f>
        <v>417999.99999999994</v>
      </c>
      <c r="G196" s="163">
        <f>[1]UB!F118</f>
        <v>0</v>
      </c>
      <c r="H196" s="164">
        <f>[1]UB!H118</f>
        <v>0</v>
      </c>
      <c r="I196" s="162">
        <f>[1]UB!I118</f>
        <v>0</v>
      </c>
      <c r="J196" s="167">
        <f>[1]UB!J118</f>
        <v>0</v>
      </c>
      <c r="K196" s="167">
        <f>[1]UB!K118</f>
        <v>0</v>
      </c>
      <c r="L196" s="162">
        <f t="shared" si="38"/>
        <v>0</v>
      </c>
      <c r="M196" s="162">
        <f t="shared" si="39"/>
        <v>0</v>
      </c>
      <c r="N196" s="162"/>
      <c r="O196" s="162">
        <v>0</v>
      </c>
      <c r="P196" s="159" t="s">
        <v>161</v>
      </c>
      <c r="Q196" s="159">
        <v>37</v>
      </c>
      <c r="R196" s="159" t="s">
        <v>160</v>
      </c>
      <c r="AA196" s="135">
        <v>14354.56</v>
      </c>
      <c r="AD196" s="135">
        <f t="shared" si="36"/>
        <v>14354.56</v>
      </c>
      <c r="AF196" s="136">
        <f t="shared" si="37"/>
        <v>5.8207660913467407E-11</v>
      </c>
      <c r="AH196" s="125">
        <v>172</v>
      </c>
      <c r="AJ196" s="125">
        <v>0</v>
      </c>
    </row>
    <row r="197" spans="1:36" x14ac:dyDescent="0.2">
      <c r="B197" s="165" t="s">
        <v>127</v>
      </c>
      <c r="C197" s="153">
        <v>463000</v>
      </c>
      <c r="D197" s="135"/>
      <c r="E197" s="162">
        <f>82000+829190.54+288809.46-100000-1200000-250000-113000</f>
        <v>-463000</v>
      </c>
      <c r="F197" s="167"/>
      <c r="G197" s="163">
        <f>'[1]Emergency Funds'!G85</f>
        <v>0</v>
      </c>
      <c r="H197" s="164"/>
      <c r="I197" s="162"/>
      <c r="J197" s="167"/>
      <c r="K197" s="167"/>
      <c r="L197" s="162"/>
      <c r="M197" s="162">
        <f t="shared" si="39"/>
        <v>0</v>
      </c>
      <c r="N197" s="162"/>
      <c r="O197" s="162"/>
      <c r="P197" s="159" t="s">
        <v>161</v>
      </c>
      <c r="Q197" s="159">
        <v>37</v>
      </c>
      <c r="R197" s="159" t="s">
        <v>160</v>
      </c>
      <c r="AD197" s="135">
        <f t="shared" si="36"/>
        <v>0</v>
      </c>
      <c r="AF197" s="136">
        <f t="shared" si="37"/>
        <v>0</v>
      </c>
      <c r="AH197" s="125">
        <v>173</v>
      </c>
    </row>
    <row r="198" spans="1:36" x14ac:dyDescent="0.2">
      <c r="B198" s="125" t="s">
        <v>177</v>
      </c>
      <c r="C198" s="166"/>
      <c r="D198" s="135"/>
      <c r="E198" s="167">
        <f>100000+1200000</f>
        <v>1300000</v>
      </c>
      <c r="F198" s="162">
        <f>610722.96+220997.45+425919.2+42360.39</f>
        <v>1299999.9999999998</v>
      </c>
      <c r="G198" s="163">
        <v>0</v>
      </c>
      <c r="H198" s="164">
        <v>0</v>
      </c>
      <c r="I198" s="162">
        <v>0</v>
      </c>
      <c r="J198" s="167">
        <v>0</v>
      </c>
      <c r="K198" s="167">
        <v>0</v>
      </c>
      <c r="L198" s="162">
        <f t="shared" si="38"/>
        <v>0</v>
      </c>
      <c r="M198" s="162">
        <f t="shared" si="39"/>
        <v>0</v>
      </c>
      <c r="N198" s="162"/>
      <c r="O198" s="162">
        <v>0</v>
      </c>
      <c r="P198" s="159" t="s">
        <v>161</v>
      </c>
      <c r="Q198" s="159">
        <v>37</v>
      </c>
      <c r="R198" s="159" t="s">
        <v>160</v>
      </c>
      <c r="AD198" s="135">
        <f t="shared" si="36"/>
        <v>0</v>
      </c>
      <c r="AF198" s="136">
        <f t="shared" si="37"/>
        <v>2.3283064365386963E-10</v>
      </c>
      <c r="AH198" s="125">
        <v>174</v>
      </c>
      <c r="AJ198" s="125">
        <v>0</v>
      </c>
    </row>
    <row r="199" spans="1:36" x14ac:dyDescent="0.2">
      <c r="B199" s="125" t="s">
        <v>156</v>
      </c>
      <c r="C199" s="166"/>
      <c r="D199" s="135"/>
      <c r="E199" s="167">
        <v>250000</v>
      </c>
      <c r="F199" s="162">
        <f>65573.85+184426.15</f>
        <v>250000</v>
      </c>
      <c r="G199" s="163">
        <f>'[1]USM &amp; COI'!G57</f>
        <v>0</v>
      </c>
      <c r="H199" s="164">
        <f>'[1]USM &amp; COI'!H57</f>
        <v>0</v>
      </c>
      <c r="I199" s="162"/>
      <c r="J199" s="167"/>
      <c r="K199" s="167">
        <f>'[1]USM &amp; COI'!K57</f>
        <v>0</v>
      </c>
      <c r="L199" s="162">
        <f>G199-H199-I199-J199-K199</f>
        <v>0</v>
      </c>
      <c r="M199" s="162">
        <f t="shared" si="39"/>
        <v>0</v>
      </c>
      <c r="N199" s="162"/>
      <c r="O199" s="162">
        <v>0</v>
      </c>
      <c r="AF199" s="136">
        <f t="shared" si="37"/>
        <v>0</v>
      </c>
      <c r="AH199" s="125">
        <v>175</v>
      </c>
      <c r="AJ199" s="125">
        <v>0</v>
      </c>
    </row>
    <row r="200" spans="1:36" x14ac:dyDescent="0.2">
      <c r="C200" s="153"/>
      <c r="D200" s="154"/>
      <c r="E200" s="154"/>
      <c r="F200" s="162"/>
      <c r="G200" s="156"/>
      <c r="H200" s="157"/>
      <c r="I200" s="154"/>
      <c r="J200" s="158"/>
      <c r="K200" s="158"/>
      <c r="L200" s="154"/>
      <c r="M200" s="154"/>
      <c r="N200" s="154"/>
      <c r="O200" s="154"/>
      <c r="AH200" s="125">
        <v>176</v>
      </c>
    </row>
    <row r="201" spans="1:36" ht="13.5" thickBot="1" x14ac:dyDescent="0.25">
      <c r="B201" s="168" t="s">
        <v>178</v>
      </c>
      <c r="C201" s="169">
        <f t="shared" ref="C201:O201" si="40">SUM(C182:C200)</f>
        <v>54500000</v>
      </c>
      <c r="D201" s="169">
        <f t="shared" si="40"/>
        <v>0.05</v>
      </c>
      <c r="E201" s="169">
        <f t="shared" si="40"/>
        <v>1087000</v>
      </c>
      <c r="F201" s="192">
        <f t="shared" si="40"/>
        <v>55487588.07</v>
      </c>
      <c r="G201" s="169">
        <f t="shared" si="40"/>
        <v>99411.980000000156</v>
      </c>
      <c r="H201" s="193">
        <f t="shared" si="40"/>
        <v>99411.98</v>
      </c>
      <c r="I201" s="169">
        <f t="shared" si="40"/>
        <v>0</v>
      </c>
      <c r="J201" s="169">
        <f t="shared" si="40"/>
        <v>0</v>
      </c>
      <c r="K201" s="169">
        <f t="shared" si="40"/>
        <v>0</v>
      </c>
      <c r="L201" s="169">
        <f t="shared" si="40"/>
        <v>1.6189005691558123E-10</v>
      </c>
      <c r="M201" s="169">
        <f t="shared" si="40"/>
        <v>0</v>
      </c>
      <c r="N201" s="169">
        <f t="shared" si="40"/>
        <v>0</v>
      </c>
      <c r="O201" s="169">
        <f t="shared" si="40"/>
        <v>99411.98</v>
      </c>
      <c r="U201" s="168" t="s">
        <v>129</v>
      </c>
      <c r="V201" s="133">
        <v>22</v>
      </c>
      <c r="AA201" s="169">
        <f>SUM(AA182:AA200)</f>
        <v>2642235.02</v>
      </c>
      <c r="AB201" s="169">
        <f>SUM(AB182:AB200)</f>
        <v>191926.88</v>
      </c>
      <c r="AC201" s="169">
        <f>SUM(AC182:AC200)</f>
        <v>0</v>
      </c>
      <c r="AD201" s="169">
        <f>SUM(AD182:AD200)</f>
        <v>2834161.9</v>
      </c>
      <c r="AF201" s="136">
        <f>C201+D201+E201-F201-G201</f>
        <v>-3.434251993894577E-9</v>
      </c>
      <c r="AH201" s="125">
        <v>177</v>
      </c>
      <c r="AJ201" s="125">
        <v>99411.98</v>
      </c>
    </row>
    <row r="202" spans="1:36" ht="13.5" thickTop="1" x14ac:dyDescent="0.2">
      <c r="C202" s="153"/>
      <c r="D202" s="154"/>
      <c r="E202" s="154"/>
      <c r="F202" s="191"/>
      <c r="G202" s="156"/>
      <c r="H202" s="157"/>
      <c r="I202" s="154"/>
      <c r="J202" s="158"/>
      <c r="K202" s="158"/>
      <c r="L202" s="154"/>
      <c r="M202" s="154"/>
      <c r="N202" s="154"/>
      <c r="O202" s="154"/>
      <c r="AH202" s="125">
        <v>178</v>
      </c>
    </row>
    <row r="203" spans="1:36" x14ac:dyDescent="0.2">
      <c r="A203" s="165" t="s">
        <v>109</v>
      </c>
      <c r="C203" s="153"/>
      <c r="D203" s="154"/>
      <c r="E203" s="154"/>
      <c r="F203" s="162"/>
      <c r="G203" s="156"/>
      <c r="H203" s="157"/>
      <c r="I203" s="156"/>
      <c r="J203" s="156"/>
      <c r="K203" s="156"/>
      <c r="L203" s="154"/>
      <c r="M203" s="154"/>
      <c r="N203" s="154"/>
      <c r="O203" s="154"/>
      <c r="T203" s="165" t="s">
        <v>109</v>
      </c>
      <c r="V203" s="133">
        <v>5</v>
      </c>
      <c r="AH203" s="125">
        <v>179</v>
      </c>
    </row>
    <row r="204" spans="1:36" hidden="1" x14ac:dyDescent="0.2">
      <c r="B204" s="125" t="s">
        <v>179</v>
      </c>
      <c r="C204" s="153">
        <v>5000000</v>
      </c>
      <c r="D204" s="154"/>
      <c r="E204" s="154"/>
      <c r="F204" s="162">
        <f>2386505.39+1680899.39+112315.64+37609.43+444747.89+15591.94+322330.32</f>
        <v>5000000.0000000009</v>
      </c>
      <c r="G204" s="172">
        <f>[1]UMCP!F191</f>
        <v>0</v>
      </c>
      <c r="H204" s="173">
        <f>[1]UMCP!H191</f>
        <v>0</v>
      </c>
      <c r="I204" s="172">
        <f>[1]UMCP!I191</f>
        <v>0</v>
      </c>
      <c r="J204" s="172">
        <f>[1]UMCP!J191</f>
        <v>0</v>
      </c>
      <c r="K204" s="172">
        <f>[1]UMCP!K191</f>
        <v>0</v>
      </c>
      <c r="L204" s="162">
        <f>G204-H204-I204-J204-K204</f>
        <v>0</v>
      </c>
      <c r="M204" s="162"/>
      <c r="N204" s="162"/>
      <c r="O204" s="162">
        <f>H202+K202</f>
        <v>0</v>
      </c>
      <c r="P204" s="159">
        <v>30</v>
      </c>
      <c r="Q204" s="159">
        <v>36</v>
      </c>
      <c r="R204" s="159" t="s">
        <v>160</v>
      </c>
      <c r="U204" s="125" t="s">
        <v>179</v>
      </c>
      <c r="V204" s="133">
        <v>6</v>
      </c>
      <c r="AB204" s="135">
        <v>19488.29</v>
      </c>
      <c r="AD204" s="135">
        <f t="shared" ref="AD204:AD220" si="41">AA204+AB204+AC204</f>
        <v>19488.29</v>
      </c>
      <c r="AH204" s="125">
        <v>180</v>
      </c>
      <c r="AJ204" s="125">
        <v>0</v>
      </c>
    </row>
    <row r="205" spans="1:36" hidden="1" x14ac:dyDescent="0.2">
      <c r="B205" s="125" t="s">
        <v>180</v>
      </c>
      <c r="C205" s="153">
        <v>10000000</v>
      </c>
      <c r="D205" s="154"/>
      <c r="E205" s="154"/>
      <c r="F205" s="162">
        <f>202050.59+8360021.99+258271.37+1179656.05</f>
        <v>10000000</v>
      </c>
      <c r="G205" s="172">
        <v>0</v>
      </c>
      <c r="H205" s="173">
        <v>0</v>
      </c>
      <c r="I205" s="172">
        <v>0</v>
      </c>
      <c r="J205" s="172">
        <v>0</v>
      </c>
      <c r="K205" s="172">
        <v>0</v>
      </c>
      <c r="L205" s="162">
        <f>G205-H205-I205-J205-K205</f>
        <v>0</v>
      </c>
      <c r="M205" s="162"/>
      <c r="N205" s="162"/>
      <c r="O205" s="162">
        <f>H203+K203</f>
        <v>0</v>
      </c>
      <c r="P205" s="159" t="s">
        <v>181</v>
      </c>
      <c r="Q205" s="159">
        <v>36</v>
      </c>
      <c r="R205" s="159" t="s">
        <v>160</v>
      </c>
      <c r="U205" s="125" t="s">
        <v>180</v>
      </c>
      <c r="V205" s="133">
        <v>7</v>
      </c>
      <c r="AA205" s="135">
        <v>1179656.05</v>
      </c>
      <c r="AD205" s="135">
        <f t="shared" si="41"/>
        <v>1179656.05</v>
      </c>
      <c r="AH205" s="125">
        <v>181</v>
      </c>
      <c r="AJ205" s="125">
        <v>0</v>
      </c>
    </row>
    <row r="206" spans="1:36" x14ac:dyDescent="0.2">
      <c r="B206" s="165" t="s">
        <v>112</v>
      </c>
      <c r="C206" s="153"/>
      <c r="D206" s="154"/>
      <c r="E206" s="154"/>
      <c r="F206" s="162"/>
      <c r="G206" s="156"/>
      <c r="H206" s="157"/>
      <c r="I206" s="156"/>
      <c r="J206" s="156"/>
      <c r="K206" s="156"/>
      <c r="L206" s="162"/>
      <c r="M206" s="162"/>
      <c r="N206" s="162"/>
      <c r="O206" s="162"/>
      <c r="U206" s="165" t="s">
        <v>112</v>
      </c>
      <c r="V206" s="133">
        <v>8</v>
      </c>
      <c r="AD206" s="135">
        <f t="shared" si="41"/>
        <v>0</v>
      </c>
      <c r="AH206" s="125">
        <v>182</v>
      </c>
    </row>
    <row r="207" spans="1:36" hidden="1" x14ac:dyDescent="0.2">
      <c r="B207" s="125" t="s">
        <v>113</v>
      </c>
      <c r="C207" s="162">
        <v>7300000</v>
      </c>
      <c r="D207" s="162"/>
      <c r="E207" s="154"/>
      <c r="F207" s="162">
        <f>7300000</f>
        <v>7300000</v>
      </c>
      <c r="G207" s="163">
        <v>0</v>
      </c>
      <c r="H207" s="164">
        <v>0</v>
      </c>
      <c r="I207" s="163">
        <v>0</v>
      </c>
      <c r="J207" s="163">
        <v>0</v>
      </c>
      <c r="K207" s="163">
        <v>0</v>
      </c>
      <c r="L207" s="162">
        <f t="shared" ref="L207:L220" si="42">G207-H207-I207-J207-K207</f>
        <v>0</v>
      </c>
      <c r="M207" s="162"/>
      <c r="N207" s="162"/>
      <c r="O207" s="162">
        <f>H205+K205</f>
        <v>0</v>
      </c>
      <c r="P207" s="159" t="s">
        <v>161</v>
      </c>
      <c r="Q207" s="159">
        <v>36</v>
      </c>
      <c r="R207" s="159" t="s">
        <v>160</v>
      </c>
      <c r="U207" s="125" t="s">
        <v>113</v>
      </c>
      <c r="V207" s="133">
        <v>9</v>
      </c>
      <c r="AD207" s="135">
        <f t="shared" si="41"/>
        <v>0</v>
      </c>
      <c r="AH207" s="125">
        <v>183</v>
      </c>
      <c r="AJ207" s="125">
        <v>0</v>
      </c>
    </row>
    <row r="208" spans="1:36" x14ac:dyDescent="0.2">
      <c r="B208" s="125" t="s">
        <v>114</v>
      </c>
      <c r="C208" s="162">
        <f>990000+990000+695000</f>
        <v>2675000</v>
      </c>
      <c r="D208" s="162"/>
      <c r="E208" s="154"/>
      <c r="F208" s="162">
        <f>17183.71+229661+131826.35+690398.91+1500831.83+2485+49881.91+26243.19+10483.21</f>
        <v>2658995.11</v>
      </c>
      <c r="G208" s="163">
        <f>[1]UMB!F248</f>
        <v>16004.889999999719</v>
      </c>
      <c r="H208" s="164">
        <f>[1]UMB!H248</f>
        <v>16004.89</v>
      </c>
      <c r="I208" s="163">
        <f>[1]UMB!I248</f>
        <v>0</v>
      </c>
      <c r="J208" s="163">
        <f>[1]UMB!J248</f>
        <v>0</v>
      </c>
      <c r="K208" s="163">
        <f>[1]UMB!K248</f>
        <v>0</v>
      </c>
      <c r="L208" s="162">
        <f t="shared" si="42"/>
        <v>-2.801243681460619E-10</v>
      </c>
      <c r="M208" s="162">
        <f t="shared" ref="M208:M217" si="43">H208-N208-O208</f>
        <v>0</v>
      </c>
      <c r="N208" s="162">
        <v>0</v>
      </c>
      <c r="O208" s="162">
        <v>16004.89</v>
      </c>
      <c r="P208" s="159" t="s">
        <v>161</v>
      </c>
      <c r="Q208" s="159">
        <v>36</v>
      </c>
      <c r="R208" s="159" t="s">
        <v>160</v>
      </c>
      <c r="U208" s="125" t="s">
        <v>114</v>
      </c>
      <c r="V208" s="133">
        <v>10</v>
      </c>
      <c r="AA208" s="135">
        <v>50892.51</v>
      </c>
      <c r="AB208" s="135">
        <v>2485</v>
      </c>
      <c r="AD208" s="135">
        <f t="shared" si="41"/>
        <v>53377.51</v>
      </c>
      <c r="AF208" s="136">
        <f t="shared" ref="AF208:AF217" si="44">C208+D208+E208-F208-G208</f>
        <v>4.1109160520136356E-10</v>
      </c>
      <c r="AH208" s="125">
        <v>184</v>
      </c>
      <c r="AJ208" s="125">
        <v>16004.89</v>
      </c>
    </row>
    <row r="209" spans="2:36" x14ac:dyDescent="0.2">
      <c r="B209" s="125" t="s">
        <v>115</v>
      </c>
      <c r="C209" s="162">
        <v>642000</v>
      </c>
      <c r="E209" s="162">
        <v>-569.73</v>
      </c>
      <c r="F209" s="162">
        <f>641430.27</f>
        <v>641430.27</v>
      </c>
      <c r="G209" s="163">
        <f>[1]UMES!F124</f>
        <v>-1.8644641386345029E-11</v>
      </c>
      <c r="H209" s="164">
        <f>[1]UMES!H124</f>
        <v>0</v>
      </c>
      <c r="I209" s="163">
        <f>[1]UMES!I124</f>
        <v>0</v>
      </c>
      <c r="J209" s="163">
        <f>[1]UMES!J124</f>
        <v>0</v>
      </c>
      <c r="K209" s="163">
        <f>[1]UMES!K124</f>
        <v>0</v>
      </c>
      <c r="L209" s="162">
        <f t="shared" si="42"/>
        <v>-1.8644641386345029E-11</v>
      </c>
      <c r="M209" s="162">
        <f t="shared" si="43"/>
        <v>0</v>
      </c>
      <c r="N209" s="162">
        <v>0</v>
      </c>
      <c r="O209" s="162">
        <f t="shared" ref="O209:O216" si="45">H209+I209+J209+K209</f>
        <v>0</v>
      </c>
      <c r="P209" s="159" t="s">
        <v>161</v>
      </c>
      <c r="Q209" s="159">
        <v>36</v>
      </c>
      <c r="R209" s="159" t="s">
        <v>160</v>
      </c>
      <c r="U209" s="125" t="s">
        <v>115</v>
      </c>
      <c r="V209" s="133">
        <v>11</v>
      </c>
      <c r="AD209" s="135">
        <f t="shared" si="41"/>
        <v>0</v>
      </c>
      <c r="AF209" s="136">
        <f t="shared" si="44"/>
        <v>1.8644641386345029E-11</v>
      </c>
      <c r="AH209" s="125">
        <v>185</v>
      </c>
      <c r="AJ209" s="125">
        <v>0</v>
      </c>
    </row>
    <row r="210" spans="2:36" x14ac:dyDescent="0.2">
      <c r="B210" s="125" t="s">
        <v>116</v>
      </c>
      <c r="C210" s="162">
        <v>1452000</v>
      </c>
      <c r="D210" s="162"/>
      <c r="E210" s="154"/>
      <c r="F210" s="162">
        <f>1352000+100000</f>
        <v>1452000</v>
      </c>
      <c r="G210" s="163">
        <v>0</v>
      </c>
      <c r="H210" s="164">
        <v>0</v>
      </c>
      <c r="I210" s="163">
        <v>0</v>
      </c>
      <c r="J210" s="163">
        <v>0</v>
      </c>
      <c r="K210" s="163">
        <v>0</v>
      </c>
      <c r="L210" s="162">
        <f t="shared" si="42"/>
        <v>0</v>
      </c>
      <c r="M210" s="162">
        <f t="shared" si="43"/>
        <v>0</v>
      </c>
      <c r="N210" s="162">
        <v>0</v>
      </c>
      <c r="O210" s="162">
        <f t="shared" si="45"/>
        <v>0</v>
      </c>
      <c r="P210" s="159" t="s">
        <v>161</v>
      </c>
      <c r="Q210" s="159">
        <v>36</v>
      </c>
      <c r="R210" s="159" t="s">
        <v>160</v>
      </c>
      <c r="U210" s="125" t="s">
        <v>116</v>
      </c>
      <c r="V210" s="133">
        <v>12</v>
      </c>
      <c r="AD210" s="135">
        <f t="shared" si="41"/>
        <v>0</v>
      </c>
      <c r="AF210" s="136">
        <f t="shared" si="44"/>
        <v>0</v>
      </c>
      <c r="AH210" s="125">
        <v>186</v>
      </c>
      <c r="AJ210" s="125">
        <v>0</v>
      </c>
    </row>
    <row r="211" spans="2:36" x14ac:dyDescent="0.2">
      <c r="B211" s="125" t="s">
        <v>117</v>
      </c>
      <c r="C211" s="162">
        <v>317000</v>
      </c>
      <c r="D211" s="162"/>
      <c r="E211" s="154"/>
      <c r="F211" s="163">
        <f>188967.76+128032.24</f>
        <v>317000</v>
      </c>
      <c r="G211" s="163">
        <v>0</v>
      </c>
      <c r="H211" s="164">
        <v>0</v>
      </c>
      <c r="I211" s="163">
        <v>0</v>
      </c>
      <c r="J211" s="163">
        <v>0</v>
      </c>
      <c r="K211" s="163">
        <v>0</v>
      </c>
      <c r="L211" s="162">
        <f t="shared" si="42"/>
        <v>0</v>
      </c>
      <c r="M211" s="162">
        <f t="shared" si="43"/>
        <v>0</v>
      </c>
      <c r="N211" s="162">
        <v>0</v>
      </c>
      <c r="O211" s="162">
        <f t="shared" si="45"/>
        <v>0</v>
      </c>
      <c r="P211" s="159" t="s">
        <v>161</v>
      </c>
      <c r="Q211" s="159">
        <v>36</v>
      </c>
      <c r="R211" s="159" t="s">
        <v>160</v>
      </c>
      <c r="U211" s="125" t="s">
        <v>117</v>
      </c>
      <c r="V211" s="133">
        <v>13</v>
      </c>
      <c r="AD211" s="135">
        <f t="shared" si="41"/>
        <v>0</v>
      </c>
      <c r="AF211" s="136">
        <f t="shared" si="44"/>
        <v>0</v>
      </c>
      <c r="AH211" s="125">
        <v>187</v>
      </c>
      <c r="AJ211" s="125">
        <v>0</v>
      </c>
    </row>
    <row r="212" spans="2:36" x14ac:dyDescent="0.2">
      <c r="B212" s="125" t="s">
        <v>118</v>
      </c>
      <c r="C212" s="162">
        <v>554000</v>
      </c>
      <c r="D212" s="162"/>
      <c r="E212" s="154"/>
      <c r="F212" s="162">
        <f>494268.28+57168.93+2562.79</f>
        <v>554000.00000000012</v>
      </c>
      <c r="G212" s="163">
        <v>0</v>
      </c>
      <c r="H212" s="164">
        <v>0</v>
      </c>
      <c r="I212" s="163">
        <v>0</v>
      </c>
      <c r="J212" s="163">
        <v>0</v>
      </c>
      <c r="K212" s="163">
        <v>0</v>
      </c>
      <c r="L212" s="162">
        <f t="shared" si="42"/>
        <v>0</v>
      </c>
      <c r="M212" s="162">
        <f t="shared" si="43"/>
        <v>0</v>
      </c>
      <c r="N212" s="162">
        <v>0</v>
      </c>
      <c r="O212" s="162">
        <f t="shared" si="45"/>
        <v>0</v>
      </c>
      <c r="P212" s="159" t="s">
        <v>161</v>
      </c>
      <c r="Q212" s="159">
        <v>36</v>
      </c>
      <c r="R212" s="159" t="s">
        <v>160</v>
      </c>
      <c r="U212" s="125" t="s">
        <v>118</v>
      </c>
      <c r="V212" s="133">
        <v>14</v>
      </c>
      <c r="AD212" s="135">
        <f t="shared" si="41"/>
        <v>0</v>
      </c>
      <c r="AF212" s="136">
        <f t="shared" si="44"/>
        <v>-1.1641532182693481E-10</v>
      </c>
      <c r="AH212" s="125">
        <v>188</v>
      </c>
      <c r="AJ212" s="125">
        <v>0</v>
      </c>
    </row>
    <row r="213" spans="2:36" x14ac:dyDescent="0.2">
      <c r="B213" s="125" t="s">
        <v>119</v>
      </c>
      <c r="C213" s="162">
        <f>284000+125000</f>
        <v>409000</v>
      </c>
      <c r="D213" s="167">
        <f>8568.82+8657.18</f>
        <v>17226</v>
      </c>
      <c r="E213" s="154"/>
      <c r="F213" s="167">
        <f>333494.01+10775.25+81956.74</f>
        <v>426226</v>
      </c>
      <c r="G213" s="163">
        <v>0</v>
      </c>
      <c r="H213" s="164">
        <v>0</v>
      </c>
      <c r="I213" s="163">
        <v>0</v>
      </c>
      <c r="J213" s="163">
        <v>0</v>
      </c>
      <c r="K213" s="163">
        <v>0</v>
      </c>
      <c r="L213" s="162">
        <f t="shared" si="42"/>
        <v>0</v>
      </c>
      <c r="M213" s="162">
        <f t="shared" si="43"/>
        <v>0</v>
      </c>
      <c r="N213" s="162">
        <v>0</v>
      </c>
      <c r="O213" s="162">
        <f t="shared" si="45"/>
        <v>0</v>
      </c>
      <c r="P213" s="159" t="s">
        <v>161</v>
      </c>
      <c r="Q213" s="159">
        <v>36</v>
      </c>
      <c r="R213" s="159" t="s">
        <v>160</v>
      </c>
      <c r="U213" s="125" t="s">
        <v>119</v>
      </c>
      <c r="V213" s="133">
        <v>15</v>
      </c>
      <c r="AD213" s="135">
        <f t="shared" si="41"/>
        <v>0</v>
      </c>
      <c r="AF213" s="136">
        <f t="shared" si="44"/>
        <v>0</v>
      </c>
      <c r="AH213" s="125">
        <v>189</v>
      </c>
      <c r="AJ213" s="125">
        <v>0</v>
      </c>
    </row>
    <row r="214" spans="2:36" x14ac:dyDescent="0.2">
      <c r="B214" s="125" t="s">
        <v>120</v>
      </c>
      <c r="C214" s="162">
        <f>450000+195000</f>
        <v>645000</v>
      </c>
      <c r="D214" s="162"/>
      <c r="E214" s="154"/>
      <c r="F214" s="162">
        <f>34127.16+527404.43+3750+79718.41</f>
        <v>645000.00000000012</v>
      </c>
      <c r="G214" s="163">
        <v>0</v>
      </c>
      <c r="H214" s="164">
        <v>0</v>
      </c>
      <c r="I214" s="163">
        <v>0</v>
      </c>
      <c r="J214" s="163">
        <v>0</v>
      </c>
      <c r="K214" s="163">
        <v>0</v>
      </c>
      <c r="L214" s="162">
        <f t="shared" si="42"/>
        <v>0</v>
      </c>
      <c r="M214" s="162">
        <f t="shared" si="43"/>
        <v>0</v>
      </c>
      <c r="N214" s="162">
        <v>0</v>
      </c>
      <c r="O214" s="162">
        <f t="shared" si="45"/>
        <v>0</v>
      </c>
      <c r="P214" s="159" t="s">
        <v>161</v>
      </c>
      <c r="Q214" s="159">
        <v>36</v>
      </c>
      <c r="R214" s="159" t="s">
        <v>160</v>
      </c>
      <c r="U214" s="125" t="s">
        <v>120</v>
      </c>
      <c r="V214" s="133">
        <v>16</v>
      </c>
      <c r="AA214" s="135">
        <v>3750</v>
      </c>
      <c r="AD214" s="135">
        <f t="shared" si="41"/>
        <v>3750</v>
      </c>
      <c r="AF214" s="136">
        <f t="shared" si="44"/>
        <v>-1.1641532182693481E-10</v>
      </c>
      <c r="AH214" s="125">
        <v>190</v>
      </c>
      <c r="AJ214" s="125">
        <v>0</v>
      </c>
    </row>
    <row r="215" spans="2:36" x14ac:dyDescent="0.2">
      <c r="B215" s="125" t="s">
        <v>137</v>
      </c>
      <c r="C215" s="162">
        <f>300000+236000</f>
        <v>536000</v>
      </c>
      <c r="D215" s="162"/>
      <c r="E215" s="154"/>
      <c r="F215" s="162">
        <f>201126.68+334873.32</f>
        <v>536000</v>
      </c>
      <c r="G215" s="163">
        <v>0</v>
      </c>
      <c r="H215" s="164">
        <v>0</v>
      </c>
      <c r="I215" s="163">
        <v>0</v>
      </c>
      <c r="J215" s="163">
        <v>0</v>
      </c>
      <c r="K215" s="163">
        <v>0</v>
      </c>
      <c r="L215" s="162">
        <f t="shared" si="42"/>
        <v>0</v>
      </c>
      <c r="M215" s="162">
        <f t="shared" si="43"/>
        <v>0</v>
      </c>
      <c r="N215" s="162">
        <v>0</v>
      </c>
      <c r="O215" s="162">
        <f t="shared" si="45"/>
        <v>0</v>
      </c>
      <c r="P215" s="159" t="s">
        <v>161</v>
      </c>
      <c r="Q215" s="159">
        <v>36</v>
      </c>
      <c r="R215" s="159" t="s">
        <v>160</v>
      </c>
      <c r="U215" s="125" t="s">
        <v>137</v>
      </c>
      <c r="V215" s="133">
        <v>17</v>
      </c>
      <c r="AD215" s="135">
        <f t="shared" si="41"/>
        <v>0</v>
      </c>
      <c r="AF215" s="136">
        <f t="shared" si="44"/>
        <v>0</v>
      </c>
      <c r="AH215" s="125">
        <v>191</v>
      </c>
      <c r="AJ215" s="125">
        <v>0</v>
      </c>
    </row>
    <row r="216" spans="2:36" x14ac:dyDescent="0.2">
      <c r="B216" s="125" t="s">
        <v>122</v>
      </c>
      <c r="C216" s="162">
        <f>550000+550000+489000</f>
        <v>1589000</v>
      </c>
      <c r="D216" s="162"/>
      <c r="E216" s="154"/>
      <c r="F216" s="162">
        <f>84859.81+1340943.35+53861.98+4809.95+104524.91</f>
        <v>1589000</v>
      </c>
      <c r="G216" s="163">
        <f>[1]TU!F212+[1]TU!F226+[1]TU!F234</f>
        <v>0</v>
      </c>
      <c r="H216" s="164">
        <f>[1]TU!H212+[1]TU!H226+[1]TU!H234</f>
        <v>0</v>
      </c>
      <c r="I216" s="163">
        <f>[1]TU!I212+[1]TU!I226+[1]TU!I234</f>
        <v>0</v>
      </c>
      <c r="J216" s="163">
        <f>[1]TU!J212+[1]TU!J226+[1]TU!J234</f>
        <v>0</v>
      </c>
      <c r="K216" s="163">
        <f>[1]TU!K212+[1]TU!K226+[1]TU!K234</f>
        <v>0</v>
      </c>
      <c r="L216" s="162">
        <f t="shared" si="42"/>
        <v>0</v>
      </c>
      <c r="M216" s="162">
        <f t="shared" si="43"/>
        <v>0</v>
      </c>
      <c r="N216" s="162">
        <v>0</v>
      </c>
      <c r="O216" s="162">
        <f t="shared" si="45"/>
        <v>0</v>
      </c>
      <c r="P216" s="159" t="s">
        <v>161</v>
      </c>
      <c r="Q216" s="159">
        <v>36</v>
      </c>
      <c r="R216" s="159" t="s">
        <v>160</v>
      </c>
      <c r="U216" s="125" t="s">
        <v>122</v>
      </c>
      <c r="V216" s="133">
        <v>18</v>
      </c>
      <c r="AA216" s="135">
        <v>39654.730000000003</v>
      </c>
      <c r="AD216" s="135">
        <f t="shared" si="41"/>
        <v>39654.730000000003</v>
      </c>
      <c r="AF216" s="136">
        <f t="shared" si="44"/>
        <v>0</v>
      </c>
      <c r="AH216" s="125">
        <v>192</v>
      </c>
      <c r="AJ216" s="125">
        <v>0</v>
      </c>
    </row>
    <row r="217" spans="2:36" x14ac:dyDescent="0.2">
      <c r="B217" s="125" t="s">
        <v>123</v>
      </c>
      <c r="C217" s="153">
        <v>418000</v>
      </c>
      <c r="D217" s="154"/>
      <c r="E217" s="154"/>
      <c r="F217" s="162">
        <f>290213.4+1733.06+7974.04+47924.96+45244+22388.85</f>
        <v>415478.31</v>
      </c>
      <c r="G217" s="163">
        <f>[1]UB!F129</f>
        <v>2521.6900000000387</v>
      </c>
      <c r="H217" s="164">
        <f>[1]UB!H129</f>
        <v>0</v>
      </c>
      <c r="I217" s="163">
        <f>[1]UB!I129</f>
        <v>0</v>
      </c>
      <c r="J217" s="163">
        <f>[1]UB!J129</f>
        <v>0</v>
      </c>
      <c r="K217" s="163">
        <f>[1]UB!K129</f>
        <v>0</v>
      </c>
      <c r="L217" s="162">
        <f t="shared" si="42"/>
        <v>2521.6900000000387</v>
      </c>
      <c r="M217" s="162">
        <f t="shared" si="43"/>
        <v>0</v>
      </c>
      <c r="N217" s="162">
        <v>0</v>
      </c>
      <c r="O217" s="162">
        <v>0</v>
      </c>
      <c r="P217" s="159" t="s">
        <v>161</v>
      </c>
      <c r="Q217" s="159">
        <v>36</v>
      </c>
      <c r="R217" s="159" t="s">
        <v>160</v>
      </c>
      <c r="U217" s="125" t="s">
        <v>123</v>
      </c>
      <c r="V217" s="133">
        <v>19</v>
      </c>
      <c r="AD217" s="135">
        <f t="shared" si="41"/>
        <v>0</v>
      </c>
      <c r="AF217" s="136">
        <f t="shared" si="44"/>
        <v>-3.637978807091713E-11</v>
      </c>
      <c r="AH217" s="125">
        <v>193</v>
      </c>
      <c r="AJ217" s="125">
        <v>0</v>
      </c>
    </row>
    <row r="218" spans="2:36" hidden="1" x14ac:dyDescent="0.2">
      <c r="B218" s="165" t="s">
        <v>127</v>
      </c>
      <c r="C218" s="153">
        <v>463000</v>
      </c>
      <c r="D218" s="162"/>
      <c r="E218" s="162">
        <f>-200000-125000-100000-38000</f>
        <v>-463000</v>
      </c>
      <c r="F218" s="162"/>
      <c r="G218" s="163">
        <f>'[1]Emergency Funds'!G93</f>
        <v>0</v>
      </c>
      <c r="H218" s="164"/>
      <c r="I218" s="163"/>
      <c r="J218" s="163"/>
      <c r="K218" s="163"/>
      <c r="L218" s="162"/>
      <c r="M218" s="162"/>
      <c r="N218" s="162"/>
      <c r="O218" s="162"/>
      <c r="P218" s="159" t="s">
        <v>161</v>
      </c>
      <c r="Q218" s="159">
        <v>36</v>
      </c>
      <c r="R218" s="159" t="s">
        <v>160</v>
      </c>
      <c r="U218" s="165" t="s">
        <v>127</v>
      </c>
      <c r="V218" s="133">
        <v>20</v>
      </c>
      <c r="AD218" s="135">
        <f t="shared" si="41"/>
        <v>0</v>
      </c>
      <c r="AH218" s="125">
        <v>194</v>
      </c>
    </row>
    <row r="219" spans="2:36" hidden="1" x14ac:dyDescent="0.2">
      <c r="B219" s="125" t="s">
        <v>182</v>
      </c>
      <c r="C219" s="153"/>
      <c r="D219" s="162"/>
      <c r="E219" s="162">
        <v>200000</v>
      </c>
      <c r="F219" s="163">
        <f>12000+175073.75+12926.25</f>
        <v>200000</v>
      </c>
      <c r="G219" s="163">
        <v>0</v>
      </c>
      <c r="H219" s="164">
        <v>0</v>
      </c>
      <c r="I219" s="163">
        <v>0</v>
      </c>
      <c r="J219" s="163">
        <v>0</v>
      </c>
      <c r="K219" s="163">
        <v>0</v>
      </c>
      <c r="L219" s="162">
        <f t="shared" si="42"/>
        <v>0</v>
      </c>
      <c r="M219" s="162"/>
      <c r="N219" s="162"/>
      <c r="O219" s="162">
        <f>H217+K217</f>
        <v>0</v>
      </c>
      <c r="P219" s="159" t="s">
        <v>161</v>
      </c>
      <c r="Q219" s="159">
        <v>36</v>
      </c>
      <c r="R219" s="159" t="s">
        <v>160</v>
      </c>
      <c r="U219" s="165"/>
      <c r="AD219" s="135">
        <f t="shared" si="41"/>
        <v>0</v>
      </c>
      <c r="AH219" s="125">
        <v>195</v>
      </c>
      <c r="AJ219" s="125">
        <v>0</v>
      </c>
    </row>
    <row r="220" spans="2:36" hidden="1" x14ac:dyDescent="0.2">
      <c r="B220" s="125" t="s">
        <v>183</v>
      </c>
      <c r="C220" s="153"/>
      <c r="D220" s="162"/>
      <c r="E220" s="162">
        <v>125000</v>
      </c>
      <c r="F220" s="162">
        <f>10428.44+114387.04+184.52</f>
        <v>125000</v>
      </c>
      <c r="G220" s="163">
        <v>0</v>
      </c>
      <c r="H220" s="164">
        <v>0</v>
      </c>
      <c r="I220" s="163">
        <v>0</v>
      </c>
      <c r="J220" s="163">
        <v>0</v>
      </c>
      <c r="K220" s="163">
        <v>0</v>
      </c>
      <c r="L220" s="162">
        <f t="shared" si="42"/>
        <v>0</v>
      </c>
      <c r="M220" s="162"/>
      <c r="N220" s="162"/>
      <c r="O220" s="162">
        <f>H218+K218</f>
        <v>0</v>
      </c>
      <c r="P220" s="159" t="s">
        <v>161</v>
      </c>
      <c r="Q220" s="159">
        <v>36</v>
      </c>
      <c r="R220" s="159" t="s">
        <v>160</v>
      </c>
      <c r="U220" s="165"/>
      <c r="AA220" s="135">
        <v>109948.04</v>
      </c>
      <c r="AD220" s="135">
        <f t="shared" si="41"/>
        <v>109948.04</v>
      </c>
      <c r="AH220" s="125">
        <v>196</v>
      </c>
      <c r="AJ220" s="125">
        <v>0</v>
      </c>
    </row>
    <row r="221" spans="2:36" hidden="1" x14ac:dyDescent="0.2">
      <c r="B221" s="125" t="s">
        <v>184</v>
      </c>
      <c r="C221" s="153"/>
      <c r="D221" s="162"/>
      <c r="E221" s="162">
        <f>100000</f>
        <v>100000</v>
      </c>
      <c r="F221" s="162">
        <f>17814.81+82185.19</f>
        <v>100000</v>
      </c>
      <c r="G221" s="163">
        <f>[1]UMCP!F15</f>
        <v>0</v>
      </c>
      <c r="H221" s="164">
        <f>[1]UMCP!H15</f>
        <v>0</v>
      </c>
      <c r="I221" s="163">
        <v>0</v>
      </c>
      <c r="J221" s="163">
        <v>0</v>
      </c>
      <c r="K221" s="163">
        <f>[1]UMCP!K15</f>
        <v>0</v>
      </c>
      <c r="L221" s="162">
        <f>G221-H221-I221-J221-K221</f>
        <v>0</v>
      </c>
      <c r="M221" s="162"/>
      <c r="N221" s="162"/>
      <c r="O221" s="162">
        <f>H219+K219</f>
        <v>0</v>
      </c>
      <c r="U221" s="165"/>
      <c r="AH221" s="125">
        <v>197</v>
      </c>
      <c r="AJ221" s="125">
        <v>0</v>
      </c>
    </row>
    <row r="222" spans="2:36" x14ac:dyDescent="0.2">
      <c r="C222" s="153"/>
      <c r="D222" s="154"/>
      <c r="E222" s="154"/>
      <c r="F222" s="162"/>
      <c r="G222" s="156"/>
      <c r="H222" s="157"/>
      <c r="I222" s="156"/>
      <c r="J222" s="156"/>
      <c r="K222" s="156"/>
      <c r="L222" s="154"/>
      <c r="M222" s="154"/>
      <c r="N222" s="154"/>
      <c r="O222" s="154"/>
      <c r="V222" s="133">
        <v>21</v>
      </c>
      <c r="AH222" s="125">
        <v>198</v>
      </c>
    </row>
    <row r="223" spans="2:36" ht="13.5" thickBot="1" x14ac:dyDescent="0.25">
      <c r="B223" s="168" t="s">
        <v>129</v>
      </c>
      <c r="C223" s="169">
        <f t="shared" ref="C223:O223" si="46">SUM(C204:C222)</f>
        <v>32000000</v>
      </c>
      <c r="D223" s="169">
        <f t="shared" si="46"/>
        <v>17226</v>
      </c>
      <c r="E223" s="169">
        <f t="shared" si="46"/>
        <v>-38569.729999999981</v>
      </c>
      <c r="F223" s="192">
        <f t="shared" si="46"/>
        <v>31960129.689999998</v>
      </c>
      <c r="G223" s="169">
        <f t="shared" si="46"/>
        <v>18526.57999999974</v>
      </c>
      <c r="H223" s="193">
        <f>SUM(H204:H222)</f>
        <v>16004.89</v>
      </c>
      <c r="I223" s="169">
        <f t="shared" si="46"/>
        <v>0</v>
      </c>
      <c r="J223" s="169">
        <f t="shared" si="46"/>
        <v>0</v>
      </c>
      <c r="K223" s="169">
        <f t="shared" si="46"/>
        <v>0</v>
      </c>
      <c r="L223" s="169">
        <f t="shared" si="46"/>
        <v>2521.6899999997399</v>
      </c>
      <c r="M223" s="169">
        <f t="shared" si="46"/>
        <v>0</v>
      </c>
      <c r="N223" s="169">
        <f t="shared" si="46"/>
        <v>0</v>
      </c>
      <c r="O223" s="169">
        <f t="shared" si="46"/>
        <v>16004.89</v>
      </c>
      <c r="U223" s="168" t="s">
        <v>129</v>
      </c>
      <c r="V223" s="133">
        <v>22</v>
      </c>
      <c r="AA223" s="169">
        <f>SUM(AA204:AA222)</f>
        <v>1383901.33</v>
      </c>
      <c r="AB223" s="169">
        <f>SUM(AB204:AB222)</f>
        <v>21973.29</v>
      </c>
      <c r="AC223" s="169">
        <f>SUM(AC204:AC222)</f>
        <v>0</v>
      </c>
      <c r="AD223" s="169">
        <f>SUM(AD204:AD222)</f>
        <v>1405874.62</v>
      </c>
      <c r="AF223" s="136">
        <f>C223+D223+E223-F223-G223</f>
        <v>2.1973391994833946E-9</v>
      </c>
      <c r="AH223" s="125">
        <v>199</v>
      </c>
      <c r="AJ223" s="125">
        <v>16004.89</v>
      </c>
    </row>
    <row r="224" spans="2:36" ht="13.5" thickTop="1" x14ac:dyDescent="0.2">
      <c r="C224" s="153"/>
      <c r="D224" s="154"/>
      <c r="E224" s="154"/>
      <c r="F224" s="191"/>
      <c r="G224" s="172"/>
      <c r="H224" s="173"/>
      <c r="I224" s="172"/>
      <c r="J224" s="172"/>
      <c r="K224" s="172"/>
      <c r="L224" s="162"/>
      <c r="M224" s="162"/>
      <c r="N224" s="162"/>
      <c r="O224" s="162"/>
      <c r="AH224" s="125">
        <v>200</v>
      </c>
    </row>
    <row r="225" spans="1:36" x14ac:dyDescent="0.2">
      <c r="A225" s="165" t="s">
        <v>185</v>
      </c>
      <c r="C225" s="153"/>
      <c r="D225" s="154"/>
      <c r="E225" s="154"/>
      <c r="F225" s="162"/>
      <c r="G225" s="156"/>
      <c r="H225" s="157"/>
      <c r="I225" s="156"/>
      <c r="J225" s="156"/>
      <c r="K225" s="156"/>
      <c r="L225" s="154"/>
      <c r="M225" s="154"/>
      <c r="N225" s="154"/>
      <c r="O225" s="154"/>
      <c r="T225" s="165" t="s">
        <v>185</v>
      </c>
      <c r="V225" s="133">
        <v>5</v>
      </c>
      <c r="AH225" s="125">
        <v>201</v>
      </c>
    </row>
    <row r="226" spans="1:36" hidden="1" x14ac:dyDescent="0.2">
      <c r="B226" s="125" t="s">
        <v>179</v>
      </c>
      <c r="C226" s="153">
        <v>5000000</v>
      </c>
      <c r="D226" s="154"/>
      <c r="E226" s="154"/>
      <c r="F226" s="162">
        <f>3529+2923550.04+105092+1082695.32+267467.11+355792.93+261873.6</f>
        <v>5000000</v>
      </c>
      <c r="G226" s="172">
        <v>0</v>
      </c>
      <c r="H226" s="173">
        <v>0</v>
      </c>
      <c r="I226" s="172">
        <v>0</v>
      </c>
      <c r="J226" s="172">
        <v>0</v>
      </c>
      <c r="K226" s="172">
        <v>0</v>
      </c>
      <c r="L226" s="162">
        <f>G226-H226-I226-J226-K226</f>
        <v>0</v>
      </c>
      <c r="M226" s="162"/>
      <c r="N226" s="162"/>
      <c r="O226" s="162">
        <f>H226+I226+J226+K226</f>
        <v>0</v>
      </c>
      <c r="P226" s="159">
        <v>30</v>
      </c>
      <c r="Q226" s="159">
        <v>35</v>
      </c>
      <c r="R226" s="159" t="s">
        <v>160</v>
      </c>
      <c r="U226" s="125" t="s">
        <v>179</v>
      </c>
      <c r="V226" s="133">
        <v>6</v>
      </c>
      <c r="AB226" s="135">
        <v>250014.83</v>
      </c>
      <c r="AD226" s="135">
        <f t="shared" ref="AD226:AD241" si="47">AA226+AB226+AC226</f>
        <v>250014.83</v>
      </c>
      <c r="AH226" s="125">
        <v>202</v>
      </c>
      <c r="AJ226" s="125">
        <v>0</v>
      </c>
    </row>
    <row r="227" spans="1:36" hidden="1" x14ac:dyDescent="0.2">
      <c r="B227" s="125" t="s">
        <v>186</v>
      </c>
      <c r="C227" s="153">
        <v>10000000</v>
      </c>
      <c r="D227" s="154"/>
      <c r="E227" s="154"/>
      <c r="F227" s="162">
        <f>9969803.99+30196.01</f>
        <v>10000000</v>
      </c>
      <c r="G227" s="172">
        <v>0</v>
      </c>
      <c r="H227" s="173">
        <v>0</v>
      </c>
      <c r="I227" s="172">
        <v>0</v>
      </c>
      <c r="J227" s="172">
        <v>0</v>
      </c>
      <c r="K227" s="172">
        <v>0</v>
      </c>
      <c r="L227" s="162">
        <f>G227-H227-I227-J227-K227</f>
        <v>0</v>
      </c>
      <c r="M227" s="162"/>
      <c r="N227" s="162"/>
      <c r="O227" s="162">
        <f>H227+I227+J227+K227</f>
        <v>0</v>
      </c>
      <c r="P227" s="159">
        <v>143.19999999999999</v>
      </c>
      <c r="Q227" s="159">
        <v>35</v>
      </c>
      <c r="R227" s="159" t="s">
        <v>160</v>
      </c>
      <c r="U227" s="125" t="s">
        <v>186</v>
      </c>
      <c r="V227" s="133">
        <v>7</v>
      </c>
      <c r="AD227" s="135">
        <f t="shared" si="47"/>
        <v>0</v>
      </c>
      <c r="AH227" s="125">
        <v>203</v>
      </c>
      <c r="AJ227" s="125">
        <v>0</v>
      </c>
    </row>
    <row r="228" spans="1:36" x14ac:dyDescent="0.2">
      <c r="B228" s="165" t="s">
        <v>112</v>
      </c>
      <c r="C228" s="153"/>
      <c r="D228" s="154"/>
      <c r="E228" s="154"/>
      <c r="F228" s="162"/>
      <c r="G228" s="156"/>
      <c r="H228" s="157"/>
      <c r="I228" s="156"/>
      <c r="J228" s="156"/>
      <c r="K228" s="156"/>
      <c r="L228" s="162"/>
      <c r="M228" s="162"/>
      <c r="N228" s="162"/>
      <c r="O228" s="162"/>
      <c r="U228" s="165" t="s">
        <v>112</v>
      </c>
      <c r="V228" s="133">
        <v>8</v>
      </c>
      <c r="AH228" s="125">
        <v>204</v>
      </c>
    </row>
    <row r="229" spans="1:36" hidden="1" x14ac:dyDescent="0.2">
      <c r="B229" s="125" t="s">
        <v>113</v>
      </c>
      <c r="C229" s="162">
        <v>7300000</v>
      </c>
      <c r="D229" s="162"/>
      <c r="E229" s="162"/>
      <c r="F229" s="162">
        <f>1854333.16+428252.37+5017414.47</f>
        <v>7300000</v>
      </c>
      <c r="G229" s="163">
        <v>0</v>
      </c>
      <c r="H229" s="164">
        <v>0</v>
      </c>
      <c r="I229" s="163">
        <v>0</v>
      </c>
      <c r="J229" s="163">
        <v>0</v>
      </c>
      <c r="K229" s="163">
        <v>0</v>
      </c>
      <c r="L229" s="162">
        <f t="shared" ref="L229:L241" si="48">G229-H229-I229-J229-K229</f>
        <v>0</v>
      </c>
      <c r="M229" s="162"/>
      <c r="N229" s="162"/>
      <c r="O229" s="162">
        <f>H229+I229+J229+K229</f>
        <v>0</v>
      </c>
      <c r="P229" s="159" t="s">
        <v>161</v>
      </c>
      <c r="Q229" s="159">
        <v>35</v>
      </c>
      <c r="R229" s="159" t="s">
        <v>160</v>
      </c>
      <c r="U229" s="125" t="s">
        <v>113</v>
      </c>
      <c r="V229" s="133">
        <v>9</v>
      </c>
      <c r="AD229" s="135">
        <f t="shared" si="47"/>
        <v>0</v>
      </c>
      <c r="AH229" s="125">
        <v>205</v>
      </c>
      <c r="AJ229" s="125">
        <v>0</v>
      </c>
    </row>
    <row r="230" spans="1:36" x14ac:dyDescent="0.2">
      <c r="B230" s="125" t="s">
        <v>114</v>
      </c>
      <c r="C230" s="162">
        <v>2675000</v>
      </c>
      <c r="D230" s="162"/>
      <c r="E230" s="162"/>
      <c r="F230" s="162">
        <f>27961.56+248653.58+1461944.86+27572.65+761929.36+1092+70720.87+9695.05+87.36</f>
        <v>2609657.2899999996</v>
      </c>
      <c r="G230" s="163">
        <f>[1]UMB!F266</f>
        <v>65342.709999999992</v>
      </c>
      <c r="H230" s="164">
        <f>[1]UMB!H266</f>
        <v>65342.71</v>
      </c>
      <c r="I230" s="163">
        <f>[1]UMB!I266</f>
        <v>0</v>
      </c>
      <c r="J230" s="163">
        <f>[1]UMB!J266</f>
        <v>0</v>
      </c>
      <c r="K230" s="163">
        <f>[1]UMB!K266</f>
        <v>0</v>
      </c>
      <c r="L230" s="162">
        <f t="shared" si="48"/>
        <v>-7.2759576141834259E-12</v>
      </c>
      <c r="M230" s="162">
        <f>H230-N230-O230</f>
        <v>0</v>
      </c>
      <c r="N230" s="162">
        <v>0</v>
      </c>
      <c r="O230" s="162">
        <v>65342.71</v>
      </c>
      <c r="P230" s="159" t="s">
        <v>161</v>
      </c>
      <c r="Q230" s="159">
        <v>35</v>
      </c>
      <c r="R230" s="159" t="s">
        <v>160</v>
      </c>
      <c r="U230" s="125" t="s">
        <v>114</v>
      </c>
      <c r="V230" s="133">
        <v>10</v>
      </c>
      <c r="AA230" s="135">
        <v>394859.91</v>
      </c>
      <c r="AB230" s="135">
        <v>1092</v>
      </c>
      <c r="AD230" s="135">
        <f t="shared" si="47"/>
        <v>395951.91</v>
      </c>
      <c r="AF230" s="136">
        <f t="shared" ref="AF230:AF241" si="49">C230+D230+E230-F230-G230</f>
        <v>4.3655745685100555E-10</v>
      </c>
      <c r="AH230" s="125">
        <v>206</v>
      </c>
      <c r="AJ230" s="125">
        <v>65342.71</v>
      </c>
    </row>
    <row r="231" spans="1:36" hidden="1" x14ac:dyDescent="0.2">
      <c r="B231" s="125" t="s">
        <v>115</v>
      </c>
      <c r="C231" s="162">
        <v>642000</v>
      </c>
      <c r="D231" s="162"/>
      <c r="E231" s="162"/>
      <c r="F231" s="163">
        <f>265235.37+376764.63</f>
        <v>642000</v>
      </c>
      <c r="G231" s="163">
        <v>0</v>
      </c>
      <c r="H231" s="164">
        <v>0</v>
      </c>
      <c r="I231" s="163">
        <v>0</v>
      </c>
      <c r="J231" s="163">
        <v>0</v>
      </c>
      <c r="K231" s="163">
        <v>0</v>
      </c>
      <c r="L231" s="162">
        <f t="shared" si="48"/>
        <v>0</v>
      </c>
      <c r="M231" s="162"/>
      <c r="N231" s="162">
        <v>0</v>
      </c>
      <c r="O231" s="162">
        <f t="shared" ref="O231:O239" si="50">H231+I231+J231+K231</f>
        <v>0</v>
      </c>
      <c r="P231" s="159" t="s">
        <v>161</v>
      </c>
      <c r="Q231" s="159">
        <v>35</v>
      </c>
      <c r="R231" s="159" t="s">
        <v>160</v>
      </c>
      <c r="U231" s="125" t="s">
        <v>115</v>
      </c>
      <c r="V231" s="133">
        <v>11</v>
      </c>
      <c r="AD231" s="135">
        <f t="shared" si="47"/>
        <v>0</v>
      </c>
      <c r="AF231" s="136">
        <f t="shared" si="49"/>
        <v>0</v>
      </c>
      <c r="AH231" s="125">
        <v>207</v>
      </c>
      <c r="AJ231" s="125">
        <v>0</v>
      </c>
    </row>
    <row r="232" spans="1:36" hidden="1" x14ac:dyDescent="0.2">
      <c r="B232" s="125" t="s">
        <v>116</v>
      </c>
      <c r="C232" s="162">
        <v>1452000</v>
      </c>
      <c r="D232" s="162"/>
      <c r="E232" s="162"/>
      <c r="F232" s="162">
        <f>75040.75+1319734.01+38257.4+18967.84</f>
        <v>1452000</v>
      </c>
      <c r="G232" s="163">
        <v>0</v>
      </c>
      <c r="H232" s="164">
        <v>0</v>
      </c>
      <c r="I232" s="163">
        <v>0</v>
      </c>
      <c r="J232" s="163">
        <v>0</v>
      </c>
      <c r="K232" s="163">
        <v>0</v>
      </c>
      <c r="L232" s="162">
        <f t="shared" si="48"/>
        <v>0</v>
      </c>
      <c r="M232" s="162"/>
      <c r="N232" s="162">
        <v>0</v>
      </c>
      <c r="O232" s="162">
        <f t="shared" si="50"/>
        <v>0</v>
      </c>
      <c r="P232" s="159" t="s">
        <v>161</v>
      </c>
      <c r="Q232" s="159">
        <v>35</v>
      </c>
      <c r="R232" s="159" t="s">
        <v>160</v>
      </c>
      <c r="U232" s="125" t="s">
        <v>116</v>
      </c>
      <c r="V232" s="133">
        <v>12</v>
      </c>
      <c r="AA232" s="135">
        <v>18967.84</v>
      </c>
      <c r="AD232" s="135">
        <f t="shared" si="47"/>
        <v>18967.84</v>
      </c>
      <c r="AF232" s="136">
        <f t="shared" si="49"/>
        <v>0</v>
      </c>
      <c r="AH232" s="125">
        <v>208</v>
      </c>
      <c r="AJ232" s="125">
        <v>0</v>
      </c>
    </row>
    <row r="233" spans="1:36" hidden="1" x14ac:dyDescent="0.2">
      <c r="B233" s="125" t="s">
        <v>117</v>
      </c>
      <c r="C233" s="162">
        <v>317000</v>
      </c>
      <c r="D233" s="162"/>
      <c r="E233" s="162"/>
      <c r="F233" s="162">
        <f>317000</f>
        <v>317000</v>
      </c>
      <c r="G233" s="163">
        <v>0</v>
      </c>
      <c r="H233" s="164">
        <v>0</v>
      </c>
      <c r="I233" s="163">
        <v>0</v>
      </c>
      <c r="J233" s="163">
        <v>0</v>
      </c>
      <c r="K233" s="163">
        <v>0</v>
      </c>
      <c r="L233" s="162">
        <f t="shared" si="48"/>
        <v>0</v>
      </c>
      <c r="M233" s="162"/>
      <c r="N233" s="162">
        <v>0</v>
      </c>
      <c r="O233" s="162">
        <f t="shared" si="50"/>
        <v>0</v>
      </c>
      <c r="P233" s="159" t="s">
        <v>161</v>
      </c>
      <c r="Q233" s="159">
        <v>35</v>
      </c>
      <c r="R233" s="159" t="s">
        <v>160</v>
      </c>
      <c r="U233" s="125" t="s">
        <v>117</v>
      </c>
      <c r="V233" s="133">
        <v>13</v>
      </c>
      <c r="AD233" s="135">
        <f t="shared" si="47"/>
        <v>0</v>
      </c>
      <c r="AF233" s="136">
        <f t="shared" si="49"/>
        <v>0</v>
      </c>
      <c r="AH233" s="125">
        <v>209</v>
      </c>
      <c r="AJ233" s="125">
        <v>0</v>
      </c>
    </row>
    <row r="234" spans="1:36" hidden="1" x14ac:dyDescent="0.2">
      <c r="B234" s="125" t="s">
        <v>118</v>
      </c>
      <c r="C234" s="162">
        <v>554000</v>
      </c>
      <c r="D234" s="162"/>
      <c r="E234" s="162"/>
      <c r="F234" s="162">
        <f>14006.5+9101+530000+892.5</f>
        <v>554000</v>
      </c>
      <c r="G234" s="163">
        <v>0</v>
      </c>
      <c r="H234" s="164">
        <v>0</v>
      </c>
      <c r="I234" s="163">
        <v>0</v>
      </c>
      <c r="J234" s="163">
        <v>0</v>
      </c>
      <c r="K234" s="163">
        <v>0</v>
      </c>
      <c r="L234" s="162">
        <f t="shared" si="48"/>
        <v>0</v>
      </c>
      <c r="M234" s="162"/>
      <c r="N234" s="162">
        <v>0</v>
      </c>
      <c r="O234" s="162">
        <f t="shared" si="50"/>
        <v>0</v>
      </c>
      <c r="P234" s="159" t="s">
        <v>161</v>
      </c>
      <c r="Q234" s="159">
        <v>35</v>
      </c>
      <c r="R234" s="159" t="s">
        <v>160</v>
      </c>
      <c r="U234" s="125" t="s">
        <v>118</v>
      </c>
      <c r="V234" s="133">
        <v>14</v>
      </c>
      <c r="AD234" s="135">
        <f t="shared" si="47"/>
        <v>0</v>
      </c>
      <c r="AF234" s="136">
        <f t="shared" si="49"/>
        <v>0</v>
      </c>
      <c r="AH234" s="125">
        <v>210</v>
      </c>
      <c r="AJ234" s="125">
        <v>0</v>
      </c>
    </row>
    <row r="235" spans="1:36" hidden="1" x14ac:dyDescent="0.2">
      <c r="B235" s="125" t="s">
        <v>119</v>
      </c>
      <c r="C235" s="162">
        <v>409000</v>
      </c>
      <c r="D235" s="54">
        <v>-8657.18</v>
      </c>
      <c r="E235" s="162"/>
      <c r="F235" s="167">
        <f>400342.82</f>
        <v>400342.82</v>
      </c>
      <c r="G235" s="163">
        <v>0</v>
      </c>
      <c r="H235" s="164">
        <v>0</v>
      </c>
      <c r="I235" s="163">
        <v>0</v>
      </c>
      <c r="J235" s="163">
        <v>0</v>
      </c>
      <c r="K235" s="163">
        <v>0</v>
      </c>
      <c r="L235" s="162">
        <f t="shared" si="48"/>
        <v>0</v>
      </c>
      <c r="M235" s="162"/>
      <c r="N235" s="162">
        <v>0</v>
      </c>
      <c r="O235" s="162">
        <f t="shared" si="50"/>
        <v>0</v>
      </c>
      <c r="P235" s="159" t="s">
        <v>161</v>
      </c>
      <c r="Q235" s="159">
        <v>35</v>
      </c>
      <c r="R235" s="159" t="s">
        <v>160</v>
      </c>
      <c r="U235" s="125" t="s">
        <v>119</v>
      </c>
      <c r="V235" s="133">
        <v>15</v>
      </c>
      <c r="AD235" s="135">
        <f t="shared" si="47"/>
        <v>0</v>
      </c>
      <c r="AF235" s="136">
        <f t="shared" si="49"/>
        <v>0</v>
      </c>
      <c r="AH235" s="125">
        <v>211</v>
      </c>
      <c r="AJ235" s="125">
        <v>0</v>
      </c>
    </row>
    <row r="236" spans="1:36" hidden="1" x14ac:dyDescent="0.2">
      <c r="B236" s="125" t="s">
        <v>120</v>
      </c>
      <c r="C236" s="162">
        <v>645000</v>
      </c>
      <c r="D236" s="162"/>
      <c r="E236" s="162"/>
      <c r="F236" s="162">
        <f>94801.54+119529.13+19228.26+323200+6410.7+81830.37</f>
        <v>644999.99999999988</v>
      </c>
      <c r="G236" s="163">
        <v>0</v>
      </c>
      <c r="H236" s="164">
        <v>0</v>
      </c>
      <c r="I236" s="163">
        <v>0</v>
      </c>
      <c r="J236" s="163">
        <v>0</v>
      </c>
      <c r="K236" s="163">
        <v>0</v>
      </c>
      <c r="L236" s="162">
        <f t="shared" si="48"/>
        <v>0</v>
      </c>
      <c r="M236" s="162"/>
      <c r="N236" s="162">
        <v>0</v>
      </c>
      <c r="O236" s="162">
        <f t="shared" si="50"/>
        <v>0</v>
      </c>
      <c r="P236" s="159" t="s">
        <v>161</v>
      </c>
      <c r="Q236" s="159">
        <v>35</v>
      </c>
      <c r="R236" s="159" t="s">
        <v>160</v>
      </c>
      <c r="U236" s="125" t="s">
        <v>120</v>
      </c>
      <c r="V236" s="133">
        <v>16</v>
      </c>
      <c r="AA236" s="135">
        <v>5600</v>
      </c>
      <c r="AD236" s="135">
        <f t="shared" si="47"/>
        <v>5600</v>
      </c>
      <c r="AF236" s="136">
        <f t="shared" si="49"/>
        <v>1.1641532182693481E-10</v>
      </c>
      <c r="AH236" s="125">
        <v>212</v>
      </c>
      <c r="AJ236" s="125">
        <v>0</v>
      </c>
    </row>
    <row r="237" spans="1:36" hidden="1" x14ac:dyDescent="0.2">
      <c r="B237" s="125" t="s">
        <v>137</v>
      </c>
      <c r="C237" s="162">
        <v>536000</v>
      </c>
      <c r="D237" s="162">
        <v>-0.03</v>
      </c>
      <c r="E237" s="162"/>
      <c r="F237" s="162">
        <f>459882.47+76117.5</f>
        <v>535999.97</v>
      </c>
      <c r="G237" s="163">
        <v>0</v>
      </c>
      <c r="H237" s="164">
        <v>0</v>
      </c>
      <c r="I237" s="163">
        <v>0</v>
      </c>
      <c r="J237" s="163">
        <v>0</v>
      </c>
      <c r="K237" s="163">
        <v>0</v>
      </c>
      <c r="L237" s="162">
        <f t="shared" si="48"/>
        <v>0</v>
      </c>
      <c r="M237" s="162"/>
      <c r="N237" s="162">
        <v>0</v>
      </c>
      <c r="O237" s="162">
        <f t="shared" si="50"/>
        <v>0</v>
      </c>
      <c r="P237" s="159" t="s">
        <v>161</v>
      </c>
      <c r="Q237" s="159">
        <v>35</v>
      </c>
      <c r="R237" s="159" t="s">
        <v>160</v>
      </c>
      <c r="U237" s="125" t="s">
        <v>137</v>
      </c>
      <c r="V237" s="133">
        <v>17</v>
      </c>
      <c r="AD237" s="135">
        <f t="shared" si="47"/>
        <v>0</v>
      </c>
      <c r="AF237" s="136">
        <f t="shared" si="49"/>
        <v>0</v>
      </c>
      <c r="AH237" s="125">
        <v>213</v>
      </c>
      <c r="AJ237" s="125">
        <v>0</v>
      </c>
    </row>
    <row r="238" spans="1:36" hidden="1" x14ac:dyDescent="0.2">
      <c r="B238" s="125" t="s">
        <v>122</v>
      </c>
      <c r="C238" s="162">
        <v>1589000</v>
      </c>
      <c r="D238" s="162"/>
      <c r="E238" s="162"/>
      <c r="F238" s="162">
        <f>1297648.93+14449.5+4900+272001.57</f>
        <v>1589000</v>
      </c>
      <c r="G238" s="163">
        <v>0</v>
      </c>
      <c r="H238" s="164">
        <v>0</v>
      </c>
      <c r="I238" s="163">
        <v>0</v>
      </c>
      <c r="J238" s="163">
        <v>0</v>
      </c>
      <c r="K238" s="163">
        <v>0</v>
      </c>
      <c r="L238" s="162">
        <f t="shared" si="48"/>
        <v>0</v>
      </c>
      <c r="M238" s="162"/>
      <c r="N238" s="162">
        <v>0</v>
      </c>
      <c r="O238" s="162">
        <f t="shared" si="50"/>
        <v>0</v>
      </c>
      <c r="P238" s="159" t="s">
        <v>161</v>
      </c>
      <c r="Q238" s="159">
        <v>35</v>
      </c>
      <c r="R238" s="159" t="s">
        <v>160</v>
      </c>
      <c r="U238" s="125" t="s">
        <v>122</v>
      </c>
      <c r="V238" s="133">
        <v>18</v>
      </c>
      <c r="AD238" s="135">
        <f t="shared" si="47"/>
        <v>0</v>
      </c>
      <c r="AF238" s="136">
        <f t="shared" si="49"/>
        <v>0</v>
      </c>
      <c r="AH238" s="125">
        <v>214</v>
      </c>
      <c r="AJ238" s="125">
        <v>0</v>
      </c>
    </row>
    <row r="239" spans="1:36" hidden="1" x14ac:dyDescent="0.2">
      <c r="B239" s="125" t="s">
        <v>123</v>
      </c>
      <c r="C239" s="153">
        <v>418000</v>
      </c>
      <c r="D239" s="162">
        <v>-67674.259999999995</v>
      </c>
      <c r="E239" s="154"/>
      <c r="F239" s="162">
        <f>133766.84+186228.72+14900+15430.18</f>
        <v>350325.74</v>
      </c>
      <c r="G239" s="163">
        <v>0</v>
      </c>
      <c r="H239" s="164">
        <v>0</v>
      </c>
      <c r="I239" s="163">
        <v>0</v>
      </c>
      <c r="J239" s="163">
        <v>0</v>
      </c>
      <c r="K239" s="163">
        <v>0</v>
      </c>
      <c r="L239" s="162">
        <f t="shared" si="48"/>
        <v>0</v>
      </c>
      <c r="M239" s="162"/>
      <c r="N239" s="162">
        <v>0</v>
      </c>
      <c r="O239" s="162">
        <f t="shared" si="50"/>
        <v>0</v>
      </c>
      <c r="P239" s="159" t="s">
        <v>161</v>
      </c>
      <c r="Q239" s="159">
        <v>35</v>
      </c>
      <c r="R239" s="159" t="s">
        <v>160</v>
      </c>
      <c r="U239" s="125" t="s">
        <v>123</v>
      </c>
      <c r="V239" s="133">
        <v>19</v>
      </c>
      <c r="AA239" s="135">
        <v>15430.18</v>
      </c>
      <c r="AD239" s="135">
        <f t="shared" si="47"/>
        <v>15430.18</v>
      </c>
      <c r="AF239" s="136">
        <f t="shared" si="49"/>
        <v>0</v>
      </c>
      <c r="AH239" s="125">
        <v>215</v>
      </c>
      <c r="AJ239" s="125">
        <v>0</v>
      </c>
    </row>
    <row r="240" spans="1:36" x14ac:dyDescent="0.2">
      <c r="B240" s="165" t="s">
        <v>127</v>
      </c>
      <c r="C240" s="153">
        <v>463000</v>
      </c>
      <c r="E240" s="54">
        <f>24627.14-80000-288809.46-75000-43817.68</f>
        <v>-463000</v>
      </c>
      <c r="F240" s="162">
        <f>'[1]Emergency Funds'!G102</f>
        <v>0</v>
      </c>
      <c r="G240" s="163">
        <f>'[1]Emergency Funds'!G102</f>
        <v>0</v>
      </c>
      <c r="H240" s="164"/>
      <c r="I240" s="163"/>
      <c r="J240" s="163"/>
      <c r="K240" s="163"/>
      <c r="L240" s="162"/>
      <c r="M240" s="162">
        <f>H240-N240-O240</f>
        <v>0</v>
      </c>
      <c r="N240" s="162"/>
      <c r="O240" s="162"/>
      <c r="P240" s="159" t="s">
        <v>161</v>
      </c>
      <c r="Q240" s="159">
        <v>35</v>
      </c>
      <c r="R240" s="159" t="s">
        <v>160</v>
      </c>
      <c r="U240" s="165" t="s">
        <v>127</v>
      </c>
      <c r="V240" s="133">
        <v>20</v>
      </c>
      <c r="AF240" s="136">
        <f t="shared" si="49"/>
        <v>0</v>
      </c>
      <c r="AH240" s="125">
        <v>216</v>
      </c>
    </row>
    <row r="241" spans="1:36" x14ac:dyDescent="0.2">
      <c r="B241" s="125" t="s">
        <v>187</v>
      </c>
      <c r="C241" s="153"/>
      <c r="D241" s="126">
        <v>-63620.75</v>
      </c>
      <c r="E241" s="54">
        <f>75000</f>
        <v>75000</v>
      </c>
      <c r="F241" s="162">
        <f>11379.25</f>
        <v>11379.25</v>
      </c>
      <c r="G241" s="163">
        <f>[1]UMES!F10</f>
        <v>0</v>
      </c>
      <c r="H241" s="164">
        <f>[1]UMES!H10</f>
        <v>0</v>
      </c>
      <c r="I241" s="163">
        <f>[1]UMES!I10</f>
        <v>0</v>
      </c>
      <c r="J241" s="163">
        <f>[1]UMES!J10</f>
        <v>0</v>
      </c>
      <c r="K241" s="163">
        <f>[1]UMES!K10</f>
        <v>0</v>
      </c>
      <c r="L241" s="162">
        <f t="shared" si="48"/>
        <v>0</v>
      </c>
      <c r="M241" s="162">
        <f>H241-N241-O241</f>
        <v>0</v>
      </c>
      <c r="N241" s="162">
        <v>0</v>
      </c>
      <c r="O241" s="162">
        <v>0</v>
      </c>
      <c r="P241" s="159" t="s">
        <v>161</v>
      </c>
      <c r="Q241" s="159">
        <v>35</v>
      </c>
      <c r="R241" s="159" t="s">
        <v>160</v>
      </c>
      <c r="U241" s="165"/>
      <c r="AD241" s="135">
        <f t="shared" si="47"/>
        <v>0</v>
      </c>
      <c r="AF241" s="136">
        <f t="shared" si="49"/>
        <v>0</v>
      </c>
      <c r="AH241" s="125">
        <v>217</v>
      </c>
      <c r="AJ241" s="125">
        <v>0</v>
      </c>
    </row>
    <row r="242" spans="1:36" x14ac:dyDescent="0.2">
      <c r="C242" s="153"/>
      <c r="D242" s="154"/>
      <c r="E242" s="154"/>
      <c r="F242" s="162"/>
      <c r="G242" s="156"/>
      <c r="H242" s="157"/>
      <c r="I242" s="156"/>
      <c r="J242" s="156"/>
      <c r="K242" s="156"/>
      <c r="L242" s="154"/>
      <c r="M242" s="154"/>
      <c r="N242" s="154"/>
      <c r="O242" s="154"/>
      <c r="V242" s="133">
        <v>21</v>
      </c>
      <c r="AH242" s="125">
        <v>218</v>
      </c>
    </row>
    <row r="243" spans="1:36" ht="13.5" thickBot="1" x14ac:dyDescent="0.25">
      <c r="B243" s="168" t="s">
        <v>188</v>
      </c>
      <c r="C243" s="169">
        <f t="shared" ref="C243:O243" si="51">SUM(C226:C242)</f>
        <v>32000000</v>
      </c>
      <c r="D243" s="169">
        <f t="shared" si="51"/>
        <v>-139952.22</v>
      </c>
      <c r="E243" s="169">
        <f t="shared" si="51"/>
        <v>-388000</v>
      </c>
      <c r="F243" s="192">
        <f t="shared" si="51"/>
        <v>31406705.069999997</v>
      </c>
      <c r="G243" s="169">
        <f t="shared" si="51"/>
        <v>65342.709999999992</v>
      </c>
      <c r="H243" s="193">
        <f t="shared" si="51"/>
        <v>65342.71</v>
      </c>
      <c r="I243" s="169">
        <f t="shared" si="51"/>
        <v>0</v>
      </c>
      <c r="J243" s="169">
        <f t="shared" si="51"/>
        <v>0</v>
      </c>
      <c r="K243" s="169">
        <f t="shared" si="51"/>
        <v>0</v>
      </c>
      <c r="L243" s="169">
        <f t="shared" si="51"/>
        <v>-7.2759576141834259E-12</v>
      </c>
      <c r="M243" s="169">
        <f t="shared" si="51"/>
        <v>0</v>
      </c>
      <c r="N243" s="169">
        <f t="shared" si="51"/>
        <v>0</v>
      </c>
      <c r="O243" s="169">
        <f t="shared" si="51"/>
        <v>65342.71</v>
      </c>
      <c r="U243" s="168" t="s">
        <v>188</v>
      </c>
      <c r="V243" s="133">
        <v>22</v>
      </c>
      <c r="AA243" s="169">
        <f>SUM(AA226:AA242)</f>
        <v>434857.93</v>
      </c>
      <c r="AB243" s="169">
        <f>SUM(AB226:AB242)</f>
        <v>251106.83</v>
      </c>
      <c r="AC243" s="169">
        <f>SUM(AC226:AC242)</f>
        <v>0</v>
      </c>
      <c r="AD243" s="169">
        <f>SUM(AD226:AD242)</f>
        <v>685964.76</v>
      </c>
      <c r="AF243" s="136">
        <f>C243+D243+E243-F243-G243</f>
        <v>4.6275090426206589E-9</v>
      </c>
      <c r="AH243" s="125">
        <v>219</v>
      </c>
      <c r="AJ243" s="125">
        <v>65342.71</v>
      </c>
    </row>
    <row r="244" spans="1:36" ht="13.5" thickTop="1" x14ac:dyDescent="0.2">
      <c r="B244" s="165"/>
      <c r="C244" s="153"/>
      <c r="D244" s="153"/>
      <c r="E244" s="153"/>
      <c r="F244" s="191"/>
      <c r="G244" s="153"/>
      <c r="H244" s="166"/>
      <c r="I244" s="153"/>
      <c r="J244" s="153"/>
      <c r="K244" s="153"/>
      <c r="L244" s="153"/>
      <c r="M244" s="153"/>
      <c r="N244" s="153"/>
      <c r="O244" s="153"/>
      <c r="U244" s="165"/>
      <c r="V244" s="133">
        <v>23</v>
      </c>
      <c r="AH244" s="125">
        <v>220</v>
      </c>
    </row>
    <row r="245" spans="1:36" x14ac:dyDescent="0.2">
      <c r="A245" s="165" t="s">
        <v>189</v>
      </c>
      <c r="C245" s="153"/>
      <c r="D245" s="154"/>
      <c r="E245" s="154"/>
      <c r="F245" s="162"/>
      <c r="G245" s="156"/>
      <c r="H245" s="157"/>
      <c r="I245" s="156"/>
      <c r="J245" s="156"/>
      <c r="K245" s="156"/>
      <c r="L245" s="154"/>
      <c r="M245" s="154"/>
      <c r="N245" s="154"/>
      <c r="O245" s="154"/>
      <c r="T245" s="165" t="s">
        <v>189</v>
      </c>
      <c r="V245" s="133">
        <v>24</v>
      </c>
      <c r="AH245" s="125">
        <v>221</v>
      </c>
    </row>
    <row r="246" spans="1:36" x14ac:dyDescent="0.2">
      <c r="B246" s="125" t="s">
        <v>190</v>
      </c>
      <c r="C246" s="153">
        <v>5000000</v>
      </c>
      <c r="D246" s="154"/>
      <c r="E246" s="154"/>
      <c r="F246" s="162">
        <f>2778210.96+92729.25+1551217.53+577842.26</f>
        <v>5000000</v>
      </c>
      <c r="G246" s="172">
        <v>0</v>
      </c>
      <c r="H246" s="173">
        <v>0</v>
      </c>
      <c r="I246" s="172">
        <v>0</v>
      </c>
      <c r="J246" s="172">
        <v>0</v>
      </c>
      <c r="K246" s="172">
        <v>0</v>
      </c>
      <c r="L246" s="162">
        <f>G246-H246-I246-J246-K246</f>
        <v>0</v>
      </c>
      <c r="M246" s="162">
        <f>H246-N246-O246</f>
        <v>0</v>
      </c>
      <c r="N246" s="162">
        <v>0</v>
      </c>
      <c r="O246" s="162">
        <v>0</v>
      </c>
      <c r="P246" s="159">
        <v>29</v>
      </c>
      <c r="Q246" s="159">
        <v>34</v>
      </c>
      <c r="R246" s="159" t="s">
        <v>160</v>
      </c>
      <c r="U246" s="125" t="s">
        <v>190</v>
      </c>
      <c r="V246" s="133">
        <v>25</v>
      </c>
      <c r="AF246" s="136">
        <f t="shared" ref="AF246:AF260" si="52">C246+D246+E246-F246-G246</f>
        <v>0</v>
      </c>
      <c r="AH246" s="125">
        <v>222</v>
      </c>
      <c r="AJ246" s="125">
        <v>0</v>
      </c>
    </row>
    <row r="247" spans="1:36" x14ac:dyDescent="0.2">
      <c r="B247" s="125" t="s">
        <v>191</v>
      </c>
      <c r="C247" s="153">
        <v>463000</v>
      </c>
      <c r="D247" s="162"/>
      <c r="E247" s="154"/>
      <c r="F247" s="162">
        <f>378155.03+84844.97</f>
        <v>463000</v>
      </c>
      <c r="G247" s="172">
        <v>0</v>
      </c>
      <c r="H247" s="173">
        <v>0</v>
      </c>
      <c r="I247" s="172"/>
      <c r="J247" s="172">
        <v>0</v>
      </c>
      <c r="K247" s="172">
        <v>0</v>
      </c>
      <c r="L247" s="162">
        <f>G247-H247-I247-J247-K247</f>
        <v>0</v>
      </c>
      <c r="M247" s="162">
        <f>H247-N247-O247</f>
        <v>0</v>
      </c>
      <c r="N247" s="162">
        <v>0</v>
      </c>
      <c r="O247" s="162">
        <v>0</v>
      </c>
      <c r="P247" s="159" t="s">
        <v>181</v>
      </c>
      <c r="Q247" s="159">
        <v>34</v>
      </c>
      <c r="R247" s="159" t="s">
        <v>160</v>
      </c>
      <c r="U247" s="125" t="s">
        <v>191</v>
      </c>
      <c r="V247" s="133">
        <v>26</v>
      </c>
      <c r="AF247" s="136">
        <f t="shared" si="52"/>
        <v>0</v>
      </c>
      <c r="AH247" s="125">
        <v>223</v>
      </c>
      <c r="AJ247" s="125">
        <v>0</v>
      </c>
    </row>
    <row r="248" spans="1:36" x14ac:dyDescent="0.2">
      <c r="B248" s="125" t="s">
        <v>186</v>
      </c>
      <c r="C248" s="153">
        <v>10000000</v>
      </c>
      <c r="D248" s="162">
        <v>-91469.57</v>
      </c>
      <c r="E248" s="154"/>
      <c r="F248" s="162">
        <f>9859707.89+30276.49+18546.05</f>
        <v>9908530.4300000016</v>
      </c>
      <c r="G248" s="172">
        <v>0</v>
      </c>
      <c r="H248" s="173">
        <v>0</v>
      </c>
      <c r="I248" s="172"/>
      <c r="J248" s="172">
        <v>0</v>
      </c>
      <c r="K248" s="172">
        <v>0</v>
      </c>
      <c r="L248" s="162">
        <f>G248-H248-I248-J248-K248</f>
        <v>0</v>
      </c>
      <c r="M248" s="162">
        <f>H248-N248-O248</f>
        <v>0</v>
      </c>
      <c r="N248" s="162">
        <v>0</v>
      </c>
      <c r="O248" s="162">
        <v>0</v>
      </c>
      <c r="P248" s="159">
        <v>143.1</v>
      </c>
      <c r="Q248" s="159">
        <v>34</v>
      </c>
      <c r="R248" s="159" t="s">
        <v>160</v>
      </c>
      <c r="U248" s="125" t="s">
        <v>186</v>
      </c>
      <c r="V248" s="133">
        <v>27</v>
      </c>
      <c r="AA248" s="135">
        <v>18546.05</v>
      </c>
      <c r="AD248" s="135">
        <f t="shared" ref="AD248:AD259" si="53">AA248+AB248+AC248</f>
        <v>18546.05</v>
      </c>
      <c r="AF248" s="136">
        <f t="shared" si="52"/>
        <v>-1.862645149230957E-9</v>
      </c>
      <c r="AH248" s="125">
        <v>224</v>
      </c>
      <c r="AJ248" s="125">
        <v>0</v>
      </c>
    </row>
    <row r="249" spans="1:36" x14ac:dyDescent="0.2">
      <c r="B249" s="165" t="s">
        <v>112</v>
      </c>
      <c r="C249" s="153"/>
      <c r="D249" s="154"/>
      <c r="E249" s="154"/>
      <c r="F249" s="162"/>
      <c r="G249" s="156"/>
      <c r="H249" s="157"/>
      <c r="I249" s="156"/>
      <c r="J249" s="156"/>
      <c r="K249" s="156"/>
      <c r="L249" s="154"/>
      <c r="M249" s="154"/>
      <c r="N249" s="162"/>
      <c r="O249" s="162"/>
      <c r="U249" s="165" t="s">
        <v>112</v>
      </c>
      <c r="V249" s="133">
        <v>28</v>
      </c>
      <c r="AD249" s="135">
        <f t="shared" si="53"/>
        <v>0</v>
      </c>
      <c r="AF249" s="136">
        <f t="shared" si="52"/>
        <v>0</v>
      </c>
      <c r="AH249" s="125">
        <v>225</v>
      </c>
    </row>
    <row r="250" spans="1:36" x14ac:dyDescent="0.2">
      <c r="B250" s="125" t="s">
        <v>113</v>
      </c>
      <c r="C250" s="162">
        <v>7300000</v>
      </c>
      <c r="D250" s="162"/>
      <c r="E250" s="162"/>
      <c r="F250" s="162">
        <f>420527.44+1130610.57+5748861.99</f>
        <v>7300000</v>
      </c>
      <c r="G250" s="163">
        <v>0</v>
      </c>
      <c r="H250" s="164">
        <v>0</v>
      </c>
      <c r="I250" s="163">
        <v>0</v>
      </c>
      <c r="J250" s="163">
        <v>0</v>
      </c>
      <c r="K250" s="163">
        <v>0</v>
      </c>
      <c r="L250" s="162">
        <f>G250-H250-I250-J250</f>
        <v>0</v>
      </c>
      <c r="M250" s="162">
        <f t="shared" ref="M250:M260" si="54">H250-N250-O250</f>
        <v>0</v>
      </c>
      <c r="N250" s="162">
        <v>0</v>
      </c>
      <c r="O250" s="162">
        <v>0</v>
      </c>
      <c r="P250" s="159" t="s">
        <v>161</v>
      </c>
      <c r="Q250" s="159">
        <v>34</v>
      </c>
      <c r="R250" s="159" t="s">
        <v>160</v>
      </c>
      <c r="U250" s="125" t="s">
        <v>113</v>
      </c>
      <c r="V250" s="133">
        <v>29</v>
      </c>
      <c r="AD250" s="135">
        <f t="shared" si="53"/>
        <v>0</v>
      </c>
      <c r="AF250" s="136">
        <f t="shared" si="52"/>
        <v>0</v>
      </c>
      <c r="AH250" s="125">
        <v>226</v>
      </c>
      <c r="AJ250" s="125">
        <v>0</v>
      </c>
    </row>
    <row r="251" spans="1:36" x14ac:dyDescent="0.2">
      <c r="B251" s="125" t="s">
        <v>114</v>
      </c>
      <c r="C251" s="162">
        <v>2675000</v>
      </c>
      <c r="D251" s="162"/>
      <c r="E251" s="162"/>
      <c r="F251" s="162">
        <f>48636+4536+17500+238254.32+2127983.58+59368.09+25549.05+3465+18478.54+40801.13+2590.32</f>
        <v>2587162.0299999993</v>
      </c>
      <c r="G251" s="163">
        <f>[1]UMB!F289</f>
        <v>87837.970000000059</v>
      </c>
      <c r="H251" s="164">
        <f>[1]UMB!H289</f>
        <v>87837.97</v>
      </c>
      <c r="I251" s="163">
        <f>[1]UMB!I289</f>
        <v>0</v>
      </c>
      <c r="J251" s="163">
        <f>[1]UMB!J289</f>
        <v>0</v>
      </c>
      <c r="K251" s="163">
        <f>[1]UMB!K289</f>
        <v>0</v>
      </c>
      <c r="L251" s="162">
        <f t="shared" ref="L251:L260" si="55">G251-H251-I251-J251-K251</f>
        <v>5.8207660913467407E-11</v>
      </c>
      <c r="M251" s="162">
        <f t="shared" si="54"/>
        <v>0</v>
      </c>
      <c r="N251" s="162">
        <v>0</v>
      </c>
      <c r="O251" s="162">
        <v>87837.97</v>
      </c>
      <c r="P251" s="159" t="s">
        <v>161</v>
      </c>
      <c r="Q251" s="159">
        <v>34</v>
      </c>
      <c r="R251" s="159" t="s">
        <v>160</v>
      </c>
      <c r="U251" s="125" t="s">
        <v>114</v>
      </c>
      <c r="V251" s="133">
        <v>30</v>
      </c>
      <c r="AA251" s="135">
        <v>18149.05</v>
      </c>
      <c r="AB251" s="135">
        <v>3465</v>
      </c>
      <c r="AD251" s="135">
        <f t="shared" si="53"/>
        <v>21614.05</v>
      </c>
      <c r="AF251" s="136">
        <f t="shared" si="52"/>
        <v>6.1118043959140778E-10</v>
      </c>
      <c r="AH251" s="125">
        <v>227</v>
      </c>
      <c r="AJ251" s="125">
        <v>87837.97</v>
      </c>
    </row>
    <row r="252" spans="1:36" x14ac:dyDescent="0.2">
      <c r="B252" s="125" t="s">
        <v>115</v>
      </c>
      <c r="C252" s="162">
        <v>642000</v>
      </c>
      <c r="D252" s="162"/>
      <c r="E252" s="162"/>
      <c r="F252" s="163">
        <v>642000.00000000012</v>
      </c>
      <c r="G252" s="163">
        <v>0</v>
      </c>
      <c r="H252" s="164">
        <v>0</v>
      </c>
      <c r="I252" s="163">
        <v>0</v>
      </c>
      <c r="J252" s="163">
        <v>0</v>
      </c>
      <c r="K252" s="163">
        <v>0</v>
      </c>
      <c r="L252" s="162">
        <f t="shared" si="55"/>
        <v>0</v>
      </c>
      <c r="M252" s="162">
        <f t="shared" si="54"/>
        <v>0</v>
      </c>
      <c r="N252" s="162">
        <v>0</v>
      </c>
      <c r="O252" s="162">
        <v>0</v>
      </c>
      <c r="P252" s="159" t="s">
        <v>161</v>
      </c>
      <c r="Q252" s="159">
        <v>34</v>
      </c>
      <c r="R252" s="159" t="s">
        <v>160</v>
      </c>
      <c r="U252" s="125" t="s">
        <v>115</v>
      </c>
      <c r="V252" s="133">
        <v>31</v>
      </c>
      <c r="AA252" s="135">
        <v>50634.99</v>
      </c>
      <c r="AD252" s="135">
        <f t="shared" si="53"/>
        <v>50634.99</v>
      </c>
      <c r="AF252" s="136">
        <f t="shared" si="52"/>
        <v>-1.1641532182693481E-10</v>
      </c>
      <c r="AH252" s="125">
        <v>228</v>
      </c>
      <c r="AJ252" s="125">
        <v>0</v>
      </c>
    </row>
    <row r="253" spans="1:36" x14ac:dyDescent="0.2">
      <c r="B253" s="125" t="s">
        <v>116</v>
      </c>
      <c r="C253" s="162">
        <v>1452000</v>
      </c>
      <c r="D253" s="162"/>
      <c r="E253" s="162"/>
      <c r="F253" s="162">
        <f>9700+211037.97+1162738.9+68523.13</f>
        <v>1452000</v>
      </c>
      <c r="G253" s="163">
        <v>0</v>
      </c>
      <c r="H253" s="164">
        <v>0</v>
      </c>
      <c r="I253" s="163"/>
      <c r="J253" s="163">
        <v>0</v>
      </c>
      <c r="K253" s="163">
        <v>0</v>
      </c>
      <c r="L253" s="162">
        <f t="shared" si="55"/>
        <v>0</v>
      </c>
      <c r="M253" s="162">
        <f t="shared" si="54"/>
        <v>0</v>
      </c>
      <c r="N253" s="162">
        <v>0</v>
      </c>
      <c r="O253" s="162">
        <v>0</v>
      </c>
      <c r="P253" s="159" t="s">
        <v>161</v>
      </c>
      <c r="Q253" s="159">
        <v>34</v>
      </c>
      <c r="R253" s="159" t="s">
        <v>160</v>
      </c>
      <c r="U253" s="125" t="s">
        <v>116</v>
      </c>
      <c r="V253" s="133">
        <v>32</v>
      </c>
      <c r="AD253" s="135">
        <f t="shared" si="53"/>
        <v>0</v>
      </c>
      <c r="AF253" s="136">
        <f t="shared" si="52"/>
        <v>0</v>
      </c>
      <c r="AH253" s="125">
        <v>229</v>
      </c>
      <c r="AJ253" s="125">
        <v>0</v>
      </c>
    </row>
    <row r="254" spans="1:36" x14ac:dyDescent="0.2">
      <c r="B254" s="125" t="s">
        <v>117</v>
      </c>
      <c r="C254" s="162">
        <v>317000</v>
      </c>
      <c r="E254" s="167">
        <v>-194040.47</v>
      </c>
      <c r="F254" s="167">
        <f>74674+44032.8+4252.73</f>
        <v>122959.53</v>
      </c>
      <c r="G254" s="163">
        <v>0</v>
      </c>
      <c r="H254" s="164">
        <v>0</v>
      </c>
      <c r="I254" s="163"/>
      <c r="J254" s="163">
        <v>0</v>
      </c>
      <c r="K254" s="163">
        <v>0</v>
      </c>
      <c r="L254" s="162">
        <f t="shared" si="55"/>
        <v>0</v>
      </c>
      <c r="M254" s="162">
        <f t="shared" si="54"/>
        <v>0</v>
      </c>
      <c r="N254" s="162">
        <v>0</v>
      </c>
      <c r="O254" s="162">
        <v>0</v>
      </c>
      <c r="P254" s="159" t="s">
        <v>161</v>
      </c>
      <c r="Q254" s="159">
        <v>34</v>
      </c>
      <c r="R254" s="159" t="s">
        <v>160</v>
      </c>
      <c r="U254" s="125" t="s">
        <v>117</v>
      </c>
      <c r="V254" s="133">
        <v>33</v>
      </c>
      <c r="AD254" s="135">
        <f t="shared" si="53"/>
        <v>0</v>
      </c>
      <c r="AF254" s="136">
        <f t="shared" si="52"/>
        <v>0</v>
      </c>
      <c r="AH254" s="125">
        <v>230</v>
      </c>
      <c r="AJ254" s="125">
        <v>0</v>
      </c>
    </row>
    <row r="255" spans="1:36" x14ac:dyDescent="0.2">
      <c r="B255" s="125" t="s">
        <v>118</v>
      </c>
      <c r="C255" s="162">
        <v>554000</v>
      </c>
      <c r="D255" s="162"/>
      <c r="E255" s="162"/>
      <c r="F255" s="162">
        <f>132857.18+1432.44+419000+710.38</f>
        <v>554000</v>
      </c>
      <c r="G255" s="163">
        <v>0</v>
      </c>
      <c r="H255" s="164">
        <v>0</v>
      </c>
      <c r="I255" s="163"/>
      <c r="J255" s="163">
        <v>0</v>
      </c>
      <c r="K255" s="163">
        <v>0</v>
      </c>
      <c r="L255" s="162">
        <f t="shared" si="55"/>
        <v>0</v>
      </c>
      <c r="M255" s="162">
        <f t="shared" si="54"/>
        <v>0</v>
      </c>
      <c r="N255" s="162">
        <v>0</v>
      </c>
      <c r="O255" s="162">
        <v>0</v>
      </c>
      <c r="P255" s="159" t="s">
        <v>161</v>
      </c>
      <c r="Q255" s="159">
        <v>34</v>
      </c>
      <c r="R255" s="159" t="s">
        <v>160</v>
      </c>
      <c r="U255" s="125" t="s">
        <v>118</v>
      </c>
      <c r="V255" s="133">
        <v>34</v>
      </c>
      <c r="AD255" s="135">
        <f t="shared" si="53"/>
        <v>0</v>
      </c>
      <c r="AF255" s="136">
        <f t="shared" si="52"/>
        <v>0</v>
      </c>
      <c r="AH255" s="125">
        <v>231</v>
      </c>
      <c r="AJ255" s="125">
        <v>0</v>
      </c>
    </row>
    <row r="256" spans="1:36" x14ac:dyDescent="0.2">
      <c r="B256" s="125" t="s">
        <v>119</v>
      </c>
      <c r="C256" s="162">
        <v>409000</v>
      </c>
      <c r="D256" s="162"/>
      <c r="E256" s="162"/>
      <c r="F256" s="162">
        <f>239668.9+169331.1</f>
        <v>409000</v>
      </c>
      <c r="G256" s="163">
        <v>0</v>
      </c>
      <c r="H256" s="164">
        <v>0</v>
      </c>
      <c r="I256" s="163"/>
      <c r="J256" s="163">
        <v>0</v>
      </c>
      <c r="K256" s="163">
        <v>0</v>
      </c>
      <c r="L256" s="162">
        <f t="shared" si="55"/>
        <v>0</v>
      </c>
      <c r="M256" s="162">
        <f t="shared" si="54"/>
        <v>0</v>
      </c>
      <c r="N256" s="162">
        <v>0</v>
      </c>
      <c r="O256" s="162">
        <v>0</v>
      </c>
      <c r="P256" s="159" t="s">
        <v>161</v>
      </c>
      <c r="Q256" s="159">
        <v>34</v>
      </c>
      <c r="R256" s="159" t="s">
        <v>160</v>
      </c>
      <c r="U256" s="125" t="s">
        <v>119</v>
      </c>
      <c r="V256" s="133">
        <v>35</v>
      </c>
      <c r="AD256" s="135">
        <f t="shared" si="53"/>
        <v>0</v>
      </c>
      <c r="AF256" s="136">
        <f t="shared" si="52"/>
        <v>0</v>
      </c>
      <c r="AH256" s="125">
        <v>232</v>
      </c>
      <c r="AJ256" s="125">
        <v>0</v>
      </c>
    </row>
    <row r="257" spans="1:36" x14ac:dyDescent="0.2">
      <c r="B257" s="125" t="s">
        <v>120</v>
      </c>
      <c r="C257" s="162">
        <v>645000</v>
      </c>
      <c r="E257" s="162">
        <v>-400000</v>
      </c>
      <c r="F257" s="167">
        <f>49796.39+156674.21+38529.4</f>
        <v>244999.99999999997</v>
      </c>
      <c r="G257" s="163">
        <v>0</v>
      </c>
      <c r="H257" s="164">
        <v>0</v>
      </c>
      <c r="I257" s="163"/>
      <c r="J257" s="163">
        <v>0</v>
      </c>
      <c r="K257" s="163">
        <v>0</v>
      </c>
      <c r="L257" s="162">
        <f t="shared" si="55"/>
        <v>0</v>
      </c>
      <c r="M257" s="162">
        <f t="shared" si="54"/>
        <v>0</v>
      </c>
      <c r="N257" s="162">
        <v>0</v>
      </c>
      <c r="O257" s="162">
        <v>0</v>
      </c>
      <c r="P257" s="159" t="s">
        <v>161</v>
      </c>
      <c r="Q257" s="159">
        <v>34</v>
      </c>
      <c r="R257" s="159" t="s">
        <v>160</v>
      </c>
      <c r="U257" s="125" t="s">
        <v>120</v>
      </c>
      <c r="V257" s="133">
        <v>36</v>
      </c>
      <c r="AD257" s="135">
        <f t="shared" si="53"/>
        <v>0</v>
      </c>
      <c r="AF257" s="136">
        <f t="shared" si="52"/>
        <v>2.9103830456733704E-11</v>
      </c>
      <c r="AH257" s="125">
        <v>233</v>
      </c>
      <c r="AJ257" s="125">
        <v>0</v>
      </c>
    </row>
    <row r="258" spans="1:36" x14ac:dyDescent="0.2">
      <c r="B258" s="125" t="s">
        <v>137</v>
      </c>
      <c r="C258" s="162">
        <v>536000</v>
      </c>
      <c r="D258" s="162"/>
      <c r="E258" s="162"/>
      <c r="F258" s="162">
        <f>113111+422889</f>
        <v>536000</v>
      </c>
      <c r="G258" s="163">
        <v>0</v>
      </c>
      <c r="H258" s="164">
        <v>0</v>
      </c>
      <c r="I258" s="163"/>
      <c r="J258" s="163">
        <v>0</v>
      </c>
      <c r="K258" s="163">
        <v>0</v>
      </c>
      <c r="L258" s="162">
        <f t="shared" si="55"/>
        <v>0</v>
      </c>
      <c r="M258" s="162">
        <f t="shared" si="54"/>
        <v>0</v>
      </c>
      <c r="N258" s="162">
        <v>0</v>
      </c>
      <c r="O258" s="162">
        <v>0</v>
      </c>
      <c r="P258" s="159" t="s">
        <v>161</v>
      </c>
      <c r="Q258" s="159">
        <v>34</v>
      </c>
      <c r="R258" s="159" t="s">
        <v>160</v>
      </c>
      <c r="U258" s="125" t="s">
        <v>137</v>
      </c>
      <c r="V258" s="133">
        <v>37</v>
      </c>
      <c r="AD258" s="135">
        <f t="shared" si="53"/>
        <v>0</v>
      </c>
      <c r="AF258" s="136">
        <f t="shared" si="52"/>
        <v>0</v>
      </c>
      <c r="AH258" s="125">
        <v>234</v>
      </c>
      <c r="AJ258" s="125">
        <v>0</v>
      </c>
    </row>
    <row r="259" spans="1:36" x14ac:dyDescent="0.2">
      <c r="B259" s="125" t="s">
        <v>122</v>
      </c>
      <c r="C259" s="162">
        <v>1589000</v>
      </c>
      <c r="D259" s="162">
        <v>-3243.25</v>
      </c>
      <c r="E259" s="162"/>
      <c r="F259" s="162">
        <f>1300000+277326.79+8429.96</f>
        <v>1585756.75</v>
      </c>
      <c r="G259" s="163">
        <v>0</v>
      </c>
      <c r="H259" s="164">
        <v>0</v>
      </c>
      <c r="I259" s="163"/>
      <c r="J259" s="163">
        <v>0</v>
      </c>
      <c r="K259" s="163">
        <v>0</v>
      </c>
      <c r="L259" s="162">
        <f t="shared" si="55"/>
        <v>0</v>
      </c>
      <c r="M259" s="162">
        <f t="shared" si="54"/>
        <v>0</v>
      </c>
      <c r="N259" s="162">
        <v>0</v>
      </c>
      <c r="O259" s="162">
        <v>0</v>
      </c>
      <c r="P259" s="159" t="s">
        <v>161</v>
      </c>
      <c r="Q259" s="159">
        <v>34</v>
      </c>
      <c r="R259" s="159" t="s">
        <v>160</v>
      </c>
      <c r="U259" s="125" t="s">
        <v>122</v>
      </c>
      <c r="V259" s="133">
        <v>38</v>
      </c>
      <c r="AD259" s="135">
        <f t="shared" si="53"/>
        <v>0</v>
      </c>
      <c r="AF259" s="136">
        <f t="shared" si="52"/>
        <v>0</v>
      </c>
      <c r="AH259" s="125">
        <v>235</v>
      </c>
      <c r="AJ259" s="125">
        <v>0</v>
      </c>
    </row>
    <row r="260" spans="1:36" x14ac:dyDescent="0.2">
      <c r="B260" s="125" t="s">
        <v>123</v>
      </c>
      <c r="C260" s="153">
        <v>418000</v>
      </c>
      <c r="D260" s="154"/>
      <c r="E260" s="154"/>
      <c r="F260" s="162">
        <f>318000+100000</f>
        <v>418000</v>
      </c>
      <c r="G260" s="163">
        <v>0</v>
      </c>
      <c r="H260" s="164">
        <v>0</v>
      </c>
      <c r="I260" s="163"/>
      <c r="J260" s="163">
        <v>0</v>
      </c>
      <c r="K260" s="163">
        <v>0</v>
      </c>
      <c r="L260" s="162">
        <f t="shared" si="55"/>
        <v>0</v>
      </c>
      <c r="M260" s="162">
        <f t="shared" si="54"/>
        <v>0</v>
      </c>
      <c r="N260" s="162">
        <v>0</v>
      </c>
      <c r="O260" s="162">
        <v>0</v>
      </c>
      <c r="P260" s="159" t="s">
        <v>161</v>
      </c>
      <c r="Q260" s="159">
        <v>34</v>
      </c>
      <c r="R260" s="159" t="s">
        <v>160</v>
      </c>
      <c r="U260" s="125" t="s">
        <v>123</v>
      </c>
      <c r="V260" s="133">
        <v>39</v>
      </c>
      <c r="AF260" s="136">
        <f t="shared" si="52"/>
        <v>0</v>
      </c>
      <c r="AH260" s="125">
        <v>236</v>
      </c>
      <c r="AJ260" s="125">
        <v>0</v>
      </c>
    </row>
    <row r="261" spans="1:36" x14ac:dyDescent="0.2">
      <c r="C261" s="153"/>
      <c r="D261" s="154"/>
      <c r="E261" s="154"/>
      <c r="F261" s="162"/>
      <c r="G261" s="156"/>
      <c r="H261" s="157"/>
      <c r="I261" s="156"/>
      <c r="J261" s="156"/>
      <c r="K261" s="156"/>
      <c r="L261" s="154"/>
      <c r="M261" s="154"/>
      <c r="N261" s="154"/>
      <c r="O261" s="154"/>
      <c r="V261" s="133">
        <v>40</v>
      </c>
      <c r="AH261" s="125">
        <v>237</v>
      </c>
    </row>
    <row r="262" spans="1:36" ht="13.5" thickBot="1" x14ac:dyDescent="0.25">
      <c r="B262" s="168" t="s">
        <v>192</v>
      </c>
      <c r="C262" s="169">
        <f t="shared" ref="C262:O262" si="56">SUM(C246:C261)</f>
        <v>32000000</v>
      </c>
      <c r="D262" s="169">
        <f t="shared" si="56"/>
        <v>-94712.82</v>
      </c>
      <c r="E262" s="169">
        <f t="shared" si="56"/>
        <v>-594040.47</v>
      </c>
      <c r="F262" s="192">
        <f t="shared" si="56"/>
        <v>31223408.740000002</v>
      </c>
      <c r="G262" s="169">
        <f t="shared" si="56"/>
        <v>87837.970000000059</v>
      </c>
      <c r="H262" s="193">
        <f>SUM(H246:H261)</f>
        <v>87837.97</v>
      </c>
      <c r="I262" s="169">
        <f>SUM(I246:I261)</f>
        <v>0</v>
      </c>
      <c r="J262" s="169">
        <f t="shared" si="56"/>
        <v>0</v>
      </c>
      <c r="K262" s="169">
        <f t="shared" si="56"/>
        <v>0</v>
      </c>
      <c r="L262" s="169">
        <f t="shared" si="56"/>
        <v>5.8207660913467407E-11</v>
      </c>
      <c r="M262" s="169">
        <f t="shared" si="56"/>
        <v>0</v>
      </c>
      <c r="N262" s="169">
        <f t="shared" si="56"/>
        <v>0</v>
      </c>
      <c r="O262" s="169">
        <f t="shared" si="56"/>
        <v>87837.97</v>
      </c>
      <c r="U262" s="168" t="s">
        <v>192</v>
      </c>
      <c r="V262" s="133">
        <v>41</v>
      </c>
      <c r="AA262" s="169">
        <f>SUM(AA246:AA261)</f>
        <v>87330.09</v>
      </c>
      <c r="AB262" s="169">
        <f>SUM(AB246:AB261)</f>
        <v>3465</v>
      </c>
      <c r="AC262" s="169">
        <f>SUM(AC246:AC261)</f>
        <v>0</v>
      </c>
      <c r="AD262" s="169">
        <f>SUM(AD246:AD261)</f>
        <v>90795.09</v>
      </c>
      <c r="AF262" s="136">
        <f>C262+D262+E262-F262-G262</f>
        <v>-1.2514647096395493E-9</v>
      </c>
      <c r="AH262" s="125">
        <v>238</v>
      </c>
      <c r="AJ262" s="125">
        <v>87837.97</v>
      </c>
    </row>
    <row r="263" spans="1:36" ht="13.5" thickTop="1" x14ac:dyDescent="0.2">
      <c r="B263" s="165"/>
      <c r="C263" s="153"/>
      <c r="D263" s="153"/>
      <c r="E263" s="153"/>
      <c r="F263" s="162"/>
      <c r="G263" s="153"/>
      <c r="H263" s="166"/>
      <c r="I263" s="153"/>
      <c r="J263" s="153"/>
      <c r="K263" s="153"/>
      <c r="L263" s="153"/>
      <c r="M263" s="153"/>
      <c r="N263" s="153"/>
      <c r="O263" s="153"/>
      <c r="U263" s="165"/>
      <c r="AA263" s="153"/>
      <c r="AB263" s="153"/>
      <c r="AC263" s="153"/>
      <c r="AD263" s="153"/>
      <c r="AH263" s="125">
        <v>239</v>
      </c>
    </row>
    <row r="264" spans="1:36" x14ac:dyDescent="0.2">
      <c r="A264" s="165" t="s">
        <v>193</v>
      </c>
      <c r="C264" s="153"/>
      <c r="D264" s="154"/>
      <c r="E264" s="154"/>
      <c r="F264" s="162"/>
      <c r="G264" s="156"/>
      <c r="H264" s="157"/>
      <c r="I264" s="156"/>
      <c r="J264" s="156"/>
      <c r="K264" s="156"/>
      <c r="L264" s="154"/>
      <c r="M264" s="154"/>
      <c r="N264" s="154"/>
      <c r="O264" s="154"/>
      <c r="P264" s="154"/>
      <c r="S264" s="159"/>
      <c r="U264" s="165" t="s">
        <v>193</v>
      </c>
      <c r="V264" s="125"/>
      <c r="W264" s="133">
        <v>43</v>
      </c>
      <c r="X264" s="134"/>
      <c r="AA264" s="125"/>
      <c r="AE264" s="135"/>
      <c r="AF264" s="135"/>
      <c r="AH264" s="125">
        <v>240</v>
      </c>
    </row>
    <row r="265" spans="1:36" x14ac:dyDescent="0.2">
      <c r="B265" s="125" t="s">
        <v>194</v>
      </c>
      <c r="C265" s="153">
        <v>10000000</v>
      </c>
      <c r="D265" s="162">
        <v>-1769675.29</v>
      </c>
      <c r="E265" s="154"/>
      <c r="F265" s="162">
        <f>552213+682212+342650+3502647.59+156429.35+2684355.93+300831.87+5989.98+2994.99</f>
        <v>8230324.71</v>
      </c>
      <c r="G265" s="163">
        <f>[2]UMBC!F269</f>
        <v>0</v>
      </c>
      <c r="H265" s="164">
        <v>0</v>
      </c>
      <c r="I265" s="163">
        <f>[2]UMBC!I269</f>
        <v>0</v>
      </c>
      <c r="J265" s="163">
        <f>[2]UMBC!J269</f>
        <v>0</v>
      </c>
      <c r="K265" s="163">
        <f>[2]UMBC!K269</f>
        <v>0</v>
      </c>
      <c r="L265" s="162">
        <f>G265-H265-I265-J265-K265</f>
        <v>0</v>
      </c>
      <c r="M265" s="162">
        <f>H265-N265-O265</f>
        <v>0</v>
      </c>
      <c r="N265" s="162">
        <v>0</v>
      </c>
      <c r="O265" s="162">
        <v>0</v>
      </c>
      <c r="P265" s="162"/>
      <c r="Q265" s="159">
        <v>24</v>
      </c>
      <c r="R265" s="159">
        <v>33</v>
      </c>
      <c r="S265" s="159" t="s">
        <v>160</v>
      </c>
      <c r="V265" s="125" t="s">
        <v>194</v>
      </c>
      <c r="W265" s="133">
        <v>44</v>
      </c>
      <c r="X265" s="134"/>
      <c r="AA265" s="125"/>
      <c r="AB265" s="135">
        <v>46154.21</v>
      </c>
      <c r="AE265" s="135">
        <f t="shared" ref="AE265:AE283" si="57">AB265+AC265+AD265</f>
        <v>46154.21</v>
      </c>
      <c r="AF265" s="136">
        <f t="shared" ref="AF265:AF283" si="58">C265+D265+E265-F265-G265</f>
        <v>0</v>
      </c>
      <c r="AH265" s="125">
        <v>241</v>
      </c>
      <c r="AJ265" s="125">
        <v>0</v>
      </c>
    </row>
    <row r="266" spans="1:36" x14ac:dyDescent="0.2">
      <c r="B266" s="165" t="s">
        <v>112</v>
      </c>
      <c r="C266" s="153"/>
      <c r="D266" s="154"/>
      <c r="E266" s="154"/>
      <c r="F266" s="162"/>
      <c r="G266" s="156"/>
      <c r="H266" s="157"/>
      <c r="I266" s="156"/>
      <c r="J266" s="156"/>
      <c r="K266" s="156"/>
      <c r="L266" s="162"/>
      <c r="M266" s="162"/>
      <c r="N266" s="162"/>
      <c r="O266" s="162"/>
      <c r="P266" s="162"/>
      <c r="S266" s="159"/>
      <c r="V266" s="165" t="s">
        <v>112</v>
      </c>
      <c r="W266" s="133">
        <v>45</v>
      </c>
      <c r="X266" s="134"/>
      <c r="AA266" s="125"/>
      <c r="AE266" s="135">
        <f t="shared" si="57"/>
        <v>0</v>
      </c>
      <c r="AF266" s="136">
        <f t="shared" si="58"/>
        <v>0</v>
      </c>
      <c r="AH266" s="125">
        <v>242</v>
      </c>
    </row>
    <row r="267" spans="1:36" x14ac:dyDescent="0.2">
      <c r="B267" s="125" t="s">
        <v>113</v>
      </c>
      <c r="C267" s="153">
        <v>7300000</v>
      </c>
      <c r="D267" s="154"/>
      <c r="E267" s="154"/>
      <c r="F267" s="162">
        <f>521101.62+5465039.68+650600.48+663258.22</f>
        <v>7299999.9999999991</v>
      </c>
      <c r="G267" s="163">
        <v>0</v>
      </c>
      <c r="H267" s="164">
        <v>0</v>
      </c>
      <c r="I267" s="163">
        <f>[2]UMCP!I261</f>
        <v>0</v>
      </c>
      <c r="J267" s="163">
        <f>[2]UMCP!J261</f>
        <v>0</v>
      </c>
      <c r="K267" s="163">
        <v>0</v>
      </c>
      <c r="L267" s="162">
        <f>G267-H267-I267-J267</f>
        <v>0</v>
      </c>
      <c r="M267" s="162">
        <f t="shared" ref="M267:M283" si="59">H267-N267-O267</f>
        <v>0</v>
      </c>
      <c r="N267" s="162"/>
      <c r="O267" s="162">
        <v>0</v>
      </c>
      <c r="P267" s="162"/>
      <c r="Q267" s="159" t="s">
        <v>161</v>
      </c>
      <c r="R267" s="159">
        <v>33</v>
      </c>
      <c r="S267" s="159" t="s">
        <v>160</v>
      </c>
      <c r="V267" s="125" t="s">
        <v>113</v>
      </c>
      <c r="W267" s="133">
        <v>46</v>
      </c>
      <c r="X267" s="134"/>
      <c r="AA267" s="125"/>
      <c r="AE267" s="135">
        <f t="shared" si="57"/>
        <v>0</v>
      </c>
      <c r="AF267" s="136">
        <f t="shared" si="58"/>
        <v>9.3132257461547852E-10</v>
      </c>
      <c r="AH267" s="125">
        <v>243</v>
      </c>
      <c r="AJ267" s="125">
        <v>0</v>
      </c>
    </row>
    <row r="268" spans="1:36" x14ac:dyDescent="0.2">
      <c r="B268" s="125" t="s">
        <v>114</v>
      </c>
      <c r="C268" s="153">
        <v>2675000</v>
      </c>
      <c r="D268" s="162">
        <v>-0.44</v>
      </c>
      <c r="E268" s="154"/>
      <c r="F268" s="162">
        <f>255402.95+12508.9+6918.83+51395+1530284.28+792620+5949.45+365.57+8437.42</f>
        <v>2663882.4</v>
      </c>
      <c r="G268" s="163">
        <f>[1]UMB!F310</f>
        <v>11117.15999999992</v>
      </c>
      <c r="H268" s="164">
        <f>[1]UMB!H310</f>
        <v>11117.16</v>
      </c>
      <c r="I268" s="163">
        <f>[2]UMB!I346</f>
        <v>0</v>
      </c>
      <c r="J268" s="163">
        <f>[2]UMB!J346</f>
        <v>0</v>
      </c>
      <c r="K268" s="163">
        <v>0</v>
      </c>
      <c r="L268" s="162">
        <f t="shared" ref="L268:L276" si="60">G268-H268-I268-J268-K268</f>
        <v>-8.0035533756017685E-11</v>
      </c>
      <c r="M268" s="162">
        <f t="shared" si="59"/>
        <v>0</v>
      </c>
      <c r="N268" s="162">
        <v>0</v>
      </c>
      <c r="O268" s="162">
        <v>11117.16</v>
      </c>
      <c r="P268" s="162"/>
      <c r="Q268" s="159" t="s">
        <v>161</v>
      </c>
      <c r="R268" s="159">
        <v>33</v>
      </c>
      <c r="S268" s="159" t="s">
        <v>160</v>
      </c>
      <c r="V268" s="125" t="s">
        <v>114</v>
      </c>
      <c r="W268" s="133">
        <v>47</v>
      </c>
      <c r="X268" s="134"/>
      <c r="AA268" s="125"/>
      <c r="AE268" s="135">
        <f t="shared" si="57"/>
        <v>0</v>
      </c>
      <c r="AF268" s="136">
        <f t="shared" si="58"/>
        <v>2.2919266484677792E-10</v>
      </c>
      <c r="AH268" s="125">
        <v>244</v>
      </c>
      <c r="AJ268" s="125">
        <v>11117.16</v>
      </c>
    </row>
    <row r="269" spans="1:36" x14ac:dyDescent="0.2">
      <c r="B269" s="125" t="s">
        <v>115</v>
      </c>
      <c r="C269" s="153">
        <v>642000</v>
      </c>
      <c r="D269" s="154"/>
      <c r="E269" s="154"/>
      <c r="F269" s="162">
        <f>467739.04+174260.96</f>
        <v>642000</v>
      </c>
      <c r="G269" s="163">
        <v>0</v>
      </c>
      <c r="H269" s="163">
        <v>0</v>
      </c>
      <c r="I269" s="164">
        <v>0</v>
      </c>
      <c r="J269" s="163">
        <f>[2]UMES!J137</f>
        <v>0</v>
      </c>
      <c r="K269" s="163">
        <v>0</v>
      </c>
      <c r="L269" s="162">
        <f t="shared" si="60"/>
        <v>0</v>
      </c>
      <c r="M269" s="162">
        <f t="shared" si="59"/>
        <v>0</v>
      </c>
      <c r="N269" s="162"/>
      <c r="O269" s="162">
        <v>0</v>
      </c>
      <c r="P269" s="162"/>
      <c r="Q269" s="159" t="s">
        <v>161</v>
      </c>
      <c r="R269" s="159">
        <v>33</v>
      </c>
      <c r="S269" s="159" t="s">
        <v>160</v>
      </c>
      <c r="V269" s="125" t="s">
        <v>115</v>
      </c>
      <c r="W269" s="133">
        <v>48</v>
      </c>
      <c r="X269" s="134"/>
      <c r="AA269" s="125"/>
      <c r="AB269" s="135">
        <v>174260.96</v>
      </c>
      <c r="AE269" s="135">
        <f t="shared" si="57"/>
        <v>174260.96</v>
      </c>
      <c r="AF269" s="136">
        <f t="shared" si="58"/>
        <v>0</v>
      </c>
      <c r="AH269" s="125">
        <v>245</v>
      </c>
      <c r="AJ269" s="125">
        <v>0</v>
      </c>
    </row>
    <row r="270" spans="1:36" x14ac:dyDescent="0.2">
      <c r="B270" s="125" t="s">
        <v>116</v>
      </c>
      <c r="C270" s="153">
        <v>1452000</v>
      </c>
      <c r="D270" s="154"/>
      <c r="E270" s="154"/>
      <c r="F270" s="162">
        <f>11398.09+376900.74+3678+387308.65+333834.19+133880.33+205000</f>
        <v>1452000</v>
      </c>
      <c r="G270" s="163">
        <v>0</v>
      </c>
      <c r="H270" s="163">
        <v>0</v>
      </c>
      <c r="I270" s="164">
        <v>0</v>
      </c>
      <c r="J270" s="163">
        <f>[2]UMBC!J128</f>
        <v>0</v>
      </c>
      <c r="K270" s="163">
        <v>0</v>
      </c>
      <c r="L270" s="162">
        <f t="shared" si="60"/>
        <v>0</v>
      </c>
      <c r="M270" s="162">
        <f t="shared" si="59"/>
        <v>0</v>
      </c>
      <c r="N270" s="162"/>
      <c r="O270" s="162">
        <v>0</v>
      </c>
      <c r="P270" s="162"/>
      <c r="Q270" s="159" t="s">
        <v>161</v>
      </c>
      <c r="R270" s="159">
        <v>33</v>
      </c>
      <c r="S270" s="159" t="s">
        <v>160</v>
      </c>
      <c r="V270" s="125" t="s">
        <v>116</v>
      </c>
      <c r="W270" s="133">
        <v>49</v>
      </c>
      <c r="X270" s="134"/>
      <c r="AA270" s="125"/>
      <c r="AB270" s="135">
        <v>205000</v>
      </c>
      <c r="AE270" s="135">
        <f t="shared" si="57"/>
        <v>205000</v>
      </c>
      <c r="AF270" s="136">
        <f t="shared" si="58"/>
        <v>0</v>
      </c>
      <c r="AH270" s="125">
        <v>246</v>
      </c>
      <c r="AJ270" s="125">
        <v>0</v>
      </c>
    </row>
    <row r="271" spans="1:36" x14ac:dyDescent="0.2">
      <c r="B271" s="125" t="s">
        <v>117</v>
      </c>
      <c r="C271" s="153">
        <v>317000</v>
      </c>
      <c r="D271" s="154"/>
      <c r="E271" s="154"/>
      <c r="F271" s="162">
        <f>155066.67+155318.95+6614.38</f>
        <v>317000</v>
      </c>
      <c r="G271" s="163">
        <v>0</v>
      </c>
      <c r="H271" s="163">
        <v>0</v>
      </c>
      <c r="I271" s="164">
        <v>0</v>
      </c>
      <c r="J271" s="163">
        <f>[2]UMCES!J143</f>
        <v>0</v>
      </c>
      <c r="K271" s="163">
        <v>0</v>
      </c>
      <c r="L271" s="162">
        <f t="shared" si="60"/>
        <v>0</v>
      </c>
      <c r="M271" s="162">
        <f t="shared" si="59"/>
        <v>0</v>
      </c>
      <c r="N271" s="162"/>
      <c r="O271" s="162">
        <v>0</v>
      </c>
      <c r="P271" s="162"/>
      <c r="Q271" s="159" t="s">
        <v>161</v>
      </c>
      <c r="R271" s="159">
        <v>33</v>
      </c>
      <c r="S271" s="159" t="s">
        <v>160</v>
      </c>
      <c r="V271" s="125" t="s">
        <v>117</v>
      </c>
      <c r="W271" s="133">
        <v>50</v>
      </c>
      <c r="X271" s="134"/>
      <c r="AA271" s="125"/>
      <c r="AE271" s="135">
        <f t="shared" si="57"/>
        <v>0</v>
      </c>
      <c r="AF271" s="136">
        <f t="shared" si="58"/>
        <v>0</v>
      </c>
      <c r="AH271" s="125">
        <v>247</v>
      </c>
      <c r="AJ271" s="125">
        <v>0</v>
      </c>
    </row>
    <row r="272" spans="1:36" x14ac:dyDescent="0.2">
      <c r="B272" s="125" t="s">
        <v>118</v>
      </c>
      <c r="C272" s="153">
        <v>554000</v>
      </c>
      <c r="D272" s="154"/>
      <c r="E272" s="154"/>
      <c r="F272" s="162">
        <f>13775+173037.91+61664+305523.09</f>
        <v>554000</v>
      </c>
      <c r="G272" s="163">
        <v>0</v>
      </c>
      <c r="H272" s="163">
        <v>0</v>
      </c>
      <c r="I272" s="164">
        <v>0</v>
      </c>
      <c r="J272" s="163">
        <f>[2]BSU!J130</f>
        <v>0</v>
      </c>
      <c r="K272" s="163">
        <v>0</v>
      </c>
      <c r="L272" s="162">
        <f t="shared" si="60"/>
        <v>0</v>
      </c>
      <c r="M272" s="162">
        <f t="shared" si="59"/>
        <v>0</v>
      </c>
      <c r="N272" s="162"/>
      <c r="O272" s="162">
        <v>0</v>
      </c>
      <c r="P272" s="162"/>
      <c r="Q272" s="159" t="s">
        <v>161</v>
      </c>
      <c r="R272" s="159">
        <v>33</v>
      </c>
      <c r="S272" s="159" t="s">
        <v>160</v>
      </c>
      <c r="V272" s="125" t="s">
        <v>118</v>
      </c>
      <c r="W272" s="133">
        <v>51</v>
      </c>
      <c r="X272" s="134"/>
      <c r="AA272" s="125"/>
      <c r="AE272" s="135">
        <f t="shared" si="57"/>
        <v>0</v>
      </c>
      <c r="AF272" s="136">
        <f t="shared" si="58"/>
        <v>0</v>
      </c>
      <c r="AH272" s="125">
        <v>248</v>
      </c>
      <c r="AJ272" s="125">
        <v>0</v>
      </c>
    </row>
    <row r="273" spans="1:36" x14ac:dyDescent="0.2">
      <c r="B273" s="125" t="s">
        <v>119</v>
      </c>
      <c r="C273" s="153">
        <v>409000</v>
      </c>
      <c r="D273" s="154"/>
      <c r="E273" s="154"/>
      <c r="F273" s="162">
        <f>241560+167440</f>
        <v>409000</v>
      </c>
      <c r="G273" s="163">
        <v>0</v>
      </c>
      <c r="H273" s="163">
        <v>0</v>
      </c>
      <c r="I273" s="164">
        <v>0</v>
      </c>
      <c r="J273" s="163">
        <f>[2]CSU!J187</f>
        <v>0</v>
      </c>
      <c r="K273" s="163">
        <v>0</v>
      </c>
      <c r="L273" s="162">
        <f t="shared" si="60"/>
        <v>0</v>
      </c>
      <c r="M273" s="162">
        <f t="shared" si="59"/>
        <v>0</v>
      </c>
      <c r="N273" s="162"/>
      <c r="O273" s="162">
        <v>0</v>
      </c>
      <c r="P273" s="162"/>
      <c r="Q273" s="159" t="s">
        <v>161</v>
      </c>
      <c r="R273" s="159">
        <v>33</v>
      </c>
      <c r="S273" s="159" t="s">
        <v>160</v>
      </c>
      <c r="V273" s="125" t="s">
        <v>119</v>
      </c>
      <c r="W273" s="133">
        <v>52</v>
      </c>
      <c r="X273" s="134"/>
      <c r="AA273" s="125"/>
      <c r="AE273" s="135">
        <f t="shared" si="57"/>
        <v>0</v>
      </c>
      <c r="AF273" s="136">
        <f t="shared" si="58"/>
        <v>0</v>
      </c>
      <c r="AH273" s="125">
        <v>249</v>
      </c>
      <c r="AJ273" s="125">
        <v>0</v>
      </c>
    </row>
    <row r="274" spans="1:36" x14ac:dyDescent="0.2">
      <c r="B274" s="125" t="s">
        <v>120</v>
      </c>
      <c r="C274" s="153">
        <v>645000</v>
      </c>
      <c r="D274" s="162">
        <v>-123.84</v>
      </c>
      <c r="E274" s="154"/>
      <c r="F274" s="162">
        <f>149747.86+233123.53+236648.98+10887.79+14468</f>
        <v>644876.16</v>
      </c>
      <c r="G274" s="163">
        <v>0</v>
      </c>
      <c r="H274" s="163">
        <v>0</v>
      </c>
      <c r="I274" s="164">
        <v>0</v>
      </c>
      <c r="J274" s="163">
        <f>[2]FSU!J160</f>
        <v>0</v>
      </c>
      <c r="K274" s="163">
        <v>0</v>
      </c>
      <c r="L274" s="162">
        <f t="shared" si="60"/>
        <v>0</v>
      </c>
      <c r="M274" s="162">
        <f t="shared" si="59"/>
        <v>0</v>
      </c>
      <c r="N274" s="162"/>
      <c r="O274" s="162">
        <v>0</v>
      </c>
      <c r="P274" s="162"/>
      <c r="Q274" s="159" t="s">
        <v>161</v>
      </c>
      <c r="R274" s="159">
        <v>33</v>
      </c>
      <c r="S274" s="159" t="s">
        <v>160</v>
      </c>
      <c r="V274" s="125" t="s">
        <v>120</v>
      </c>
      <c r="W274" s="133">
        <v>53</v>
      </c>
      <c r="X274" s="134"/>
      <c r="AA274" s="125"/>
      <c r="AE274" s="135">
        <f t="shared" si="57"/>
        <v>0</v>
      </c>
      <c r="AF274" s="136">
        <f t="shared" si="58"/>
        <v>0</v>
      </c>
      <c r="AH274" s="125">
        <v>250</v>
      </c>
      <c r="AJ274" s="125">
        <v>0</v>
      </c>
    </row>
    <row r="275" spans="1:36" x14ac:dyDescent="0.2">
      <c r="B275" s="125" t="s">
        <v>137</v>
      </c>
      <c r="C275" s="153">
        <v>536000</v>
      </c>
      <c r="D275" s="154"/>
      <c r="E275" s="154"/>
      <c r="F275" s="162">
        <f>9769.18+136034.79+390196.03</f>
        <v>536000</v>
      </c>
      <c r="G275" s="163">
        <v>0</v>
      </c>
      <c r="H275" s="163">
        <v>0</v>
      </c>
      <c r="I275" s="164">
        <v>0</v>
      </c>
      <c r="J275" s="163">
        <f>[2]SU!J143</f>
        <v>0</v>
      </c>
      <c r="K275" s="163">
        <v>0</v>
      </c>
      <c r="L275" s="162">
        <f t="shared" si="60"/>
        <v>0</v>
      </c>
      <c r="M275" s="162">
        <f t="shared" si="59"/>
        <v>0</v>
      </c>
      <c r="N275" s="162"/>
      <c r="O275" s="162">
        <v>0</v>
      </c>
      <c r="P275" s="162"/>
      <c r="Q275" s="159" t="s">
        <v>161</v>
      </c>
      <c r="R275" s="159">
        <v>33</v>
      </c>
      <c r="S275" s="159" t="s">
        <v>160</v>
      </c>
      <c r="V275" s="125" t="s">
        <v>137</v>
      </c>
      <c r="W275" s="133">
        <v>54</v>
      </c>
      <c r="X275" s="134"/>
      <c r="AA275" s="125"/>
      <c r="AE275" s="135">
        <f t="shared" si="57"/>
        <v>0</v>
      </c>
      <c r="AF275" s="136">
        <f t="shared" si="58"/>
        <v>0</v>
      </c>
      <c r="AH275" s="125">
        <v>251</v>
      </c>
      <c r="AJ275" s="125">
        <v>0</v>
      </c>
    </row>
    <row r="276" spans="1:36" x14ac:dyDescent="0.2">
      <c r="B276" s="125" t="s">
        <v>122</v>
      </c>
      <c r="C276" s="153">
        <v>1589000</v>
      </c>
      <c r="D276" s="154"/>
      <c r="E276" s="154"/>
      <c r="F276" s="162">
        <f>13876.75+13876.75+372246.5+900000+276250+12750</f>
        <v>1589000</v>
      </c>
      <c r="G276" s="163">
        <v>0</v>
      </c>
      <c r="H276" s="163">
        <v>0</v>
      </c>
      <c r="I276" s="164">
        <v>0</v>
      </c>
      <c r="J276" s="163">
        <f>[2]TU!J315+[2]TU!J321+[2]TU!J328</f>
        <v>0</v>
      </c>
      <c r="K276" s="163">
        <v>0</v>
      </c>
      <c r="L276" s="162">
        <f t="shared" si="60"/>
        <v>0</v>
      </c>
      <c r="M276" s="162">
        <f t="shared" si="59"/>
        <v>0</v>
      </c>
      <c r="N276" s="162"/>
      <c r="O276" s="162">
        <v>0</v>
      </c>
      <c r="P276" s="162"/>
      <c r="Q276" s="159" t="s">
        <v>161</v>
      </c>
      <c r="R276" s="159">
        <v>33</v>
      </c>
      <c r="S276" s="159" t="s">
        <v>160</v>
      </c>
      <c r="V276" s="125" t="s">
        <v>122</v>
      </c>
      <c r="W276" s="133">
        <v>55</v>
      </c>
      <c r="X276" s="134"/>
      <c r="AA276" s="125"/>
      <c r="AE276" s="135">
        <f t="shared" si="57"/>
        <v>0</v>
      </c>
      <c r="AF276" s="136">
        <f t="shared" si="58"/>
        <v>0</v>
      </c>
      <c r="AH276" s="125">
        <v>252</v>
      </c>
      <c r="AJ276" s="125">
        <v>0</v>
      </c>
    </row>
    <row r="277" spans="1:36" x14ac:dyDescent="0.2">
      <c r="B277" s="125" t="s">
        <v>123</v>
      </c>
      <c r="C277" s="153">
        <v>418000</v>
      </c>
      <c r="D277" s="154"/>
      <c r="E277" s="154"/>
      <c r="F277" s="162">
        <v>418000</v>
      </c>
      <c r="G277" s="163">
        <v>0</v>
      </c>
      <c r="H277" s="163">
        <v>0</v>
      </c>
      <c r="I277" s="164">
        <v>0</v>
      </c>
      <c r="J277" s="163">
        <f>[2]UB!J145</f>
        <v>0</v>
      </c>
      <c r="K277" s="163">
        <v>0</v>
      </c>
      <c r="L277" s="162">
        <f>G277-H277-I277-J277</f>
        <v>0</v>
      </c>
      <c r="M277" s="162">
        <f t="shared" si="59"/>
        <v>0</v>
      </c>
      <c r="N277" s="162"/>
      <c r="O277" s="162">
        <v>0</v>
      </c>
      <c r="P277" s="162"/>
      <c r="Q277" s="159" t="s">
        <v>161</v>
      </c>
      <c r="R277" s="159">
        <v>33</v>
      </c>
      <c r="S277" s="159" t="s">
        <v>160</v>
      </c>
      <c r="V277" s="125" t="s">
        <v>123</v>
      </c>
      <c r="W277" s="133">
        <v>56</v>
      </c>
      <c r="X277" s="134"/>
      <c r="AA277" s="125"/>
      <c r="AE277" s="135">
        <f t="shared" si="57"/>
        <v>0</v>
      </c>
      <c r="AF277" s="136">
        <f t="shared" si="58"/>
        <v>0</v>
      </c>
      <c r="AH277" s="125">
        <v>253</v>
      </c>
      <c r="AJ277" s="125">
        <v>0</v>
      </c>
    </row>
    <row r="278" spans="1:36" x14ac:dyDescent="0.2">
      <c r="B278" s="165" t="s">
        <v>127</v>
      </c>
      <c r="C278" s="153">
        <v>463000</v>
      </c>
      <c r="D278" s="167"/>
      <c r="E278" s="167">
        <f>7473.73+143543.54+140950.06+80486.28+307.72+1573.79+225393.78+161515+6500+43000+48474-24985+400000-95042.36-352416-347584-73000-829190.54</f>
        <v>-463000.00000000023</v>
      </c>
      <c r="F278" s="167"/>
      <c r="G278" s="163"/>
      <c r="H278" s="163"/>
      <c r="I278" s="163"/>
      <c r="J278" s="163"/>
      <c r="K278" s="163"/>
      <c r="L278" s="162"/>
      <c r="M278" s="162">
        <f t="shared" si="59"/>
        <v>0</v>
      </c>
      <c r="N278" s="162"/>
      <c r="O278" s="162"/>
      <c r="P278" s="162"/>
      <c r="Q278" s="159" t="s">
        <v>161</v>
      </c>
      <c r="R278" s="159">
        <v>33</v>
      </c>
      <c r="S278" s="159" t="s">
        <v>160</v>
      </c>
      <c r="V278" s="165" t="s">
        <v>127</v>
      </c>
      <c r="W278" s="133">
        <v>57</v>
      </c>
      <c r="X278" s="134"/>
      <c r="AA278" s="125"/>
      <c r="AE278" s="135">
        <f t="shared" si="57"/>
        <v>0</v>
      </c>
      <c r="AF278" s="136">
        <f t="shared" si="58"/>
        <v>-2.3283064365386963E-10</v>
      </c>
      <c r="AH278" s="125">
        <v>254</v>
      </c>
    </row>
    <row r="279" spans="1:36" x14ac:dyDescent="0.2">
      <c r="B279" s="125" t="s">
        <v>195</v>
      </c>
      <c r="C279" s="153"/>
      <c r="D279" s="132"/>
      <c r="E279" s="162">
        <v>95042.36</v>
      </c>
      <c r="F279" s="167">
        <f>18164+76878.36</f>
        <v>95042.36</v>
      </c>
      <c r="G279" s="163">
        <v>0</v>
      </c>
      <c r="H279" s="163">
        <v>0</v>
      </c>
      <c r="I279" s="164">
        <v>0</v>
      </c>
      <c r="J279" s="163">
        <f>[2]UMB!J32</f>
        <v>0</v>
      </c>
      <c r="K279" s="163">
        <v>0</v>
      </c>
      <c r="L279" s="162">
        <f>G279-H279-I279-J279-K279</f>
        <v>0</v>
      </c>
      <c r="M279" s="162">
        <f t="shared" si="59"/>
        <v>0</v>
      </c>
      <c r="N279" s="162"/>
      <c r="O279" s="162">
        <v>0</v>
      </c>
      <c r="P279" s="162"/>
      <c r="Q279" s="159" t="s">
        <v>161</v>
      </c>
      <c r="R279" s="159">
        <v>33</v>
      </c>
      <c r="S279" s="159" t="s">
        <v>160</v>
      </c>
      <c r="V279" s="125" t="s">
        <v>195</v>
      </c>
      <c r="W279" s="133"/>
      <c r="X279" s="134"/>
      <c r="AA279" s="125"/>
      <c r="AE279" s="135">
        <f t="shared" si="57"/>
        <v>0</v>
      </c>
      <c r="AF279" s="136">
        <f t="shared" si="58"/>
        <v>0</v>
      </c>
      <c r="AH279" s="125">
        <v>255</v>
      </c>
      <c r="AJ279" s="125">
        <v>0</v>
      </c>
    </row>
    <row r="280" spans="1:36" x14ac:dyDescent="0.2">
      <c r="B280" s="125" t="s">
        <v>196</v>
      </c>
      <c r="C280" s="153"/>
      <c r="D280" s="132"/>
      <c r="E280" s="162">
        <v>24985</v>
      </c>
      <c r="F280" s="167">
        <v>24985</v>
      </c>
      <c r="G280" s="163">
        <v>0</v>
      </c>
      <c r="H280" s="163">
        <v>0</v>
      </c>
      <c r="I280" s="164">
        <v>0</v>
      </c>
      <c r="J280" s="163">
        <f>[2]UMBC!J8</f>
        <v>0</v>
      </c>
      <c r="K280" s="163">
        <v>0</v>
      </c>
      <c r="L280" s="162">
        <f>G280-H280-I280-J280-K280</f>
        <v>0</v>
      </c>
      <c r="M280" s="162">
        <f t="shared" si="59"/>
        <v>0</v>
      </c>
      <c r="N280" s="162"/>
      <c r="O280" s="162">
        <v>0</v>
      </c>
      <c r="P280" s="162"/>
      <c r="Q280" s="159" t="s">
        <v>161</v>
      </c>
      <c r="R280" s="159">
        <v>33</v>
      </c>
      <c r="S280" s="159" t="s">
        <v>160</v>
      </c>
      <c r="V280" s="125" t="s">
        <v>196</v>
      </c>
      <c r="W280" s="133">
        <v>58</v>
      </c>
      <c r="X280" s="134"/>
      <c r="AA280" s="125"/>
      <c r="AE280" s="135">
        <f t="shared" si="57"/>
        <v>0</v>
      </c>
      <c r="AF280" s="136">
        <f t="shared" si="58"/>
        <v>0</v>
      </c>
      <c r="AH280" s="125">
        <v>256</v>
      </c>
      <c r="AJ280" s="125">
        <v>0</v>
      </c>
    </row>
    <row r="281" spans="1:36" x14ac:dyDescent="0.2">
      <c r="B281" s="125" t="s">
        <v>197</v>
      </c>
      <c r="C281" s="153"/>
      <c r="D281" s="131"/>
      <c r="E281" s="162">
        <f>352416+194040.47</f>
        <v>546456.47</v>
      </c>
      <c r="F281" s="167">
        <f>8359.4+401330.82+136713.16+53.09</f>
        <v>546456.47</v>
      </c>
      <c r="G281" s="163">
        <v>0</v>
      </c>
      <c r="H281" s="163">
        <v>0</v>
      </c>
      <c r="I281" s="164">
        <v>0</v>
      </c>
      <c r="J281" s="163">
        <f>[2]UMCES!J32</f>
        <v>0</v>
      </c>
      <c r="K281" s="163">
        <v>0</v>
      </c>
      <c r="L281" s="162">
        <f>G281-H281-I281-J281-K281</f>
        <v>0</v>
      </c>
      <c r="M281" s="162">
        <f t="shared" si="59"/>
        <v>0</v>
      </c>
      <c r="N281" s="162"/>
      <c r="O281" s="162">
        <v>0</v>
      </c>
      <c r="P281" s="162"/>
      <c r="Q281" s="159" t="s">
        <v>161</v>
      </c>
      <c r="R281" s="159">
        <v>33</v>
      </c>
      <c r="S281" s="159" t="s">
        <v>160</v>
      </c>
      <c r="V281" s="125" t="s">
        <v>197</v>
      </c>
      <c r="W281" s="133"/>
      <c r="X281" s="134"/>
      <c r="AA281" s="125"/>
      <c r="AE281" s="135">
        <f t="shared" si="57"/>
        <v>0</v>
      </c>
      <c r="AF281" s="136">
        <f t="shared" si="58"/>
        <v>0</v>
      </c>
      <c r="AH281" s="125">
        <v>257</v>
      </c>
      <c r="AJ281" s="125">
        <v>0</v>
      </c>
    </row>
    <row r="282" spans="1:36" x14ac:dyDescent="0.2">
      <c r="B282" s="125" t="s">
        <v>198</v>
      </c>
      <c r="C282" s="153"/>
      <c r="D282" s="132"/>
      <c r="E282" s="162">
        <v>347584</v>
      </c>
      <c r="F282" s="163">
        <v>347584</v>
      </c>
      <c r="G282" s="163">
        <v>0</v>
      </c>
      <c r="H282" s="163">
        <v>0</v>
      </c>
      <c r="I282" s="164">
        <v>0</v>
      </c>
      <c r="J282" s="163">
        <f>[2]UMCES!J38</f>
        <v>0</v>
      </c>
      <c r="K282" s="163">
        <v>0</v>
      </c>
      <c r="L282" s="162">
        <f>G282-H282-I282-J282-K282</f>
        <v>0</v>
      </c>
      <c r="M282" s="162">
        <f t="shared" si="59"/>
        <v>0</v>
      </c>
      <c r="N282" s="162"/>
      <c r="O282" s="162">
        <v>0</v>
      </c>
      <c r="P282" s="162"/>
      <c r="Q282" s="159" t="s">
        <v>161</v>
      </c>
      <c r="R282" s="159">
        <v>33</v>
      </c>
      <c r="S282" s="159" t="s">
        <v>160</v>
      </c>
      <c r="V282" s="125" t="s">
        <v>198</v>
      </c>
      <c r="W282" s="133"/>
      <c r="X282" s="134"/>
      <c r="AA282" s="125"/>
      <c r="AE282" s="135">
        <f t="shared" si="57"/>
        <v>0</v>
      </c>
      <c r="AF282" s="136">
        <f t="shared" si="58"/>
        <v>0</v>
      </c>
      <c r="AH282" s="125">
        <v>258</v>
      </c>
      <c r="AJ282" s="125">
        <v>0</v>
      </c>
    </row>
    <row r="283" spans="1:36" x14ac:dyDescent="0.2">
      <c r="B283" s="125" t="s">
        <v>199</v>
      </c>
      <c r="C283" s="153"/>
      <c r="D283" s="132"/>
      <c r="E283" s="162">
        <v>73000</v>
      </c>
      <c r="F283" s="167">
        <f>63198.5+1789.6+8011.9</f>
        <v>73000</v>
      </c>
      <c r="G283" s="163">
        <v>0</v>
      </c>
      <c r="H283" s="163">
        <v>0</v>
      </c>
      <c r="I283" s="164">
        <v>0</v>
      </c>
      <c r="J283" s="163">
        <f>[2]CSU!J29</f>
        <v>0</v>
      </c>
      <c r="K283" s="163">
        <v>0</v>
      </c>
      <c r="L283" s="162">
        <f>G283-H283-I283-J283-K283</f>
        <v>0</v>
      </c>
      <c r="M283" s="162">
        <f t="shared" si="59"/>
        <v>0</v>
      </c>
      <c r="N283" s="162"/>
      <c r="O283" s="162">
        <v>0</v>
      </c>
      <c r="P283" s="162"/>
      <c r="Q283" s="159" t="s">
        <v>161</v>
      </c>
      <c r="R283" s="159">
        <v>33</v>
      </c>
      <c r="S283" s="159" t="s">
        <v>160</v>
      </c>
      <c r="V283" s="125"/>
      <c r="W283" s="133"/>
      <c r="X283" s="134"/>
      <c r="AA283" s="125"/>
      <c r="AE283" s="135">
        <f t="shared" si="57"/>
        <v>0</v>
      </c>
      <c r="AF283" s="136">
        <f t="shared" si="58"/>
        <v>0</v>
      </c>
      <c r="AH283" s="125">
        <v>259</v>
      </c>
      <c r="AJ283" s="125">
        <v>0</v>
      </c>
    </row>
    <row r="284" spans="1:36" x14ac:dyDescent="0.2">
      <c r="C284" s="153"/>
      <c r="D284" s="154"/>
      <c r="E284" s="154"/>
      <c r="F284" s="162"/>
      <c r="G284" s="156"/>
      <c r="H284" s="157"/>
      <c r="I284" s="156"/>
      <c r="J284" s="156"/>
      <c r="K284" s="156"/>
      <c r="L284" s="154"/>
      <c r="M284" s="154"/>
      <c r="N284" s="154"/>
      <c r="O284" s="154"/>
      <c r="P284" s="154"/>
      <c r="S284" s="159"/>
      <c r="V284" s="125"/>
      <c r="W284" s="133">
        <v>59</v>
      </c>
      <c r="X284" s="134"/>
      <c r="AA284" s="125"/>
      <c r="AE284" s="135"/>
      <c r="AF284" s="135"/>
      <c r="AH284" s="125">
        <v>260</v>
      </c>
    </row>
    <row r="285" spans="1:36" ht="13.5" thickBot="1" x14ac:dyDescent="0.25">
      <c r="B285" s="168" t="s">
        <v>200</v>
      </c>
      <c r="C285" s="169">
        <f t="shared" ref="C285:K285" si="61">SUM(C265:C284)</f>
        <v>27000000</v>
      </c>
      <c r="D285" s="169">
        <f t="shared" si="61"/>
        <v>-1769799.57</v>
      </c>
      <c r="E285" s="169">
        <f>SUM(E265:E284)</f>
        <v>624067.82999999973</v>
      </c>
      <c r="F285" s="169">
        <f>SUM(F265:F284)</f>
        <v>25843151.099999998</v>
      </c>
      <c r="G285" s="169">
        <f>SUM(G265:G284)</f>
        <v>11117.15999999992</v>
      </c>
      <c r="H285" s="193">
        <f>SUM(H268:H283)</f>
        <v>11117.16</v>
      </c>
      <c r="I285" s="169">
        <f t="shared" si="61"/>
        <v>0</v>
      </c>
      <c r="J285" s="169">
        <f>SUM(J265:J284)</f>
        <v>0</v>
      </c>
      <c r="K285" s="169">
        <f t="shared" si="61"/>
        <v>0</v>
      </c>
      <c r="L285" s="169">
        <f>SUM(L268:L283)</f>
        <v>-8.0035533756017685E-11</v>
      </c>
      <c r="M285" s="169">
        <f>SUM(M268:M283)</f>
        <v>0</v>
      </c>
      <c r="N285" s="169">
        <f>SUM(N265:N284)</f>
        <v>0</v>
      </c>
      <c r="O285" s="169">
        <f>SUM(O265:O284)</f>
        <v>11117.16</v>
      </c>
      <c r="P285" s="153"/>
      <c r="S285" s="159"/>
      <c r="V285" s="168" t="s">
        <v>200</v>
      </c>
      <c r="W285" s="133">
        <v>60</v>
      </c>
      <c r="X285" s="134"/>
      <c r="AA285" s="125"/>
      <c r="AB285" s="169">
        <f>SUM(AB265:AB284)</f>
        <v>425415.17</v>
      </c>
      <c r="AC285" s="169">
        <f>SUM(AC265:AC284)</f>
        <v>0</v>
      </c>
      <c r="AD285" s="169">
        <f>SUM(AD265:AD284)</f>
        <v>0</v>
      </c>
      <c r="AE285" s="169">
        <f>SUM(AE265:AE284)</f>
        <v>425415.17</v>
      </c>
      <c r="AF285" s="136">
        <f>C285+D285+E285-F285-G285</f>
        <v>2.2919266484677792E-10</v>
      </c>
      <c r="AH285" s="125">
        <v>261</v>
      </c>
      <c r="AJ285" s="125">
        <v>11117.16</v>
      </c>
    </row>
    <row r="286" spans="1:36" ht="13.5" thickTop="1" x14ac:dyDescent="0.2">
      <c r="C286" s="125"/>
      <c r="D286" s="153"/>
      <c r="E286" s="153"/>
      <c r="F286" s="162"/>
      <c r="G286" s="153"/>
      <c r="H286" s="166"/>
      <c r="I286" s="153"/>
      <c r="J286" s="153"/>
      <c r="K286" s="153"/>
      <c r="L286" s="153"/>
      <c r="M286" s="153"/>
      <c r="N286" s="153"/>
      <c r="O286" s="153"/>
      <c r="U286" s="165"/>
      <c r="AA286" s="153"/>
      <c r="AB286" s="153"/>
      <c r="AC286" s="153"/>
      <c r="AD286" s="153"/>
      <c r="AH286" s="125">
        <v>262</v>
      </c>
    </row>
    <row r="287" spans="1:36" x14ac:dyDescent="0.2">
      <c r="A287" s="165" t="s">
        <v>201</v>
      </c>
      <c r="C287" s="153"/>
      <c r="D287" s="154"/>
      <c r="E287" s="154"/>
      <c r="F287" s="162"/>
      <c r="G287" s="156"/>
      <c r="H287" s="157"/>
      <c r="I287" s="156"/>
      <c r="J287" s="156"/>
      <c r="K287" s="156"/>
      <c r="L287" s="154"/>
      <c r="M287" s="154"/>
      <c r="N287" s="154"/>
      <c r="O287" s="154"/>
      <c r="P287" s="154"/>
      <c r="S287" s="159"/>
      <c r="U287" s="165" t="s">
        <v>201</v>
      </c>
      <c r="V287" s="125"/>
      <c r="W287" s="133">
        <v>62</v>
      </c>
      <c r="X287" s="134"/>
      <c r="AA287" s="125"/>
      <c r="AE287" s="135"/>
      <c r="AF287" s="135"/>
      <c r="AH287" s="125">
        <v>263</v>
      </c>
    </row>
    <row r="288" spans="1:36" hidden="1" x14ac:dyDescent="0.2">
      <c r="B288" s="125" t="s">
        <v>202</v>
      </c>
      <c r="C288" s="153">
        <v>10000000</v>
      </c>
      <c r="D288" s="162">
        <v>-3587988.18</v>
      </c>
      <c r="E288" s="154"/>
      <c r="F288" s="162">
        <f>1490667.33+4228928.57+685640.92+6775</f>
        <v>6412011.8200000003</v>
      </c>
      <c r="G288" s="163">
        <v>0</v>
      </c>
      <c r="H288" s="164">
        <v>0</v>
      </c>
      <c r="I288" s="163">
        <v>0</v>
      </c>
      <c r="J288" s="163">
        <v>0</v>
      </c>
      <c r="K288" s="163">
        <v>0</v>
      </c>
      <c r="L288" s="162">
        <f>G288-H288-I288-J288-K288</f>
        <v>0</v>
      </c>
      <c r="M288" s="162"/>
      <c r="N288" s="162"/>
      <c r="O288" s="162">
        <f>H286+K286</f>
        <v>0</v>
      </c>
      <c r="P288" s="162"/>
      <c r="Q288" s="159">
        <v>12</v>
      </c>
      <c r="R288" s="194">
        <v>32</v>
      </c>
      <c r="S288" s="194" t="s">
        <v>160</v>
      </c>
      <c r="T288" s="195"/>
      <c r="V288" s="125" t="s">
        <v>202</v>
      </c>
      <c r="W288" s="133">
        <v>63</v>
      </c>
      <c r="X288" s="134"/>
      <c r="AA288" s="125"/>
      <c r="AE288" s="135">
        <f t="shared" ref="AE288:AE304" si="62">AB288+AC288+AD288</f>
        <v>0</v>
      </c>
      <c r="AF288" s="135"/>
      <c r="AH288" s="125">
        <v>264</v>
      </c>
      <c r="AJ288" s="125">
        <v>0</v>
      </c>
    </row>
    <row r="289" spans="2:36" x14ac:dyDescent="0.2">
      <c r="B289" s="165" t="s">
        <v>112</v>
      </c>
      <c r="C289" s="153"/>
      <c r="D289" s="154"/>
      <c r="E289" s="154"/>
      <c r="F289" s="162"/>
      <c r="G289" s="156"/>
      <c r="H289" s="157"/>
      <c r="I289" s="156"/>
      <c r="J289" s="156"/>
      <c r="K289" s="156"/>
      <c r="L289" s="162"/>
      <c r="M289" s="162"/>
      <c r="N289" s="162"/>
      <c r="O289" s="162"/>
      <c r="P289" s="162"/>
      <c r="S289" s="159"/>
      <c r="V289" s="165" t="s">
        <v>112</v>
      </c>
      <c r="W289" s="133">
        <v>64</v>
      </c>
      <c r="X289" s="134"/>
      <c r="AA289" s="125"/>
      <c r="AE289" s="135">
        <f t="shared" si="62"/>
        <v>0</v>
      </c>
      <c r="AF289" s="135"/>
      <c r="AH289" s="125">
        <v>265</v>
      </c>
    </row>
    <row r="290" spans="2:36" hidden="1" x14ac:dyDescent="0.2">
      <c r="B290" s="125" t="s">
        <v>113</v>
      </c>
      <c r="C290" s="153">
        <v>7300000</v>
      </c>
      <c r="D290" s="154"/>
      <c r="E290" s="154"/>
      <c r="F290" s="162">
        <f>1586225.13+1035205.6+2985974.53+1290489.45+235900.14+166205.15</f>
        <v>7300000</v>
      </c>
      <c r="G290" s="163">
        <v>0</v>
      </c>
      <c r="H290" s="164">
        <v>0</v>
      </c>
      <c r="I290" s="163">
        <v>0</v>
      </c>
      <c r="J290" s="163">
        <v>0</v>
      </c>
      <c r="K290" s="163">
        <v>0</v>
      </c>
      <c r="L290" s="162">
        <f>G290-H290-I290-J290</f>
        <v>0</v>
      </c>
      <c r="M290" s="162"/>
      <c r="N290" s="162"/>
      <c r="O290" s="162">
        <f>H290+I290+J290+K290</f>
        <v>0</v>
      </c>
      <c r="P290" s="162"/>
      <c r="Q290" s="159" t="s">
        <v>161</v>
      </c>
      <c r="R290" s="159">
        <v>32</v>
      </c>
      <c r="S290" s="159" t="s">
        <v>160</v>
      </c>
      <c r="V290" s="125" t="s">
        <v>113</v>
      </c>
      <c r="W290" s="133">
        <v>65</v>
      </c>
      <c r="X290" s="134"/>
      <c r="AA290" s="125"/>
      <c r="AE290" s="135">
        <f t="shared" si="62"/>
        <v>0</v>
      </c>
      <c r="AF290" s="135"/>
      <c r="AH290" s="125">
        <v>266</v>
      </c>
      <c r="AJ290" s="125">
        <v>0</v>
      </c>
    </row>
    <row r="291" spans="2:36" ht="13.5" customHeight="1" x14ac:dyDescent="0.2">
      <c r="B291" s="125" t="s">
        <v>114</v>
      </c>
      <c r="C291" s="153">
        <v>2674000</v>
      </c>
      <c r="E291" s="126">
        <v>-800000</v>
      </c>
      <c r="F291" s="167">
        <f>247579.5+271847.12+26480.3+18123.72+1798.8+65682.01+467252.3+681184.63+1679.43+51875.56+24575.41+271.73+679.68</f>
        <v>1859030.1899999997</v>
      </c>
      <c r="G291" s="163">
        <f>[1]UMB!F333</f>
        <v>14969.809999999772</v>
      </c>
      <c r="H291" s="164">
        <f>[1]UMB!H333</f>
        <v>14969.81</v>
      </c>
      <c r="I291" s="163">
        <v>0</v>
      </c>
      <c r="J291" s="163">
        <v>0</v>
      </c>
      <c r="K291" s="163">
        <v>0</v>
      </c>
      <c r="L291" s="162">
        <f t="shared" ref="L291:L300" si="63">G291-H291-I291-J291-K291</f>
        <v>-2.2737367544323206E-10</v>
      </c>
      <c r="M291" s="162">
        <f>H291-N291-O291</f>
        <v>0</v>
      </c>
      <c r="N291" s="162">
        <v>0</v>
      </c>
      <c r="O291" s="162">
        <v>14969.81</v>
      </c>
      <c r="P291" s="162"/>
      <c r="Q291" s="159" t="s">
        <v>161</v>
      </c>
      <c r="R291" s="159">
        <v>32</v>
      </c>
      <c r="S291" s="159" t="s">
        <v>160</v>
      </c>
      <c r="V291" s="125" t="s">
        <v>114</v>
      </c>
      <c r="W291" s="133">
        <v>66</v>
      </c>
      <c r="X291" s="134"/>
      <c r="AA291" s="125"/>
      <c r="AE291" s="135">
        <f t="shared" si="62"/>
        <v>0</v>
      </c>
      <c r="AF291" s="136">
        <f>C291+D291+E291-F291-G291</f>
        <v>5.1659299060702324E-10</v>
      </c>
      <c r="AH291" s="125">
        <v>267</v>
      </c>
      <c r="AJ291" s="125">
        <v>14969.81</v>
      </c>
    </row>
    <row r="292" spans="2:36" hidden="1" x14ac:dyDescent="0.2">
      <c r="B292" s="125" t="s">
        <v>115</v>
      </c>
      <c r="C292" s="153">
        <v>645000</v>
      </c>
      <c r="D292" s="154"/>
      <c r="E292" s="154"/>
      <c r="F292" s="162">
        <f>552010.38+92989.62</f>
        <v>645000</v>
      </c>
      <c r="G292" s="163">
        <v>0</v>
      </c>
      <c r="H292" s="164">
        <v>0</v>
      </c>
      <c r="I292" s="163">
        <v>0</v>
      </c>
      <c r="J292" s="163">
        <v>0</v>
      </c>
      <c r="K292" s="163">
        <v>0</v>
      </c>
      <c r="L292" s="162">
        <f t="shared" si="63"/>
        <v>0</v>
      </c>
      <c r="M292" s="162"/>
      <c r="N292" s="162"/>
      <c r="O292" s="162">
        <f t="shared" ref="O292:O300" si="64">H292+I292+J292+K292</f>
        <v>0</v>
      </c>
      <c r="P292" s="162"/>
      <c r="Q292" s="159" t="s">
        <v>161</v>
      </c>
      <c r="R292" s="159">
        <v>32</v>
      </c>
      <c r="S292" s="159" t="s">
        <v>160</v>
      </c>
      <c r="V292" s="125" t="s">
        <v>115</v>
      </c>
      <c r="W292" s="133">
        <v>67</v>
      </c>
      <c r="X292" s="134"/>
      <c r="AA292" s="125"/>
      <c r="AE292" s="135">
        <f t="shared" si="62"/>
        <v>0</v>
      </c>
      <c r="AF292" s="135"/>
      <c r="AH292" s="125">
        <v>268</v>
      </c>
      <c r="AJ292" s="125">
        <v>0</v>
      </c>
    </row>
    <row r="293" spans="2:36" hidden="1" x14ac:dyDescent="0.2">
      <c r="B293" s="125" t="s">
        <v>116</v>
      </c>
      <c r="C293" s="153">
        <v>1451000</v>
      </c>
      <c r="D293" s="162">
        <v>-0.4</v>
      </c>
      <c r="E293" s="154"/>
      <c r="F293" s="162">
        <f>72685.58+84332.3+18769.98+600591.65+200303.9+189111.37+27678.28+5000+96937.87+155588.67</f>
        <v>1450999.6</v>
      </c>
      <c r="G293" s="163">
        <v>0</v>
      </c>
      <c r="H293" s="164">
        <v>0</v>
      </c>
      <c r="I293" s="163">
        <v>0</v>
      </c>
      <c r="J293" s="163">
        <v>0</v>
      </c>
      <c r="K293" s="163">
        <v>0</v>
      </c>
      <c r="L293" s="162">
        <f t="shared" si="63"/>
        <v>0</v>
      </c>
      <c r="M293" s="162"/>
      <c r="N293" s="162"/>
      <c r="O293" s="162">
        <f t="shared" si="64"/>
        <v>0</v>
      </c>
      <c r="P293" s="162"/>
      <c r="Q293" s="159" t="s">
        <v>161</v>
      </c>
      <c r="R293" s="159">
        <v>32</v>
      </c>
      <c r="S293" s="159" t="s">
        <v>160</v>
      </c>
      <c r="V293" s="125" t="s">
        <v>116</v>
      </c>
      <c r="W293" s="133">
        <v>68</v>
      </c>
      <c r="X293" s="134"/>
      <c r="AA293" s="125"/>
      <c r="AB293" s="135">
        <v>155588.67000000001</v>
      </c>
      <c r="AE293" s="135">
        <f t="shared" si="62"/>
        <v>155588.67000000001</v>
      </c>
      <c r="AF293" s="135"/>
      <c r="AH293" s="125">
        <v>269</v>
      </c>
      <c r="AJ293" s="125">
        <v>0</v>
      </c>
    </row>
    <row r="294" spans="2:36" hidden="1" x14ac:dyDescent="0.2">
      <c r="B294" s="125" t="s">
        <v>117</v>
      </c>
      <c r="C294" s="153">
        <v>318000</v>
      </c>
      <c r="D294" s="154"/>
      <c r="E294" s="154"/>
      <c r="F294" s="162">
        <f>8056.72+39424.28+260025.8+4241+6252.2</f>
        <v>318000</v>
      </c>
      <c r="G294" s="163">
        <v>0</v>
      </c>
      <c r="H294" s="164">
        <v>0</v>
      </c>
      <c r="I294" s="163">
        <v>0</v>
      </c>
      <c r="J294" s="163">
        <v>0</v>
      </c>
      <c r="K294" s="163">
        <v>0</v>
      </c>
      <c r="L294" s="162">
        <f t="shared" si="63"/>
        <v>0</v>
      </c>
      <c r="M294" s="162"/>
      <c r="N294" s="162"/>
      <c r="O294" s="162">
        <f t="shared" si="64"/>
        <v>0</v>
      </c>
      <c r="P294" s="162"/>
      <c r="Q294" s="159" t="s">
        <v>161</v>
      </c>
      <c r="R294" s="159">
        <v>32</v>
      </c>
      <c r="S294" s="159" t="s">
        <v>160</v>
      </c>
      <c r="V294" s="125" t="s">
        <v>117</v>
      </c>
      <c r="W294" s="133">
        <v>69</v>
      </c>
      <c r="X294" s="134"/>
      <c r="AA294" s="125"/>
      <c r="AE294" s="135">
        <f t="shared" si="62"/>
        <v>0</v>
      </c>
      <c r="AF294" s="135"/>
      <c r="AH294" s="125">
        <v>270</v>
      </c>
      <c r="AJ294" s="125">
        <v>0</v>
      </c>
    </row>
    <row r="295" spans="2:36" hidden="1" x14ac:dyDescent="0.2">
      <c r="B295" s="125" t="s">
        <v>118</v>
      </c>
      <c r="C295" s="153">
        <v>660000</v>
      </c>
      <c r="D295" s="154"/>
      <c r="E295" s="154"/>
      <c r="F295" s="162">
        <f>7000+316983.72+195053.08+17200.1+123763.1</f>
        <v>659999.99999999988</v>
      </c>
      <c r="G295" s="163">
        <v>0</v>
      </c>
      <c r="H295" s="164">
        <v>0</v>
      </c>
      <c r="I295" s="163">
        <v>0</v>
      </c>
      <c r="J295" s="163">
        <v>0</v>
      </c>
      <c r="K295" s="163">
        <v>0</v>
      </c>
      <c r="L295" s="162">
        <f t="shared" si="63"/>
        <v>0</v>
      </c>
      <c r="M295" s="162"/>
      <c r="N295" s="162"/>
      <c r="O295" s="162">
        <f t="shared" si="64"/>
        <v>0</v>
      </c>
      <c r="P295" s="162"/>
      <c r="Q295" s="159" t="s">
        <v>161</v>
      </c>
      <c r="R295" s="159">
        <v>32</v>
      </c>
      <c r="S295" s="159" t="s">
        <v>160</v>
      </c>
      <c r="V295" s="125" t="s">
        <v>118</v>
      </c>
      <c r="W295" s="133">
        <v>70</v>
      </c>
      <c r="X295" s="134"/>
      <c r="AA295" s="125"/>
      <c r="AE295" s="135">
        <f t="shared" si="62"/>
        <v>0</v>
      </c>
      <c r="AF295" s="135"/>
      <c r="AH295" s="125">
        <v>271</v>
      </c>
      <c r="AJ295" s="125">
        <v>0</v>
      </c>
    </row>
    <row r="296" spans="2:36" hidden="1" x14ac:dyDescent="0.2">
      <c r="B296" s="125" t="s">
        <v>119</v>
      </c>
      <c r="C296" s="153">
        <v>410000</v>
      </c>
      <c r="D296" s="154"/>
      <c r="E296" s="154"/>
      <c r="F296" s="162">
        <f>286501.5+123498.5</f>
        <v>410000</v>
      </c>
      <c r="G296" s="163">
        <v>0</v>
      </c>
      <c r="H296" s="164">
        <v>0</v>
      </c>
      <c r="I296" s="163">
        <v>0</v>
      </c>
      <c r="J296" s="163">
        <v>0</v>
      </c>
      <c r="K296" s="163">
        <v>0</v>
      </c>
      <c r="L296" s="162">
        <f t="shared" si="63"/>
        <v>0</v>
      </c>
      <c r="M296" s="162"/>
      <c r="N296" s="162"/>
      <c r="O296" s="162">
        <f t="shared" si="64"/>
        <v>0</v>
      </c>
      <c r="P296" s="162"/>
      <c r="Q296" s="159" t="s">
        <v>161</v>
      </c>
      <c r="R296" s="159">
        <v>32</v>
      </c>
      <c r="S296" s="159" t="s">
        <v>160</v>
      </c>
      <c r="V296" s="125" t="s">
        <v>119</v>
      </c>
      <c r="W296" s="133">
        <v>71</v>
      </c>
      <c r="X296" s="134"/>
      <c r="AA296" s="125"/>
      <c r="AE296" s="135">
        <f t="shared" si="62"/>
        <v>0</v>
      </c>
      <c r="AF296" s="135"/>
      <c r="AH296" s="125">
        <v>272</v>
      </c>
      <c r="AJ296" s="125">
        <v>0</v>
      </c>
    </row>
    <row r="297" spans="2:36" hidden="1" x14ac:dyDescent="0.2">
      <c r="B297" s="125" t="s">
        <v>120</v>
      </c>
      <c r="C297" s="153">
        <v>645000</v>
      </c>
      <c r="D297" s="154"/>
      <c r="E297" s="154"/>
      <c r="F297" s="162">
        <f>314260.2+312045.14+13335+5359.66</f>
        <v>645000.00000000012</v>
      </c>
      <c r="G297" s="163">
        <v>0</v>
      </c>
      <c r="H297" s="164">
        <v>0</v>
      </c>
      <c r="I297" s="163">
        <v>0</v>
      </c>
      <c r="J297" s="163">
        <v>0</v>
      </c>
      <c r="K297" s="163">
        <f>[2]FSU!K170</f>
        <v>0</v>
      </c>
      <c r="L297" s="162">
        <f>G297-H297-I297-J297-K297</f>
        <v>0</v>
      </c>
      <c r="M297" s="162"/>
      <c r="N297" s="162"/>
      <c r="O297" s="162">
        <f t="shared" si="64"/>
        <v>0</v>
      </c>
      <c r="P297" s="162"/>
      <c r="Q297" s="159" t="s">
        <v>161</v>
      </c>
      <c r="R297" s="159">
        <v>32</v>
      </c>
      <c r="S297" s="159" t="s">
        <v>160</v>
      </c>
      <c r="V297" s="125" t="s">
        <v>120</v>
      </c>
      <c r="W297" s="133">
        <v>72</v>
      </c>
      <c r="X297" s="134"/>
      <c r="AA297" s="125"/>
      <c r="AE297" s="135">
        <f t="shared" si="62"/>
        <v>0</v>
      </c>
      <c r="AF297" s="135"/>
      <c r="AH297" s="125">
        <v>273</v>
      </c>
      <c r="AJ297" s="125">
        <v>0</v>
      </c>
    </row>
    <row r="298" spans="2:36" hidden="1" x14ac:dyDescent="0.2">
      <c r="B298" s="125" t="s">
        <v>137</v>
      </c>
      <c r="C298" s="153">
        <v>536000</v>
      </c>
      <c r="D298" s="154"/>
      <c r="E298" s="154"/>
      <c r="F298" s="162">
        <f>248700.5+287299.5</f>
        <v>536000</v>
      </c>
      <c r="G298" s="163">
        <v>0</v>
      </c>
      <c r="H298" s="164">
        <v>0</v>
      </c>
      <c r="I298" s="163">
        <v>0</v>
      </c>
      <c r="J298" s="163">
        <v>0</v>
      </c>
      <c r="K298" s="163">
        <f>[2]SU!K151</f>
        <v>0</v>
      </c>
      <c r="L298" s="162">
        <f t="shared" si="63"/>
        <v>0</v>
      </c>
      <c r="M298" s="162"/>
      <c r="N298" s="162"/>
      <c r="O298" s="162">
        <f t="shared" si="64"/>
        <v>0</v>
      </c>
      <c r="P298" s="162"/>
      <c r="Q298" s="159" t="s">
        <v>161</v>
      </c>
      <c r="R298" s="159">
        <v>32</v>
      </c>
      <c r="S298" s="159" t="s">
        <v>160</v>
      </c>
      <c r="V298" s="125" t="s">
        <v>137</v>
      </c>
      <c r="W298" s="133">
        <v>73</v>
      </c>
      <c r="X298" s="134"/>
      <c r="AA298" s="125"/>
      <c r="AE298" s="135">
        <f t="shared" si="62"/>
        <v>0</v>
      </c>
      <c r="AF298" s="135"/>
      <c r="AH298" s="125">
        <v>274</v>
      </c>
      <c r="AJ298" s="125">
        <v>0</v>
      </c>
    </row>
    <row r="299" spans="2:36" hidden="1" x14ac:dyDescent="0.2">
      <c r="B299" s="125" t="s">
        <v>122</v>
      </c>
      <c r="C299" s="153">
        <v>1589000</v>
      </c>
      <c r="D299" s="154"/>
      <c r="E299" s="154"/>
      <c r="F299" s="162">
        <f>1800+509723+84116.52+68578+170040.86+15741+3765+650035.62+75181.61+10018.39</f>
        <v>1589000</v>
      </c>
      <c r="G299" s="163">
        <v>0</v>
      </c>
      <c r="H299" s="164">
        <v>0</v>
      </c>
      <c r="I299" s="163">
        <v>0</v>
      </c>
      <c r="J299" s="163">
        <v>0</v>
      </c>
      <c r="K299" s="163">
        <v>0</v>
      </c>
      <c r="L299" s="162">
        <f t="shared" si="63"/>
        <v>0</v>
      </c>
      <c r="M299" s="162"/>
      <c r="N299" s="162"/>
      <c r="O299" s="162">
        <f t="shared" si="64"/>
        <v>0</v>
      </c>
      <c r="P299" s="162"/>
      <c r="Q299" s="159" t="s">
        <v>161</v>
      </c>
      <c r="R299" s="159">
        <v>32</v>
      </c>
      <c r="S299" s="159" t="s">
        <v>160</v>
      </c>
      <c r="V299" s="125" t="s">
        <v>122</v>
      </c>
      <c r="W299" s="133">
        <v>74</v>
      </c>
      <c r="X299" s="134"/>
      <c r="AA299" s="125"/>
      <c r="AB299" s="135">
        <v>75181.61</v>
      </c>
      <c r="AE299" s="135">
        <f t="shared" si="62"/>
        <v>75181.61</v>
      </c>
      <c r="AF299" s="135"/>
      <c r="AH299" s="125">
        <v>275</v>
      </c>
      <c r="AJ299" s="125">
        <v>0</v>
      </c>
    </row>
    <row r="300" spans="2:36" hidden="1" x14ac:dyDescent="0.2">
      <c r="B300" s="125" t="s">
        <v>123</v>
      </c>
      <c r="C300" s="153">
        <v>425000</v>
      </c>
      <c r="D300" s="154"/>
      <c r="E300" s="154"/>
      <c r="F300" s="162">
        <f>46860+128116+250024</f>
        <v>425000</v>
      </c>
      <c r="G300" s="163">
        <v>0</v>
      </c>
      <c r="H300" s="164">
        <v>0</v>
      </c>
      <c r="I300" s="163">
        <v>0</v>
      </c>
      <c r="J300" s="163">
        <v>0</v>
      </c>
      <c r="K300" s="163">
        <v>0</v>
      </c>
      <c r="L300" s="162">
        <f t="shared" si="63"/>
        <v>0</v>
      </c>
      <c r="M300" s="162"/>
      <c r="N300" s="162"/>
      <c r="O300" s="162">
        <f t="shared" si="64"/>
        <v>0</v>
      </c>
      <c r="P300" s="162"/>
      <c r="Q300" s="159" t="s">
        <v>161</v>
      </c>
      <c r="R300" s="159">
        <v>32</v>
      </c>
      <c r="S300" s="159" t="s">
        <v>160</v>
      </c>
      <c r="V300" s="125" t="s">
        <v>123</v>
      </c>
      <c r="W300" s="133">
        <v>75</v>
      </c>
      <c r="X300" s="134"/>
      <c r="AA300" s="125"/>
      <c r="AE300" s="135">
        <f t="shared" si="62"/>
        <v>0</v>
      </c>
      <c r="AF300" s="135"/>
      <c r="AH300" s="125">
        <v>276</v>
      </c>
      <c r="AJ300" s="125">
        <v>0</v>
      </c>
    </row>
    <row r="301" spans="2:36" hidden="1" x14ac:dyDescent="0.2">
      <c r="B301" s="165" t="s">
        <v>127</v>
      </c>
      <c r="C301" s="153">
        <v>347000</v>
      </c>
      <c r="D301" s="162"/>
      <c r="E301" s="162">
        <f>800000-800000-90000-175000-82000+80000-80000</f>
        <v>-347000</v>
      </c>
      <c r="F301" s="167"/>
      <c r="G301" s="163"/>
      <c r="H301" s="164"/>
      <c r="I301" s="163"/>
      <c r="J301" s="163"/>
      <c r="K301" s="163"/>
      <c r="L301" s="162"/>
      <c r="M301" s="162"/>
      <c r="N301" s="162"/>
      <c r="O301" s="162"/>
      <c r="P301" s="162"/>
      <c r="Q301" s="159" t="s">
        <v>161</v>
      </c>
      <c r="R301" s="159">
        <v>32</v>
      </c>
      <c r="S301" s="159" t="s">
        <v>160</v>
      </c>
      <c r="V301" s="165" t="s">
        <v>127</v>
      </c>
      <c r="W301" s="133">
        <v>76</v>
      </c>
      <c r="X301" s="134"/>
      <c r="AA301" s="125"/>
      <c r="AE301" s="135">
        <f t="shared" si="62"/>
        <v>0</v>
      </c>
      <c r="AF301" s="135"/>
      <c r="AH301" s="125">
        <v>277</v>
      </c>
    </row>
    <row r="302" spans="2:36" ht="12.75" hidden="1" customHeight="1" x14ac:dyDescent="0.2">
      <c r="B302" s="125" t="s">
        <v>203</v>
      </c>
      <c r="C302" s="153"/>
      <c r="E302" s="162">
        <v>800000</v>
      </c>
      <c r="F302" s="167">
        <f>81417.06+68250.66+63946.13+353280.72+105599.62+3987.61+108205.87+15312.33</f>
        <v>799999.99999999988</v>
      </c>
      <c r="G302" s="163">
        <v>0</v>
      </c>
      <c r="H302" s="164">
        <v>0</v>
      </c>
      <c r="I302" s="163">
        <v>0</v>
      </c>
      <c r="J302" s="163">
        <v>0</v>
      </c>
      <c r="K302" s="163">
        <v>0</v>
      </c>
      <c r="L302" s="162">
        <f>G302-H302-I302-J302-K302</f>
        <v>0</v>
      </c>
      <c r="M302" s="162"/>
      <c r="N302" s="162"/>
      <c r="O302" s="162">
        <f>H302+I302+J302+K302</f>
        <v>0</v>
      </c>
      <c r="P302" s="162"/>
      <c r="Q302" s="159" t="s">
        <v>161</v>
      </c>
      <c r="R302" s="159">
        <v>32</v>
      </c>
      <c r="S302" s="159" t="s">
        <v>160</v>
      </c>
      <c r="V302" s="125" t="s">
        <v>203</v>
      </c>
      <c r="W302" s="133">
        <v>77</v>
      </c>
      <c r="X302" s="134"/>
      <c r="AA302" s="125"/>
      <c r="AE302" s="135">
        <f t="shared" si="62"/>
        <v>0</v>
      </c>
      <c r="AF302" s="135"/>
      <c r="AH302" s="125">
        <v>278</v>
      </c>
      <c r="AJ302" s="125">
        <v>0</v>
      </c>
    </row>
    <row r="303" spans="2:36" hidden="1" x14ac:dyDescent="0.2">
      <c r="B303" s="125" t="s">
        <v>204</v>
      </c>
      <c r="C303" s="153"/>
      <c r="E303" s="162">
        <v>90000</v>
      </c>
      <c r="F303" s="167">
        <f>71795.27+18204.73</f>
        <v>90000</v>
      </c>
      <c r="G303" s="163">
        <v>0</v>
      </c>
      <c r="H303" s="164">
        <v>0</v>
      </c>
      <c r="I303" s="163">
        <v>0</v>
      </c>
      <c r="J303" s="163">
        <v>0</v>
      </c>
      <c r="K303" s="163">
        <v>0</v>
      </c>
      <c r="L303" s="162">
        <f>G303-H303-I303-J303-K303</f>
        <v>0</v>
      </c>
      <c r="M303" s="162"/>
      <c r="N303" s="162"/>
      <c r="O303" s="162">
        <f>H303+I303+J303+K303</f>
        <v>0</v>
      </c>
      <c r="P303" s="162"/>
      <c r="Q303" s="159" t="s">
        <v>161</v>
      </c>
      <c r="R303" s="159">
        <v>32</v>
      </c>
      <c r="S303" s="159" t="s">
        <v>160</v>
      </c>
      <c r="V303" s="125"/>
      <c r="W303" s="133"/>
      <c r="X303" s="134"/>
      <c r="AA303" s="125"/>
      <c r="AE303" s="135">
        <f t="shared" si="62"/>
        <v>0</v>
      </c>
      <c r="AF303" s="135"/>
      <c r="AH303" s="125">
        <v>279</v>
      </c>
      <c r="AJ303" s="125">
        <v>0</v>
      </c>
    </row>
    <row r="304" spans="2:36" hidden="1" x14ac:dyDescent="0.2">
      <c r="B304" s="125" t="s">
        <v>205</v>
      </c>
      <c r="C304" s="153"/>
      <c r="E304" s="162">
        <f>175000+80000</f>
        <v>255000</v>
      </c>
      <c r="F304" s="167">
        <f>248792.86+6207.14</f>
        <v>255000</v>
      </c>
      <c r="G304" s="163">
        <v>0</v>
      </c>
      <c r="H304" s="164">
        <v>0</v>
      </c>
      <c r="I304" s="163">
        <v>0</v>
      </c>
      <c r="J304" s="163">
        <v>0</v>
      </c>
      <c r="K304" s="163">
        <v>0</v>
      </c>
      <c r="L304" s="162">
        <f>G304-H304-I304-J304-K304</f>
        <v>0</v>
      </c>
      <c r="M304" s="162"/>
      <c r="N304" s="162"/>
      <c r="O304" s="162">
        <f>H304+I304+J304+K304</f>
        <v>0</v>
      </c>
      <c r="P304" s="162"/>
      <c r="Q304" s="159" t="s">
        <v>161</v>
      </c>
      <c r="R304" s="159">
        <v>32</v>
      </c>
      <c r="S304" s="159" t="s">
        <v>160</v>
      </c>
      <c r="V304" s="125"/>
      <c r="W304" s="133"/>
      <c r="X304" s="134"/>
      <c r="AA304" s="125"/>
      <c r="AE304" s="135">
        <f t="shared" si="62"/>
        <v>0</v>
      </c>
      <c r="AF304" s="135"/>
      <c r="AH304" s="125">
        <v>280</v>
      </c>
      <c r="AJ304" s="125">
        <v>0</v>
      </c>
    </row>
    <row r="305" spans="1:36" x14ac:dyDescent="0.2">
      <c r="B305" s="165"/>
      <c r="C305" s="153"/>
      <c r="D305" s="162"/>
      <c r="E305" s="154"/>
      <c r="F305" s="162"/>
      <c r="G305" s="156"/>
      <c r="H305" s="157"/>
      <c r="I305" s="156"/>
      <c r="J305" s="156"/>
      <c r="K305" s="156"/>
      <c r="L305" s="154"/>
      <c r="M305" s="154"/>
      <c r="N305" s="154"/>
      <c r="O305" s="154"/>
      <c r="P305" s="154"/>
      <c r="S305" s="159"/>
      <c r="V305" s="165"/>
      <c r="W305" s="133"/>
      <c r="X305" s="134"/>
      <c r="AA305" s="125"/>
      <c r="AE305" s="135"/>
      <c r="AF305" s="135"/>
      <c r="AH305" s="125">
        <v>281</v>
      </c>
    </row>
    <row r="306" spans="1:36" ht="13.5" thickBot="1" x14ac:dyDescent="0.25">
      <c r="B306" s="168" t="s">
        <v>206</v>
      </c>
      <c r="C306" s="169">
        <f>SUM(C288:C304)</f>
        <v>27000000</v>
      </c>
      <c r="D306" s="169">
        <f>SUM(D287:D304)</f>
        <v>-3587988.58</v>
      </c>
      <c r="E306" s="169">
        <f>SUM(E287:E304)</f>
        <v>-2000</v>
      </c>
      <c r="F306" s="192">
        <f t="shared" ref="F306:O306" si="65">SUM(F288:F304)</f>
        <v>23395041.609999999</v>
      </c>
      <c r="G306" s="169">
        <f t="shared" si="65"/>
        <v>14969.809999999772</v>
      </c>
      <c r="H306" s="193">
        <f t="shared" si="65"/>
        <v>14969.81</v>
      </c>
      <c r="I306" s="169">
        <f t="shared" si="65"/>
        <v>0</v>
      </c>
      <c r="J306" s="169">
        <f t="shared" si="65"/>
        <v>0</v>
      </c>
      <c r="K306" s="169">
        <f t="shared" si="65"/>
        <v>0</v>
      </c>
      <c r="L306" s="169">
        <f t="shared" si="65"/>
        <v>-2.2737367544323206E-10</v>
      </c>
      <c r="M306" s="169">
        <f t="shared" si="65"/>
        <v>0</v>
      </c>
      <c r="N306" s="169">
        <f t="shared" si="65"/>
        <v>0</v>
      </c>
      <c r="O306" s="169">
        <f t="shared" si="65"/>
        <v>14969.81</v>
      </c>
      <c r="P306" s="153"/>
      <c r="S306" s="159"/>
      <c r="V306" s="168" t="s">
        <v>206</v>
      </c>
      <c r="W306" s="133">
        <v>79</v>
      </c>
      <c r="X306" s="134"/>
      <c r="AA306" s="125"/>
      <c r="AB306" s="169">
        <f>SUM(AB288:AB304)</f>
        <v>230770.28000000003</v>
      </c>
      <c r="AC306" s="169">
        <f>SUM(AC288:AC304)</f>
        <v>0</v>
      </c>
      <c r="AD306" s="169">
        <f>SUM(AD288:AD304)</f>
        <v>0</v>
      </c>
      <c r="AE306" s="169">
        <f>SUM(AE288:AE304)</f>
        <v>230770.28000000003</v>
      </c>
      <c r="AF306" s="136">
        <f>C306+D306+E306-F306-G306</f>
        <v>2.6120687834918499E-9</v>
      </c>
      <c r="AH306" s="125">
        <v>282</v>
      </c>
      <c r="AJ306" s="125">
        <v>14969.81</v>
      </c>
    </row>
    <row r="307" spans="1:36" ht="13.5" thickTop="1" x14ac:dyDescent="0.2">
      <c r="B307" s="165"/>
      <c r="C307" s="153"/>
      <c r="D307" s="154"/>
      <c r="E307" s="154"/>
      <c r="F307" s="191"/>
      <c r="G307" s="156"/>
      <c r="H307" s="157"/>
      <c r="I307" s="156"/>
      <c r="J307" s="156"/>
      <c r="K307" s="156"/>
      <c r="L307" s="154"/>
      <c r="M307" s="154"/>
      <c r="N307" s="154"/>
      <c r="O307" s="154"/>
      <c r="U307" s="165"/>
      <c r="V307" s="133">
        <v>80</v>
      </c>
      <c r="AH307" s="125">
        <v>283</v>
      </c>
    </row>
    <row r="308" spans="1:36" x14ac:dyDescent="0.2">
      <c r="A308" s="165" t="s">
        <v>207</v>
      </c>
      <c r="C308" s="153"/>
      <c r="D308" s="154"/>
      <c r="E308" s="156"/>
      <c r="F308" s="162"/>
      <c r="G308" s="154"/>
      <c r="H308" s="158"/>
      <c r="I308" s="154"/>
      <c r="J308" s="154"/>
      <c r="K308" s="154"/>
      <c r="L308" s="154"/>
      <c r="M308" s="154"/>
      <c r="N308" s="154"/>
      <c r="O308" s="154"/>
      <c r="T308" s="165" t="s">
        <v>207</v>
      </c>
      <c r="V308" s="133">
        <v>81</v>
      </c>
      <c r="AD308" s="135">
        <f t="shared" ref="AD308:AD328" si="66">AA308+AB308+AC308</f>
        <v>0</v>
      </c>
      <c r="AH308" s="125">
        <v>284</v>
      </c>
    </row>
    <row r="309" spans="1:36" hidden="1" x14ac:dyDescent="0.2">
      <c r="A309" s="165"/>
      <c r="B309" s="125" t="s">
        <v>208</v>
      </c>
      <c r="C309" s="153">
        <v>9000000</v>
      </c>
      <c r="D309" s="154"/>
      <c r="E309" s="156"/>
      <c r="F309" s="162">
        <f>5977649.54+217797.59+2137758.66+6607.32+14930.21+31859.85+29432.82+5202.72+6795.29+69907.85+22554.51+6238.44+282835.57+163400.25+5340.99+21688.39</f>
        <v>9000000</v>
      </c>
      <c r="G309" s="163">
        <v>0</v>
      </c>
      <c r="H309" s="164">
        <v>0</v>
      </c>
      <c r="I309" s="163"/>
      <c r="J309" s="163">
        <v>0</v>
      </c>
      <c r="K309" s="163">
        <v>0</v>
      </c>
      <c r="L309" s="162">
        <f>G309-H309-I309-J309-K309</f>
        <v>0</v>
      </c>
      <c r="M309" s="162"/>
      <c r="N309" s="162"/>
      <c r="O309" s="162">
        <f>H309+I309+J309+K309</f>
        <v>0</v>
      </c>
      <c r="P309" s="159">
        <v>101</v>
      </c>
      <c r="Q309" s="159">
        <v>29</v>
      </c>
      <c r="R309" s="159" t="s">
        <v>160</v>
      </c>
      <c r="T309" s="165"/>
      <c r="U309" s="125" t="s">
        <v>208</v>
      </c>
      <c r="V309" s="133">
        <v>82</v>
      </c>
      <c r="AA309" s="135">
        <v>12233.54</v>
      </c>
      <c r="AB309" s="135">
        <v>3211.58</v>
      </c>
      <c r="AD309" s="135">
        <f t="shared" si="66"/>
        <v>15445.12</v>
      </c>
      <c r="AH309" s="125">
        <v>285</v>
      </c>
      <c r="AJ309" s="125">
        <v>0</v>
      </c>
    </row>
    <row r="310" spans="1:36" hidden="1" x14ac:dyDescent="0.2">
      <c r="A310" s="165"/>
      <c r="B310" s="125" t="s">
        <v>209</v>
      </c>
      <c r="C310" s="153">
        <v>1000000</v>
      </c>
      <c r="D310" s="154"/>
      <c r="E310" s="156"/>
      <c r="F310" s="162">
        <f>16000+12600+34902+936498</f>
        <v>1000000</v>
      </c>
      <c r="G310" s="163">
        <v>0</v>
      </c>
      <c r="H310" s="164">
        <v>0</v>
      </c>
      <c r="I310" s="163"/>
      <c r="J310" s="163">
        <v>0</v>
      </c>
      <c r="K310" s="163">
        <v>0</v>
      </c>
      <c r="L310" s="162">
        <f>G310-H310-I310-J310</f>
        <v>0</v>
      </c>
      <c r="M310" s="162"/>
      <c r="N310" s="162"/>
      <c r="O310" s="162">
        <f>H310+I310+J310+K310</f>
        <v>0</v>
      </c>
      <c r="P310" s="159">
        <v>13</v>
      </c>
      <c r="Q310" s="194">
        <v>29</v>
      </c>
      <c r="R310" s="194" t="s">
        <v>160</v>
      </c>
      <c r="T310" s="165"/>
      <c r="U310" s="125" t="s">
        <v>209</v>
      </c>
      <c r="V310" s="133">
        <v>83</v>
      </c>
      <c r="AD310" s="135">
        <f t="shared" si="66"/>
        <v>0</v>
      </c>
      <c r="AH310" s="125">
        <v>286</v>
      </c>
      <c r="AJ310" s="125">
        <v>0</v>
      </c>
    </row>
    <row r="311" spans="1:36" x14ac:dyDescent="0.2">
      <c r="A311" s="165"/>
      <c r="B311" s="165" t="s">
        <v>112</v>
      </c>
      <c r="C311" s="153"/>
      <c r="D311" s="154"/>
      <c r="E311" s="156"/>
      <c r="F311" s="162"/>
      <c r="G311" s="162"/>
      <c r="H311" s="167"/>
      <c r="I311" s="162"/>
      <c r="J311" s="162"/>
      <c r="K311" s="162"/>
      <c r="L311" s="162"/>
      <c r="M311" s="162"/>
      <c r="N311" s="162"/>
      <c r="O311" s="162"/>
      <c r="T311" s="165"/>
      <c r="U311" s="165" t="s">
        <v>112</v>
      </c>
      <c r="V311" s="133">
        <v>84</v>
      </c>
      <c r="AD311" s="135">
        <f t="shared" si="66"/>
        <v>0</v>
      </c>
      <c r="AH311" s="125">
        <v>287</v>
      </c>
    </row>
    <row r="312" spans="1:36" ht="12.75" hidden="1" customHeight="1" x14ac:dyDescent="0.2">
      <c r="A312" s="165"/>
      <c r="B312" s="125" t="s">
        <v>113</v>
      </c>
      <c r="C312" s="153">
        <v>7060000</v>
      </c>
      <c r="D312" s="154"/>
      <c r="E312" s="156"/>
      <c r="F312" s="162">
        <f>1546923.37+1447116.35+1273174.6+1135336.22+666923.08+196580.58+793945.8</f>
        <v>7060000</v>
      </c>
      <c r="G312" s="162">
        <v>0</v>
      </c>
      <c r="H312" s="167">
        <v>0</v>
      </c>
      <c r="I312" s="162">
        <v>0</v>
      </c>
      <c r="J312" s="162">
        <v>0</v>
      </c>
      <c r="K312" s="162">
        <v>0</v>
      </c>
      <c r="L312" s="162">
        <v>0</v>
      </c>
      <c r="M312" s="162"/>
      <c r="N312" s="162"/>
      <c r="O312" s="162">
        <f>H312+I312+J312+K312</f>
        <v>0</v>
      </c>
      <c r="P312" s="159" t="s">
        <v>161</v>
      </c>
      <c r="Q312" s="159">
        <v>29</v>
      </c>
      <c r="R312" s="159" t="s">
        <v>160</v>
      </c>
      <c r="T312" s="165"/>
      <c r="U312" s="125" t="s">
        <v>113</v>
      </c>
      <c r="V312" s="133">
        <v>85</v>
      </c>
      <c r="AD312" s="135">
        <f t="shared" si="66"/>
        <v>0</v>
      </c>
      <c r="AH312" s="125">
        <v>288</v>
      </c>
      <c r="AJ312" s="125">
        <v>0</v>
      </c>
    </row>
    <row r="313" spans="1:36" x14ac:dyDescent="0.2">
      <c r="A313" s="165"/>
      <c r="B313" s="125" t="s">
        <v>114</v>
      </c>
      <c r="C313" s="153">
        <v>2515000</v>
      </c>
      <c r="D313" s="162"/>
      <c r="E313" s="156"/>
      <c r="F313" s="162">
        <f>95799+121126.6+382459+312204.5+91850.75+520650.28+194790.24+138986.95+1242.65+83400.01+10990.51+50953.36+313263.98+113226.25+37149.1+20376.32+588+7140+4708.2+235.2</f>
        <v>2501140.9000000004</v>
      </c>
      <c r="G313" s="162">
        <f>[1]UMB!F365</f>
        <v>13859.099999999868</v>
      </c>
      <c r="H313" s="167">
        <f>[1]UMB!H365</f>
        <v>13859.1</v>
      </c>
      <c r="I313" s="162">
        <f>[1]UMB!I365</f>
        <v>0</v>
      </c>
      <c r="J313" s="162">
        <f>[1]UMB!J365</f>
        <v>0</v>
      </c>
      <c r="K313" s="162">
        <f>[1]UMB!K365</f>
        <v>0</v>
      </c>
      <c r="L313" s="162">
        <f t="shared" ref="L313:L323" si="67">G313-H313-I313-J313-K313</f>
        <v>-1.3278622645884752E-10</v>
      </c>
      <c r="M313" s="162">
        <f>H313-N313-O313</f>
        <v>0</v>
      </c>
      <c r="N313" s="162">
        <v>0</v>
      </c>
      <c r="O313" s="162">
        <v>13859.1</v>
      </c>
      <c r="P313" s="159" t="s">
        <v>161</v>
      </c>
      <c r="Q313" s="159">
        <v>29</v>
      </c>
      <c r="R313" s="159" t="s">
        <v>160</v>
      </c>
      <c r="T313" s="165"/>
      <c r="U313" s="125" t="s">
        <v>114</v>
      </c>
      <c r="V313" s="133">
        <v>86</v>
      </c>
      <c r="AA313" s="135">
        <v>14582</v>
      </c>
      <c r="AB313" s="135">
        <v>588</v>
      </c>
      <c r="AD313" s="135">
        <f t="shared" si="66"/>
        <v>15170</v>
      </c>
      <c r="AF313" s="136">
        <f>C313+D313+E313-F313-G313</f>
        <v>-2.4010660126805305E-10</v>
      </c>
      <c r="AH313" s="125">
        <v>289</v>
      </c>
      <c r="AJ313" s="125">
        <v>13859.1</v>
      </c>
    </row>
    <row r="314" spans="1:36" hidden="1" x14ac:dyDescent="0.2">
      <c r="A314" s="165"/>
      <c r="B314" s="125" t="s">
        <v>210</v>
      </c>
      <c r="C314" s="153">
        <v>568000</v>
      </c>
      <c r="D314" s="162"/>
      <c r="E314" s="163">
        <v>-311231.58</v>
      </c>
      <c r="F314" s="162">
        <f>56077+12000+96109.43+78749.97+1280.78+9591.83+2959.41</f>
        <v>256768.41999999998</v>
      </c>
      <c r="G314" s="162">
        <f>[1]UMBI!F65</f>
        <v>0</v>
      </c>
      <c r="H314" s="167">
        <f>[1]UMBI!H65</f>
        <v>0</v>
      </c>
      <c r="I314" s="162">
        <f>[1]UMBI!I65</f>
        <v>0</v>
      </c>
      <c r="J314" s="162">
        <f>[1]UMBI!J65</f>
        <v>0</v>
      </c>
      <c r="K314" s="162">
        <f>[1]UMBI!K65</f>
        <v>0</v>
      </c>
      <c r="L314" s="162">
        <f t="shared" si="67"/>
        <v>0</v>
      </c>
      <c r="M314" s="162"/>
      <c r="N314" s="162"/>
      <c r="O314" s="162">
        <f t="shared" ref="O314:O323" si="68">H314+I314+J314+K314</f>
        <v>0</v>
      </c>
      <c r="P314" s="159" t="s">
        <v>161</v>
      </c>
      <c r="Q314" s="159">
        <v>29</v>
      </c>
      <c r="R314" s="159" t="s">
        <v>160</v>
      </c>
      <c r="T314" s="165"/>
      <c r="U314" s="125" t="s">
        <v>210</v>
      </c>
      <c r="V314" s="133">
        <v>87</v>
      </c>
      <c r="AD314" s="135">
        <f t="shared" si="66"/>
        <v>0</v>
      </c>
      <c r="AH314" s="125">
        <v>290</v>
      </c>
      <c r="AJ314" s="125">
        <v>0</v>
      </c>
    </row>
    <row r="315" spans="1:36" hidden="1" x14ac:dyDescent="0.2">
      <c r="A315" s="165"/>
      <c r="B315" s="125" t="s">
        <v>115</v>
      </c>
      <c r="C315" s="153">
        <v>642000</v>
      </c>
      <c r="D315" s="162">
        <v>-76885.95</v>
      </c>
      <c r="E315" s="163"/>
      <c r="F315" s="167">
        <f>192000+99265.52+176366.44+44494.69+35172.5+1180+8589.9+8045</f>
        <v>565114.05000000005</v>
      </c>
      <c r="G315" s="163">
        <v>0</v>
      </c>
      <c r="H315" s="164">
        <v>0</v>
      </c>
      <c r="I315" s="163"/>
      <c r="J315" s="163">
        <v>0</v>
      </c>
      <c r="K315" s="163">
        <v>0</v>
      </c>
      <c r="L315" s="162">
        <f t="shared" si="67"/>
        <v>0</v>
      </c>
      <c r="M315" s="162"/>
      <c r="N315" s="162"/>
      <c r="O315" s="162">
        <f t="shared" si="68"/>
        <v>0</v>
      </c>
      <c r="P315" s="159" t="s">
        <v>161</v>
      </c>
      <c r="Q315" s="159">
        <v>29</v>
      </c>
      <c r="R315" s="159" t="s">
        <v>160</v>
      </c>
      <c r="T315" s="165"/>
      <c r="U315" s="125" t="s">
        <v>115</v>
      </c>
      <c r="V315" s="133">
        <v>88</v>
      </c>
      <c r="AD315" s="135">
        <f t="shared" si="66"/>
        <v>0</v>
      </c>
      <c r="AH315" s="125">
        <v>291</v>
      </c>
      <c r="AJ315" s="125">
        <v>0</v>
      </c>
    </row>
    <row r="316" spans="1:36" hidden="1" x14ac:dyDescent="0.2">
      <c r="A316" s="165"/>
      <c r="B316" s="125" t="s">
        <v>116</v>
      </c>
      <c r="C316" s="153">
        <v>1247000</v>
      </c>
      <c r="D316" s="162"/>
      <c r="E316" s="156"/>
      <c r="F316" s="162">
        <f>240381.96+696788.93+130744.47+128930.15+10239.46+279.7+39635.33</f>
        <v>1247000</v>
      </c>
      <c r="G316" s="163">
        <v>0</v>
      </c>
      <c r="H316" s="164">
        <v>0</v>
      </c>
      <c r="I316" s="163"/>
      <c r="J316" s="163">
        <v>0</v>
      </c>
      <c r="K316" s="163">
        <v>0</v>
      </c>
      <c r="L316" s="162">
        <f t="shared" si="67"/>
        <v>0</v>
      </c>
      <c r="M316" s="162"/>
      <c r="N316" s="162"/>
      <c r="O316" s="162">
        <f t="shared" si="68"/>
        <v>0</v>
      </c>
      <c r="P316" s="159" t="s">
        <v>161</v>
      </c>
      <c r="Q316" s="159">
        <v>29</v>
      </c>
      <c r="R316" s="159" t="s">
        <v>160</v>
      </c>
      <c r="T316" s="165"/>
      <c r="U316" s="125" t="s">
        <v>116</v>
      </c>
      <c r="V316" s="133">
        <v>89</v>
      </c>
      <c r="AD316" s="135">
        <f t="shared" si="66"/>
        <v>0</v>
      </c>
      <c r="AH316" s="125">
        <v>292</v>
      </c>
      <c r="AJ316" s="125">
        <v>0</v>
      </c>
    </row>
    <row r="317" spans="1:36" hidden="1" x14ac:dyDescent="0.2">
      <c r="A317" s="165"/>
      <c r="B317" s="125" t="s">
        <v>117</v>
      </c>
      <c r="C317" s="153">
        <v>317000</v>
      </c>
      <c r="D317" s="162"/>
      <c r="E317" s="156"/>
      <c r="F317" s="162">
        <f>11475+138157.46+57562.54+109805</f>
        <v>317000</v>
      </c>
      <c r="G317" s="163">
        <v>0</v>
      </c>
      <c r="H317" s="164">
        <v>0</v>
      </c>
      <c r="I317" s="163"/>
      <c r="J317" s="163">
        <v>0</v>
      </c>
      <c r="K317" s="163">
        <v>0</v>
      </c>
      <c r="L317" s="162">
        <f t="shared" si="67"/>
        <v>0</v>
      </c>
      <c r="M317" s="162"/>
      <c r="N317" s="162"/>
      <c r="O317" s="162">
        <f t="shared" si="68"/>
        <v>0</v>
      </c>
      <c r="P317" s="159" t="s">
        <v>161</v>
      </c>
      <c r="Q317" s="159">
        <v>29</v>
      </c>
      <c r="R317" s="159" t="s">
        <v>160</v>
      </c>
      <c r="T317" s="165"/>
      <c r="U317" s="125" t="s">
        <v>117</v>
      </c>
      <c r="V317" s="133">
        <v>90</v>
      </c>
      <c r="AD317" s="135">
        <f t="shared" si="66"/>
        <v>0</v>
      </c>
      <c r="AH317" s="125">
        <v>293</v>
      </c>
      <c r="AJ317" s="125">
        <v>0</v>
      </c>
    </row>
    <row r="318" spans="1:36" hidden="1" x14ac:dyDescent="0.2">
      <c r="A318" s="165"/>
      <c r="B318" s="125" t="s">
        <v>118</v>
      </c>
      <c r="C318" s="153">
        <v>554000</v>
      </c>
      <c r="D318" s="162"/>
      <c r="E318" s="156"/>
      <c r="F318" s="162">
        <f>286415+179353.1-127025.1+82343.07+132381.4+532.53</f>
        <v>554000</v>
      </c>
      <c r="G318" s="163">
        <v>0</v>
      </c>
      <c r="H318" s="164">
        <v>0</v>
      </c>
      <c r="I318" s="163"/>
      <c r="J318" s="163">
        <v>0</v>
      </c>
      <c r="K318" s="163">
        <v>0</v>
      </c>
      <c r="L318" s="162">
        <f t="shared" si="67"/>
        <v>0</v>
      </c>
      <c r="M318" s="162"/>
      <c r="N318" s="162"/>
      <c r="O318" s="162">
        <f t="shared" si="68"/>
        <v>0</v>
      </c>
      <c r="P318" s="159" t="s">
        <v>161</v>
      </c>
      <c r="Q318" s="159">
        <v>29</v>
      </c>
      <c r="R318" s="159" t="s">
        <v>160</v>
      </c>
      <c r="T318" s="165"/>
      <c r="U318" s="125" t="s">
        <v>118</v>
      </c>
      <c r="V318" s="133">
        <v>91</v>
      </c>
      <c r="AA318" s="135">
        <v>95772.29</v>
      </c>
      <c r="AD318" s="135">
        <f t="shared" si="66"/>
        <v>95772.29</v>
      </c>
      <c r="AH318" s="125">
        <v>294</v>
      </c>
      <c r="AJ318" s="125">
        <v>0</v>
      </c>
    </row>
    <row r="319" spans="1:36" ht="12" hidden="1" customHeight="1" x14ac:dyDescent="0.2">
      <c r="A319" s="165"/>
      <c r="B319" s="125" t="s">
        <v>119</v>
      </c>
      <c r="C319" s="153">
        <v>409000</v>
      </c>
      <c r="D319" s="167">
        <v>-8568.82</v>
      </c>
      <c r="E319" s="156"/>
      <c r="F319" s="167">
        <f>108040+77049+82340+68444.01+7410+36958.17+20190</f>
        <v>400431.18</v>
      </c>
      <c r="G319" s="163">
        <v>0</v>
      </c>
      <c r="H319" s="164">
        <v>0</v>
      </c>
      <c r="I319" s="163"/>
      <c r="J319" s="163">
        <v>0</v>
      </c>
      <c r="K319" s="163">
        <v>0</v>
      </c>
      <c r="L319" s="162">
        <f t="shared" si="67"/>
        <v>0</v>
      </c>
      <c r="M319" s="162"/>
      <c r="N319" s="162"/>
      <c r="O319" s="162">
        <f t="shared" si="68"/>
        <v>0</v>
      </c>
      <c r="P319" s="159" t="s">
        <v>161</v>
      </c>
      <c r="Q319" s="159">
        <v>29</v>
      </c>
      <c r="R319" s="159" t="s">
        <v>160</v>
      </c>
      <c r="T319" s="165"/>
      <c r="U319" s="125" t="s">
        <v>119</v>
      </c>
      <c r="V319" s="133">
        <v>92</v>
      </c>
      <c r="AD319" s="135">
        <f t="shared" si="66"/>
        <v>0</v>
      </c>
      <c r="AH319" s="125">
        <v>295</v>
      </c>
      <c r="AJ319" s="125">
        <v>0</v>
      </c>
    </row>
    <row r="320" spans="1:36" hidden="1" x14ac:dyDescent="0.2">
      <c r="A320" s="165"/>
      <c r="B320" s="125" t="s">
        <v>120</v>
      </c>
      <c r="C320" s="153">
        <v>645000</v>
      </c>
      <c r="D320" s="137"/>
      <c r="E320" s="162">
        <f>-200000-245000</f>
        <v>-445000</v>
      </c>
      <c r="F320" s="162">
        <f>105562.16+60760.54+24788.48+8888.82</f>
        <v>200000.00000000003</v>
      </c>
      <c r="G320" s="163">
        <v>0</v>
      </c>
      <c r="H320" s="164">
        <v>0</v>
      </c>
      <c r="I320" s="163"/>
      <c r="J320" s="163">
        <v>0</v>
      </c>
      <c r="K320" s="163">
        <v>0</v>
      </c>
      <c r="L320" s="162">
        <f t="shared" si="67"/>
        <v>0</v>
      </c>
      <c r="M320" s="162"/>
      <c r="N320" s="162"/>
      <c r="O320" s="162">
        <f t="shared" si="68"/>
        <v>0</v>
      </c>
      <c r="P320" s="159" t="s">
        <v>161</v>
      </c>
      <c r="Q320" s="159">
        <v>29</v>
      </c>
      <c r="R320" s="159" t="s">
        <v>160</v>
      </c>
      <c r="T320" s="165"/>
      <c r="U320" s="125" t="s">
        <v>120</v>
      </c>
      <c r="V320" s="133">
        <v>93</v>
      </c>
      <c r="AD320" s="135">
        <f t="shared" si="66"/>
        <v>0</v>
      </c>
      <c r="AH320" s="125">
        <v>296</v>
      </c>
      <c r="AJ320" s="125">
        <v>0</v>
      </c>
    </row>
    <row r="321" spans="1:36" hidden="1" x14ac:dyDescent="0.2">
      <c r="A321" s="165"/>
      <c r="B321" s="125" t="s">
        <v>137</v>
      </c>
      <c r="C321" s="153">
        <v>536000</v>
      </c>
      <c r="D321" s="162"/>
      <c r="E321" s="156"/>
      <c r="F321" s="162">
        <f>532299.33+3700.67</f>
        <v>536000</v>
      </c>
      <c r="G321" s="163">
        <v>0</v>
      </c>
      <c r="H321" s="164">
        <v>0</v>
      </c>
      <c r="I321" s="163"/>
      <c r="J321" s="163">
        <v>0</v>
      </c>
      <c r="K321" s="163">
        <v>0</v>
      </c>
      <c r="L321" s="162">
        <f t="shared" si="67"/>
        <v>0</v>
      </c>
      <c r="M321" s="162"/>
      <c r="N321" s="162"/>
      <c r="O321" s="162">
        <f t="shared" si="68"/>
        <v>0</v>
      </c>
      <c r="P321" s="159" t="s">
        <v>161</v>
      </c>
      <c r="Q321" s="159">
        <v>29</v>
      </c>
      <c r="R321" s="159" t="s">
        <v>160</v>
      </c>
      <c r="T321" s="165"/>
      <c r="U321" s="125" t="s">
        <v>137</v>
      </c>
      <c r="V321" s="133">
        <v>94</v>
      </c>
      <c r="AD321" s="135">
        <f t="shared" si="66"/>
        <v>0</v>
      </c>
      <c r="AH321" s="125">
        <v>297</v>
      </c>
      <c r="AJ321" s="125">
        <v>0</v>
      </c>
    </row>
    <row r="322" spans="1:36" hidden="1" x14ac:dyDescent="0.2">
      <c r="A322" s="165"/>
      <c r="B322" s="125" t="s">
        <v>122</v>
      </c>
      <c r="C322" s="153">
        <v>1589000</v>
      </c>
      <c r="D322" s="162"/>
      <c r="E322" s="156"/>
      <c r="F322" s="162">
        <f>209782.92+216303.98+5869.82+689000+2483.6+465269.68+290</f>
        <v>1589000</v>
      </c>
      <c r="G322" s="163">
        <v>0</v>
      </c>
      <c r="H322" s="164">
        <v>0</v>
      </c>
      <c r="I322" s="163"/>
      <c r="J322" s="163">
        <v>0</v>
      </c>
      <c r="K322" s="163">
        <v>0</v>
      </c>
      <c r="L322" s="162">
        <f t="shared" si="67"/>
        <v>0</v>
      </c>
      <c r="M322" s="162"/>
      <c r="N322" s="162"/>
      <c r="O322" s="162">
        <f t="shared" si="68"/>
        <v>0</v>
      </c>
      <c r="P322" s="159" t="s">
        <v>161</v>
      </c>
      <c r="Q322" s="159">
        <v>29</v>
      </c>
      <c r="R322" s="159" t="s">
        <v>160</v>
      </c>
      <c r="T322" s="165"/>
      <c r="U322" s="125" t="s">
        <v>122</v>
      </c>
      <c r="V322" s="133">
        <v>95</v>
      </c>
      <c r="AD322" s="135">
        <f t="shared" si="66"/>
        <v>0</v>
      </c>
      <c r="AH322" s="125">
        <v>298</v>
      </c>
      <c r="AJ322" s="125">
        <v>0</v>
      </c>
    </row>
    <row r="323" spans="1:36" hidden="1" x14ac:dyDescent="0.2">
      <c r="A323" s="165"/>
      <c r="B323" s="125" t="s">
        <v>123</v>
      </c>
      <c r="C323" s="153">
        <v>418000</v>
      </c>
      <c r="D323" s="154"/>
      <c r="E323" s="156"/>
      <c r="F323" s="162">
        <f>33775+86196.55+298028.45</f>
        <v>418000</v>
      </c>
      <c r="G323" s="163">
        <v>0</v>
      </c>
      <c r="H323" s="164">
        <v>0</v>
      </c>
      <c r="I323" s="163"/>
      <c r="J323" s="163">
        <v>0</v>
      </c>
      <c r="K323" s="163">
        <v>0</v>
      </c>
      <c r="L323" s="162">
        <f t="shared" si="67"/>
        <v>0</v>
      </c>
      <c r="M323" s="162"/>
      <c r="N323" s="162"/>
      <c r="O323" s="162">
        <f t="shared" si="68"/>
        <v>0</v>
      </c>
      <c r="P323" s="159" t="s">
        <v>161</v>
      </c>
      <c r="Q323" s="159">
        <v>29</v>
      </c>
      <c r="R323" s="159" t="s">
        <v>160</v>
      </c>
      <c r="T323" s="165"/>
      <c r="U323" s="125" t="s">
        <v>123</v>
      </c>
      <c r="V323" s="133">
        <v>96</v>
      </c>
      <c r="AD323" s="135">
        <f t="shared" si="66"/>
        <v>0</v>
      </c>
      <c r="AH323" s="125">
        <v>299</v>
      </c>
      <c r="AJ323" s="125">
        <v>0</v>
      </c>
    </row>
    <row r="324" spans="1:36" hidden="1" x14ac:dyDescent="0.2">
      <c r="A324" s="165"/>
      <c r="B324" s="165" t="s">
        <v>127</v>
      </c>
      <c r="C324" s="153">
        <v>500000</v>
      </c>
      <c r="E324" s="162">
        <f>200000+245000-200000-245000-30290-23236-75000-250000-68000-5000-48474</f>
        <v>-500000</v>
      </c>
      <c r="F324" s="162"/>
      <c r="G324" s="162">
        <f>'[1]Emergency Funds'!G150</f>
        <v>0</v>
      </c>
      <c r="H324" s="167"/>
      <c r="I324" s="162"/>
      <c r="J324" s="162"/>
      <c r="K324" s="162"/>
      <c r="L324" s="162"/>
      <c r="M324" s="162"/>
      <c r="N324" s="162"/>
      <c r="O324" s="162"/>
      <c r="P324" s="159" t="s">
        <v>161</v>
      </c>
      <c r="Q324" s="159">
        <v>29</v>
      </c>
      <c r="R324" s="159" t="s">
        <v>160</v>
      </c>
      <c r="T324" s="165"/>
      <c r="U324" s="165" t="s">
        <v>127</v>
      </c>
      <c r="V324" s="133">
        <v>97</v>
      </c>
      <c r="AD324" s="135">
        <f t="shared" si="66"/>
        <v>0</v>
      </c>
      <c r="AH324" s="125">
        <v>300</v>
      </c>
    </row>
    <row r="325" spans="1:36" hidden="1" x14ac:dyDescent="0.2">
      <c r="A325" s="165"/>
      <c r="B325" s="125" t="s">
        <v>211</v>
      </c>
      <c r="C325" s="153"/>
      <c r="E325" s="162">
        <v>75000</v>
      </c>
      <c r="F325" s="162">
        <f>75000</f>
        <v>75000</v>
      </c>
      <c r="G325" s="162">
        <v>0</v>
      </c>
      <c r="H325" s="167">
        <v>0</v>
      </c>
      <c r="I325" s="162">
        <v>0</v>
      </c>
      <c r="J325" s="162">
        <v>0</v>
      </c>
      <c r="K325" s="162">
        <v>0</v>
      </c>
      <c r="L325" s="162">
        <v>0</v>
      </c>
      <c r="M325" s="162"/>
      <c r="N325" s="162"/>
      <c r="O325" s="162">
        <f t="shared" ref="O325:O330" si="69">H325+I325+J325+K325</f>
        <v>0</v>
      </c>
      <c r="P325" s="159" t="s">
        <v>161</v>
      </c>
      <c r="Q325" s="159">
        <v>29</v>
      </c>
      <c r="R325" s="159" t="s">
        <v>160</v>
      </c>
      <c r="T325" s="165"/>
      <c r="U325" s="125" t="s">
        <v>211</v>
      </c>
      <c r="V325" s="133">
        <v>98</v>
      </c>
      <c r="AD325" s="135">
        <f t="shared" si="66"/>
        <v>0</v>
      </c>
      <c r="AH325" s="125">
        <v>301</v>
      </c>
      <c r="AJ325" s="125">
        <v>0</v>
      </c>
    </row>
    <row r="326" spans="1:36" hidden="1" x14ac:dyDescent="0.2">
      <c r="A326" s="165"/>
      <c r="B326" s="125" t="s">
        <v>212</v>
      </c>
      <c r="C326" s="135"/>
      <c r="E326" s="196">
        <f>30290+23236</f>
        <v>53526</v>
      </c>
      <c r="F326" s="162">
        <f>53526</f>
        <v>53526</v>
      </c>
      <c r="G326" s="163">
        <v>0</v>
      </c>
      <c r="H326" s="164">
        <v>0</v>
      </c>
      <c r="I326" s="163"/>
      <c r="J326" s="163">
        <v>0</v>
      </c>
      <c r="K326" s="163">
        <v>0</v>
      </c>
      <c r="L326" s="162">
        <f>G326-H326-I326-J326-K326</f>
        <v>0</v>
      </c>
      <c r="M326" s="162"/>
      <c r="N326" s="162"/>
      <c r="O326" s="162">
        <f t="shared" si="69"/>
        <v>0</v>
      </c>
      <c r="P326" s="159" t="s">
        <v>161</v>
      </c>
      <c r="Q326" s="159">
        <v>29</v>
      </c>
      <c r="R326" s="159" t="s">
        <v>160</v>
      </c>
      <c r="T326" s="165"/>
      <c r="U326" s="125" t="s">
        <v>212</v>
      </c>
      <c r="V326" s="133">
        <v>99</v>
      </c>
      <c r="AD326" s="135">
        <f t="shared" si="66"/>
        <v>0</v>
      </c>
      <c r="AH326" s="125">
        <v>302</v>
      </c>
      <c r="AJ326" s="125">
        <v>0</v>
      </c>
    </row>
    <row r="327" spans="1:36" hidden="1" x14ac:dyDescent="0.2">
      <c r="A327" s="165"/>
      <c r="B327" s="197" t="s">
        <v>213</v>
      </c>
      <c r="C327" s="153"/>
      <c r="E327" s="162">
        <v>250000</v>
      </c>
      <c r="F327" s="162">
        <f>250000</f>
        <v>250000</v>
      </c>
      <c r="G327" s="163">
        <v>0</v>
      </c>
      <c r="H327" s="164">
        <v>0</v>
      </c>
      <c r="I327" s="163"/>
      <c r="J327" s="163">
        <v>0</v>
      </c>
      <c r="K327" s="163">
        <v>0</v>
      </c>
      <c r="L327" s="162">
        <f>G327-H327-I327-J327-K327</f>
        <v>0</v>
      </c>
      <c r="M327" s="162"/>
      <c r="N327" s="162"/>
      <c r="O327" s="162">
        <f t="shared" si="69"/>
        <v>0</v>
      </c>
      <c r="P327" s="159" t="s">
        <v>161</v>
      </c>
      <c r="Q327" s="159">
        <v>29</v>
      </c>
      <c r="R327" s="159" t="s">
        <v>160</v>
      </c>
      <c r="T327" s="165"/>
      <c r="U327" s="197" t="s">
        <v>213</v>
      </c>
      <c r="V327" s="133">
        <v>100</v>
      </c>
      <c r="AD327" s="135">
        <f t="shared" si="66"/>
        <v>0</v>
      </c>
      <c r="AH327" s="125">
        <v>303</v>
      </c>
      <c r="AJ327" s="125">
        <v>0</v>
      </c>
    </row>
    <row r="328" spans="1:36" hidden="1" x14ac:dyDescent="0.2">
      <c r="A328" s="165"/>
      <c r="B328" s="197" t="s">
        <v>214</v>
      </c>
      <c r="C328" s="153"/>
      <c r="E328" s="162">
        <f>68000+5000-30</f>
        <v>72970</v>
      </c>
      <c r="F328" s="167">
        <f>72970</f>
        <v>72970</v>
      </c>
      <c r="G328" s="163">
        <v>0</v>
      </c>
      <c r="H328" s="164">
        <v>0</v>
      </c>
      <c r="I328" s="163"/>
      <c r="J328" s="163">
        <v>0</v>
      </c>
      <c r="K328" s="163">
        <v>0</v>
      </c>
      <c r="L328" s="162">
        <f>G328-H328-I328-J328-K328</f>
        <v>0</v>
      </c>
      <c r="M328" s="162"/>
      <c r="N328" s="162"/>
      <c r="O328" s="162">
        <f t="shared" si="69"/>
        <v>0</v>
      </c>
      <c r="P328" s="159" t="s">
        <v>161</v>
      </c>
      <c r="Q328" s="159">
        <v>29</v>
      </c>
      <c r="R328" s="159" t="s">
        <v>160</v>
      </c>
      <c r="T328" s="165"/>
      <c r="U328" s="197" t="s">
        <v>214</v>
      </c>
      <c r="AD328" s="135">
        <f t="shared" si="66"/>
        <v>0</v>
      </c>
      <c r="AH328" s="125">
        <v>304</v>
      </c>
      <c r="AJ328" s="125">
        <v>0</v>
      </c>
    </row>
    <row r="329" spans="1:36" hidden="1" x14ac:dyDescent="0.2">
      <c r="A329" s="165"/>
      <c r="B329" s="198" t="s">
        <v>215</v>
      </c>
      <c r="C329" s="153"/>
      <c r="E329" s="167">
        <v>200000</v>
      </c>
      <c r="F329" s="167">
        <v>200000</v>
      </c>
      <c r="G329" s="163">
        <v>0</v>
      </c>
      <c r="H329" s="164">
        <v>0</v>
      </c>
      <c r="I329" s="163"/>
      <c r="J329" s="163">
        <v>0</v>
      </c>
      <c r="K329" s="163">
        <v>0</v>
      </c>
      <c r="L329" s="162">
        <f>G329-H329-I329-J329-K329</f>
        <v>0</v>
      </c>
      <c r="M329" s="162"/>
      <c r="N329" s="162"/>
      <c r="O329" s="162">
        <f t="shared" si="69"/>
        <v>0</v>
      </c>
      <c r="P329" s="159" t="s">
        <v>161</v>
      </c>
      <c r="Q329" s="159">
        <v>29</v>
      </c>
      <c r="R329" s="159" t="s">
        <v>160</v>
      </c>
      <c r="T329" s="165"/>
      <c r="U329" s="198" t="s">
        <v>215</v>
      </c>
      <c r="V329" s="133">
        <v>101</v>
      </c>
      <c r="AH329" s="125">
        <v>305</v>
      </c>
      <c r="AJ329" s="125">
        <v>0</v>
      </c>
    </row>
    <row r="330" spans="1:36" hidden="1" x14ac:dyDescent="0.2">
      <c r="A330" s="165"/>
      <c r="B330" s="197" t="s">
        <v>216</v>
      </c>
      <c r="C330" s="153"/>
      <c r="E330" s="167">
        <v>245000</v>
      </c>
      <c r="F330" s="167">
        <v>245000</v>
      </c>
      <c r="G330" s="163">
        <v>0</v>
      </c>
      <c r="H330" s="164">
        <v>0</v>
      </c>
      <c r="I330" s="163"/>
      <c r="J330" s="163">
        <v>0</v>
      </c>
      <c r="K330" s="163">
        <v>0</v>
      </c>
      <c r="L330" s="162">
        <f>G330-H330-I330-J330-K330</f>
        <v>0</v>
      </c>
      <c r="M330" s="162"/>
      <c r="N330" s="162"/>
      <c r="O330" s="162">
        <f t="shared" si="69"/>
        <v>0</v>
      </c>
      <c r="P330" s="159" t="s">
        <v>161</v>
      </c>
      <c r="Q330" s="159">
        <v>29</v>
      </c>
      <c r="R330" s="159" t="s">
        <v>160</v>
      </c>
      <c r="T330" s="165"/>
      <c r="U330" s="197" t="s">
        <v>216</v>
      </c>
      <c r="V330" s="133">
        <v>102</v>
      </c>
      <c r="AH330" s="125">
        <v>306</v>
      </c>
      <c r="AJ330" s="125">
        <v>0</v>
      </c>
    </row>
    <row r="331" spans="1:36" x14ac:dyDescent="0.2">
      <c r="C331" s="153"/>
      <c r="D331" s="154"/>
      <c r="E331" s="154"/>
      <c r="F331" s="162"/>
      <c r="G331" s="156"/>
      <c r="H331" s="157"/>
      <c r="I331" s="156"/>
      <c r="J331" s="156"/>
      <c r="K331" s="156"/>
      <c r="L331" s="154"/>
      <c r="M331" s="154"/>
      <c r="N331" s="154"/>
      <c r="O331" s="154"/>
      <c r="V331" s="133">
        <v>103</v>
      </c>
      <c r="AH331" s="125">
        <v>307</v>
      </c>
    </row>
    <row r="332" spans="1:36" ht="13.5" thickBot="1" x14ac:dyDescent="0.25">
      <c r="B332" s="168" t="s">
        <v>217</v>
      </c>
      <c r="C332" s="169">
        <f t="shared" ref="C332:K332" si="70">SUM(C309:C331)</f>
        <v>27000000</v>
      </c>
      <c r="D332" s="169">
        <f>SUM(D309:D331)</f>
        <v>-85454.76999999999</v>
      </c>
      <c r="E332" s="169">
        <f t="shared" si="70"/>
        <v>-359735.58000000007</v>
      </c>
      <c r="F332" s="192">
        <f t="shared" si="70"/>
        <v>26540950.550000001</v>
      </c>
      <c r="G332" s="169">
        <f t="shared" si="70"/>
        <v>13859.099999999868</v>
      </c>
      <c r="H332" s="193">
        <f t="shared" si="70"/>
        <v>13859.1</v>
      </c>
      <c r="I332" s="169">
        <f t="shared" si="70"/>
        <v>0</v>
      </c>
      <c r="J332" s="169">
        <f t="shared" si="70"/>
        <v>0</v>
      </c>
      <c r="K332" s="169">
        <f t="shared" si="70"/>
        <v>0</v>
      </c>
      <c r="L332" s="169">
        <f>SUM(L309:L331)</f>
        <v>-1.3278622645884752E-10</v>
      </c>
      <c r="M332" s="169">
        <f>SUM(M309:M331)</f>
        <v>0</v>
      </c>
      <c r="N332" s="169">
        <f>SUM(N309:N331)</f>
        <v>0</v>
      </c>
      <c r="O332" s="169">
        <f>SUM(O309:O331)</f>
        <v>13859.1</v>
      </c>
      <c r="U332" s="168" t="s">
        <v>217</v>
      </c>
      <c r="V332" s="133">
        <v>104</v>
      </c>
      <c r="AA332" s="169">
        <f>SUM(AA309:AA331)</f>
        <v>122587.82999999999</v>
      </c>
      <c r="AB332" s="169">
        <f>SUM(AB309:AB331)</f>
        <v>3799.58</v>
      </c>
      <c r="AC332" s="169">
        <f>SUM(AC309:AC331)</f>
        <v>0</v>
      </c>
      <c r="AD332" s="169">
        <f>SUM(AD309:AD331)</f>
        <v>126387.41</v>
      </c>
      <c r="AF332" s="136">
        <f>C332+D332+E332-F332-G332</f>
        <v>-2.1027517504990101E-9</v>
      </c>
      <c r="AH332" s="125">
        <v>308</v>
      </c>
      <c r="AJ332" s="125">
        <v>13859.1</v>
      </c>
    </row>
    <row r="333" spans="1:36" ht="13.5" thickTop="1" x14ac:dyDescent="0.2">
      <c r="B333" s="165"/>
      <c r="C333" s="153"/>
      <c r="D333" s="153"/>
      <c r="E333" s="153"/>
      <c r="F333" s="191"/>
      <c r="G333" s="153"/>
      <c r="H333" s="166"/>
      <c r="I333" s="153"/>
      <c r="J333" s="153"/>
      <c r="K333" s="153"/>
      <c r="L333" s="153"/>
      <c r="M333" s="153"/>
      <c r="N333" s="153"/>
      <c r="O333" s="153"/>
      <c r="U333" s="165"/>
      <c r="V333" s="133">
        <v>297</v>
      </c>
      <c r="AA333" s="153"/>
      <c r="AB333" s="153"/>
      <c r="AC333" s="153"/>
      <c r="AD333" s="153"/>
      <c r="AH333" s="125">
        <v>309</v>
      </c>
    </row>
    <row r="334" spans="1:36" x14ac:dyDescent="0.2">
      <c r="B334" s="199" t="s">
        <v>218</v>
      </c>
      <c r="C334" s="200">
        <f t="shared" ref="C334:M334" si="71">C66+C75+C94+C118+C141+C161+C179+C201+C223+C243+C262+C332+C306+C285+C47+C25</f>
        <v>516168103</v>
      </c>
      <c r="D334" s="200">
        <f t="shared" si="71"/>
        <v>-9268504.7300000004</v>
      </c>
      <c r="E334" s="200">
        <f t="shared" si="71"/>
        <v>1651730.79</v>
      </c>
      <c r="F334" s="200">
        <f t="shared" si="71"/>
        <v>374364661.56999999</v>
      </c>
      <c r="G334" s="200">
        <f t="shared" si="71"/>
        <v>134186667.48699997</v>
      </c>
      <c r="H334" s="256">
        <f>H66+H75+H94+H118+H141+H161+H179+H201+H223+H243+H262+H332+H306+H285+H47+H25</f>
        <v>37808912.000000007</v>
      </c>
      <c r="I334" s="200">
        <f t="shared" si="71"/>
        <v>0</v>
      </c>
      <c r="J334" s="200">
        <f t="shared" si="71"/>
        <v>0</v>
      </c>
      <c r="K334" s="200">
        <f t="shared" si="71"/>
        <v>0</v>
      </c>
      <c r="L334" s="200">
        <f t="shared" si="71"/>
        <v>96377755.487000003</v>
      </c>
      <c r="M334" s="200">
        <f t="shared" si="71"/>
        <v>4265845.2700000005</v>
      </c>
      <c r="N334" s="200">
        <f>N66+N75+N94+N118+N141+N161+N179+N201+N223+N243+N262+N332+N306+N285+N47+N25</f>
        <v>20232613.030000001</v>
      </c>
      <c r="O334" s="200">
        <f>O66+O75+O94+O118+O141+O161+O179+O201+O223+O243+O262+O332+O306+O285+O47+O25</f>
        <v>13310453.700000005</v>
      </c>
      <c r="P334" s="159" t="s">
        <v>219</v>
      </c>
      <c r="U334" s="199" t="s">
        <v>218</v>
      </c>
      <c r="V334" s="133">
        <v>298</v>
      </c>
      <c r="AA334" s="200" t="e">
        <f>AA201+AA223+AA243+AA262+#REF!+#REF!+AA332+#REF!+#REF!+#REF!+#REF!+#REF!+#REF!+#REF!+#REF!+#REF!+AA179+AA161</f>
        <v>#REF!</v>
      </c>
      <c r="AB334" s="200" t="e">
        <f>AB201+AB223+AB243+AB262+#REF!+#REF!+AB332+#REF!+#REF!+#REF!+#REF!+#REF!+#REF!+#REF!+#REF!+#REF!+AB179+AB161</f>
        <v>#REF!</v>
      </c>
      <c r="AC334" s="200" t="e">
        <f>AC201+AC223+AC243+AC262+#REF!+#REF!+AC332+#REF!+#REF!+#REF!+#REF!+#REF!+#REF!+#REF!+#REF!+#REF!+AC179+AC161</f>
        <v>#REF!</v>
      </c>
      <c r="AD334" s="200" t="e">
        <f>AD201+AD223+AD243+AD262+#REF!+#REF!+AD332+#REF!+#REF!+#REF!+#REF!+#REF!+#REF!+#REF!+#REF!+#REF!+AD179+AD161</f>
        <v>#REF!</v>
      </c>
      <c r="AF334" s="136">
        <f>C334+D334+E334-F334-G334</f>
        <v>3.0000358819961548E-3</v>
      </c>
      <c r="AH334" s="125">
        <v>310</v>
      </c>
      <c r="AJ334" s="125">
        <v>25991427.370000005</v>
      </c>
    </row>
    <row r="335" spans="1:36" x14ac:dyDescent="0.2">
      <c r="B335" s="197"/>
      <c r="C335" s="166"/>
      <c r="D335" s="166"/>
      <c r="E335" s="166"/>
      <c r="F335" s="166"/>
      <c r="G335" s="166"/>
      <c r="H335" s="166"/>
      <c r="I335" s="166"/>
      <c r="J335" s="166"/>
      <c r="K335" s="166"/>
      <c r="L335" s="166"/>
      <c r="M335" s="166"/>
      <c r="N335" s="166"/>
      <c r="O335" s="166"/>
      <c r="P335" s="166"/>
      <c r="Q335" s="153"/>
      <c r="S335" s="159"/>
      <c r="T335" s="159"/>
      <c r="V335" s="125"/>
      <c r="W335" s="197"/>
      <c r="X335" s="133"/>
      <c r="Y335" s="134"/>
      <c r="AA335" s="125"/>
      <c r="AB335" s="125"/>
      <c r="AC335" s="166"/>
      <c r="AD335" s="166"/>
      <c r="AE335" s="166"/>
      <c r="AF335" s="166"/>
      <c r="AG335" s="136"/>
      <c r="AH335" s="125">
        <v>311</v>
      </c>
      <c r="AI335" s="166"/>
    </row>
    <row r="336" spans="1:36" x14ac:dyDescent="0.2">
      <c r="A336" s="165" t="s">
        <v>220</v>
      </c>
      <c r="C336" s="153"/>
      <c r="D336" s="166"/>
      <c r="E336" s="166"/>
      <c r="F336" s="166"/>
      <c r="G336" s="166"/>
      <c r="H336" s="166"/>
      <c r="I336" s="166"/>
      <c r="J336" s="166"/>
      <c r="K336" s="166"/>
      <c r="L336" s="166"/>
      <c r="M336" s="166"/>
      <c r="N336" s="162"/>
      <c r="O336" s="166"/>
      <c r="P336" s="166"/>
      <c r="Q336" s="153"/>
      <c r="S336" s="159"/>
      <c r="T336" s="159"/>
      <c r="V336" s="125"/>
      <c r="W336" s="197"/>
      <c r="X336" s="133"/>
      <c r="Y336" s="134"/>
      <c r="AA336" s="125"/>
      <c r="AB336" s="125"/>
      <c r="AC336" s="166"/>
      <c r="AD336" s="166"/>
      <c r="AE336" s="166"/>
      <c r="AF336" s="166"/>
      <c r="AG336" s="136"/>
      <c r="AH336" s="125">
        <v>312</v>
      </c>
      <c r="AI336" s="135"/>
    </row>
    <row r="337" spans="1:36" x14ac:dyDescent="0.2">
      <c r="B337" s="197" t="s">
        <v>221</v>
      </c>
      <c r="C337" s="166">
        <v>8000000</v>
      </c>
      <c r="D337" s="166"/>
      <c r="E337" s="166"/>
      <c r="F337" s="166"/>
      <c r="G337" s="166">
        <f>[1]UMCP!F216</f>
        <v>8000000</v>
      </c>
      <c r="H337" s="166">
        <f>[1]UMCP!H216</f>
        <v>0</v>
      </c>
      <c r="I337" s="166"/>
      <c r="J337" s="166"/>
      <c r="K337" s="166"/>
      <c r="L337" s="162">
        <f>G337-H337-I337-J337-K337</f>
        <v>8000000</v>
      </c>
      <c r="M337" s="162">
        <f>H337-N337-O337</f>
        <v>0</v>
      </c>
      <c r="N337" s="162">
        <v>0</v>
      </c>
      <c r="O337" s="166"/>
      <c r="P337" s="166"/>
      <c r="Q337" s="153"/>
      <c r="S337" s="159"/>
      <c r="T337" s="159"/>
      <c r="V337" s="125"/>
      <c r="W337" s="197"/>
      <c r="X337" s="133"/>
      <c r="Y337" s="134"/>
      <c r="AA337" s="125"/>
      <c r="AB337" s="125"/>
      <c r="AC337" s="166"/>
      <c r="AD337" s="166"/>
      <c r="AE337" s="166"/>
      <c r="AF337" s="136">
        <f>C337+D337+E337-F337-G337</f>
        <v>0</v>
      </c>
      <c r="AG337" s="136"/>
      <c r="AH337" s="125">
        <v>313</v>
      </c>
      <c r="AI337" s="166"/>
      <c r="AJ337" s="125">
        <v>0</v>
      </c>
    </row>
    <row r="338" spans="1:36" x14ac:dyDescent="0.2">
      <c r="B338" s="197" t="s">
        <v>222</v>
      </c>
      <c r="C338" s="166">
        <v>10000000</v>
      </c>
      <c r="D338" s="166"/>
      <c r="E338" s="166"/>
      <c r="F338" s="166"/>
      <c r="G338" s="166">
        <f>[1]TU!F365</f>
        <v>10000000</v>
      </c>
      <c r="H338" s="166">
        <f>[1]TU!H365</f>
        <v>0</v>
      </c>
      <c r="I338" s="166"/>
      <c r="J338" s="166"/>
      <c r="K338" s="166"/>
      <c r="L338" s="162">
        <f>G338-H338-I338-J338-K338</f>
        <v>10000000</v>
      </c>
      <c r="M338" s="162">
        <f>H338-N338-O338</f>
        <v>0</v>
      </c>
      <c r="N338" s="162">
        <v>0</v>
      </c>
      <c r="O338" s="166"/>
      <c r="P338" s="166"/>
      <c r="Q338" s="153"/>
      <c r="S338" s="159"/>
      <c r="T338" s="159"/>
      <c r="V338" s="125"/>
      <c r="W338" s="197"/>
      <c r="X338" s="133"/>
      <c r="Y338" s="134"/>
      <c r="AA338" s="125"/>
      <c r="AB338" s="125"/>
      <c r="AC338" s="166"/>
      <c r="AD338" s="166"/>
      <c r="AE338" s="166"/>
      <c r="AF338" s="136">
        <f>C338+D338+E338-F338-G338</f>
        <v>0</v>
      </c>
      <c r="AG338" s="136"/>
      <c r="AH338" s="125">
        <v>314</v>
      </c>
      <c r="AI338" s="166"/>
      <c r="AJ338" s="125">
        <v>0</v>
      </c>
    </row>
    <row r="339" spans="1:36" x14ac:dyDescent="0.2">
      <c r="B339" s="197"/>
      <c r="C339" s="166"/>
      <c r="D339" s="166"/>
      <c r="E339" s="166"/>
      <c r="F339" s="166"/>
      <c r="G339" s="166"/>
      <c r="H339" s="166"/>
      <c r="I339" s="166"/>
      <c r="J339" s="166"/>
      <c r="K339" s="166"/>
      <c r="L339" s="166"/>
      <c r="M339" s="166"/>
      <c r="N339" s="166"/>
      <c r="O339" s="166"/>
      <c r="P339" s="166"/>
      <c r="Q339" s="153"/>
      <c r="S339" s="159"/>
      <c r="T339" s="159"/>
      <c r="V339" s="125"/>
      <c r="W339" s="197"/>
      <c r="X339" s="133"/>
      <c r="Y339" s="134"/>
      <c r="AA339" s="125"/>
      <c r="AB339" s="125"/>
      <c r="AC339" s="166"/>
      <c r="AD339" s="166"/>
      <c r="AE339" s="166"/>
      <c r="AF339" s="166"/>
      <c r="AG339" s="136"/>
      <c r="AH339" s="125">
        <v>316</v>
      </c>
      <c r="AI339" s="166"/>
    </row>
    <row r="340" spans="1:36" ht="13.5" thickBot="1" x14ac:dyDescent="0.25">
      <c r="B340" s="201" t="s">
        <v>223</v>
      </c>
      <c r="C340" s="169">
        <f t="shared" ref="C340:M340" si="72">SUM(C337:C339)</f>
        <v>18000000</v>
      </c>
      <c r="D340" s="169">
        <f t="shared" si="72"/>
        <v>0</v>
      </c>
      <c r="E340" s="169">
        <f t="shared" si="72"/>
        <v>0</v>
      </c>
      <c r="F340" s="169">
        <f t="shared" si="72"/>
        <v>0</v>
      </c>
      <c r="G340" s="169">
        <f t="shared" si="72"/>
        <v>18000000</v>
      </c>
      <c r="H340" s="169">
        <f t="shared" si="72"/>
        <v>0</v>
      </c>
      <c r="I340" s="169">
        <f t="shared" si="72"/>
        <v>0</v>
      </c>
      <c r="J340" s="169">
        <f t="shared" si="72"/>
        <v>0</v>
      </c>
      <c r="K340" s="169">
        <f t="shared" si="72"/>
        <v>0</v>
      </c>
      <c r="L340" s="169">
        <f t="shared" si="72"/>
        <v>18000000</v>
      </c>
      <c r="M340" s="169">
        <f t="shared" si="72"/>
        <v>0</v>
      </c>
      <c r="N340" s="169">
        <f>SUM(N337:N339)</f>
        <v>0</v>
      </c>
      <c r="O340" s="169">
        <f>SUM(O337:O339)</f>
        <v>0</v>
      </c>
      <c r="P340" s="169">
        <f>SUM(P337:P339)</f>
        <v>0</v>
      </c>
      <c r="Q340" s="153"/>
      <c r="S340" s="159"/>
      <c r="T340" s="159"/>
      <c r="V340" s="125"/>
      <c r="W340" s="201" t="s">
        <v>224</v>
      </c>
      <c r="X340" s="133">
        <v>308</v>
      </c>
      <c r="Y340" s="134"/>
      <c r="AA340" s="125"/>
      <c r="AB340" s="125"/>
      <c r="AC340" s="169" t="e">
        <f>SUM(AC279:AC339)</f>
        <v>#REF!</v>
      </c>
      <c r="AD340" s="169" t="e">
        <f>SUM(AD279:AD339)</f>
        <v>#REF!</v>
      </c>
      <c r="AE340" s="169">
        <f>SUM(AE279:AE339)</f>
        <v>886955.73</v>
      </c>
      <c r="AF340" s="136">
        <f>C340+D340+E340-F340-G340</f>
        <v>0</v>
      </c>
      <c r="AG340" s="136"/>
      <c r="AH340" s="125">
        <v>317</v>
      </c>
      <c r="AI340" s="135"/>
      <c r="AJ340" s="125">
        <v>0</v>
      </c>
    </row>
    <row r="341" spans="1:36" ht="13.5" thickTop="1" x14ac:dyDescent="0.2">
      <c r="B341" s="202"/>
      <c r="C341" s="153"/>
      <c r="D341" s="153"/>
      <c r="E341" s="153"/>
      <c r="F341" s="153"/>
      <c r="G341" s="153"/>
      <c r="H341" s="153"/>
      <c r="I341" s="153"/>
      <c r="J341" s="153"/>
      <c r="K341" s="153"/>
      <c r="L341" s="153"/>
      <c r="M341" s="153"/>
      <c r="N341" s="153"/>
      <c r="O341" s="153"/>
      <c r="P341" s="153"/>
      <c r="Q341" s="153"/>
      <c r="S341" s="159"/>
      <c r="T341" s="159"/>
      <c r="V341" s="125"/>
      <c r="W341" s="202"/>
      <c r="X341" s="133"/>
      <c r="Y341" s="134"/>
      <c r="AA341" s="125"/>
      <c r="AB341" s="125"/>
      <c r="AC341" s="153"/>
      <c r="AD341" s="153"/>
      <c r="AE341" s="153"/>
      <c r="AF341" s="136"/>
      <c r="AG341" s="136"/>
      <c r="AI341" s="135"/>
    </row>
    <row r="342" spans="1:36" x14ac:dyDescent="0.2">
      <c r="A342" s="165" t="s">
        <v>225</v>
      </c>
      <c r="C342" s="153"/>
      <c r="D342" s="166"/>
      <c r="E342" s="166"/>
      <c r="F342" s="166"/>
      <c r="G342" s="166"/>
      <c r="H342" s="166"/>
      <c r="I342" s="166"/>
      <c r="J342" s="166"/>
      <c r="K342" s="166"/>
      <c r="L342" s="166"/>
      <c r="M342" s="166"/>
      <c r="N342" s="162"/>
      <c r="O342" s="166"/>
      <c r="P342" s="166"/>
      <c r="Q342" s="153"/>
      <c r="S342" s="159"/>
      <c r="T342" s="159"/>
      <c r="V342" s="125"/>
      <c r="W342" s="197"/>
      <c r="X342" s="133"/>
      <c r="Y342" s="134"/>
      <c r="AA342" s="125"/>
      <c r="AB342" s="125"/>
      <c r="AC342" s="166"/>
      <c r="AD342" s="166"/>
      <c r="AE342" s="166"/>
      <c r="AF342" s="166"/>
      <c r="AG342" s="136"/>
      <c r="AH342" s="125">
        <v>312</v>
      </c>
      <c r="AI342" s="135"/>
    </row>
    <row r="343" spans="1:36" x14ac:dyDescent="0.2">
      <c r="B343" s="197" t="s">
        <v>226</v>
      </c>
      <c r="C343" s="166">
        <v>6850000</v>
      </c>
      <c r="D343" s="166"/>
      <c r="E343" s="166"/>
      <c r="F343" s="166"/>
      <c r="G343" s="166">
        <f>[1]UMCP!F236</f>
        <v>6850000</v>
      </c>
      <c r="H343" s="166">
        <f>[1]UMCP!H236</f>
        <v>0</v>
      </c>
      <c r="I343" s="166"/>
      <c r="J343" s="166"/>
      <c r="K343" s="166">
        <f>[2]UMCP!K631</f>
        <v>0</v>
      </c>
      <c r="L343" s="162">
        <f>G343-H343-I343-J343-K343</f>
        <v>6850000</v>
      </c>
      <c r="M343" s="162">
        <f>H343-N343-O343</f>
        <v>0</v>
      </c>
      <c r="N343" s="162">
        <v>0</v>
      </c>
      <c r="O343" s="166"/>
      <c r="P343" s="166"/>
      <c r="Q343" s="153"/>
      <c r="S343" s="159"/>
      <c r="T343" s="159"/>
      <c r="V343" s="125"/>
      <c r="W343" s="197"/>
      <c r="X343" s="133"/>
      <c r="Y343" s="134"/>
      <c r="AA343" s="125"/>
      <c r="AB343" s="125"/>
      <c r="AC343" s="166"/>
      <c r="AD343" s="166"/>
      <c r="AE343" s="166"/>
      <c r="AF343" s="136">
        <f>C343+D343+E343-F343-G343</f>
        <v>0</v>
      </c>
      <c r="AG343" s="136"/>
      <c r="AH343" s="125">
        <v>313</v>
      </c>
      <c r="AI343" s="166"/>
      <c r="AJ343" s="125">
        <v>0</v>
      </c>
    </row>
    <row r="344" spans="1:36" x14ac:dyDescent="0.2">
      <c r="B344" s="197" t="s">
        <v>227</v>
      </c>
      <c r="C344" s="166">
        <v>9046000</v>
      </c>
      <c r="D344" s="166"/>
      <c r="E344" s="166"/>
      <c r="F344" s="166"/>
      <c r="G344" s="166">
        <f>[1]TU!F375</f>
        <v>9046000</v>
      </c>
      <c r="H344" s="166">
        <f>[1]TU!H375</f>
        <v>0</v>
      </c>
      <c r="I344" s="166"/>
      <c r="J344" s="166"/>
      <c r="K344" s="166">
        <f>[2]TU!K494</f>
        <v>0</v>
      </c>
      <c r="L344" s="162">
        <f>G344-H344-I344-J344-K344</f>
        <v>9046000</v>
      </c>
      <c r="M344" s="162">
        <f>H344-N344-O344</f>
        <v>0</v>
      </c>
      <c r="N344" s="162">
        <v>0</v>
      </c>
      <c r="O344" s="166"/>
      <c r="P344" s="166"/>
      <c r="Q344" s="153"/>
      <c r="S344" s="159"/>
      <c r="T344" s="159"/>
      <c r="V344" s="125"/>
      <c r="W344" s="197"/>
      <c r="X344" s="133"/>
      <c r="Y344" s="134"/>
      <c r="AA344" s="125"/>
      <c r="AB344" s="125"/>
      <c r="AC344" s="166"/>
      <c r="AD344" s="166"/>
      <c r="AE344" s="166"/>
      <c r="AF344" s="136">
        <f>C344+D344+E344-F344-G344</f>
        <v>0</v>
      </c>
      <c r="AG344" s="136"/>
      <c r="AH344" s="125">
        <v>314</v>
      </c>
      <c r="AI344" s="166"/>
      <c r="AJ344" s="125">
        <v>0</v>
      </c>
    </row>
    <row r="345" spans="1:36" x14ac:dyDescent="0.2">
      <c r="B345" s="197" t="s">
        <v>222</v>
      </c>
      <c r="C345" s="166">
        <v>5000000</v>
      </c>
      <c r="D345" s="166"/>
      <c r="E345" s="166"/>
      <c r="F345" s="166"/>
      <c r="G345" s="166">
        <f>[1]TU!F370</f>
        <v>5000000</v>
      </c>
      <c r="H345" s="166">
        <f>[1]TU!H370</f>
        <v>0</v>
      </c>
      <c r="I345" s="166"/>
      <c r="J345" s="166"/>
      <c r="K345" s="166">
        <f>[2]TU!K445</f>
        <v>0</v>
      </c>
      <c r="L345" s="162">
        <f>G345-H345-I345-J345-K345</f>
        <v>5000000</v>
      </c>
      <c r="M345" s="162">
        <f>H345-N345-O345</f>
        <v>0</v>
      </c>
      <c r="N345" s="162">
        <v>0</v>
      </c>
      <c r="O345" s="166"/>
      <c r="P345" s="166"/>
      <c r="Q345" s="153"/>
      <c r="S345" s="159"/>
      <c r="T345" s="159"/>
      <c r="V345" s="125"/>
      <c r="W345" s="197"/>
      <c r="X345" s="133"/>
      <c r="Y345" s="134"/>
      <c r="AA345" s="125"/>
      <c r="AB345" s="125"/>
      <c r="AC345" s="166"/>
      <c r="AD345" s="166"/>
      <c r="AE345" s="166"/>
      <c r="AF345" s="136">
        <f>C345+D345+E345-F345-G345</f>
        <v>0</v>
      </c>
      <c r="AG345" s="136"/>
      <c r="AH345" s="125">
        <v>315</v>
      </c>
      <c r="AI345" s="166"/>
      <c r="AJ345" s="125">
        <v>0</v>
      </c>
    </row>
    <row r="346" spans="1:36" x14ac:dyDescent="0.2">
      <c r="B346" s="197"/>
      <c r="C346" s="166"/>
      <c r="D346" s="166"/>
      <c r="E346" s="166"/>
      <c r="F346" s="166"/>
      <c r="G346" s="166"/>
      <c r="H346" s="166"/>
      <c r="I346" s="166"/>
      <c r="J346" s="166"/>
      <c r="K346" s="166"/>
      <c r="L346" s="166"/>
      <c r="M346" s="166"/>
      <c r="N346" s="166"/>
      <c r="O346" s="166"/>
      <c r="P346" s="166"/>
      <c r="Q346" s="153"/>
      <c r="S346" s="159"/>
      <c r="T346" s="159"/>
      <c r="V346" s="125"/>
      <c r="W346" s="197"/>
      <c r="X346" s="133"/>
      <c r="Y346" s="134"/>
      <c r="AA346" s="125"/>
      <c r="AB346" s="125"/>
      <c r="AC346" s="166"/>
      <c r="AD346" s="166"/>
      <c r="AE346" s="166"/>
      <c r="AF346" s="166"/>
      <c r="AG346" s="136"/>
      <c r="AH346" s="125">
        <v>316</v>
      </c>
      <c r="AI346" s="166"/>
    </row>
    <row r="347" spans="1:36" ht="13.5" thickBot="1" x14ac:dyDescent="0.25">
      <c r="B347" s="201" t="s">
        <v>228</v>
      </c>
      <c r="C347" s="169">
        <f>SUM(C343:C346)</f>
        <v>20896000</v>
      </c>
      <c r="D347" s="169">
        <f t="shared" ref="D347:P347" si="73">SUM(D343:D346)</f>
        <v>0</v>
      </c>
      <c r="E347" s="169">
        <f t="shared" si="73"/>
        <v>0</v>
      </c>
      <c r="F347" s="169">
        <f t="shared" si="73"/>
        <v>0</v>
      </c>
      <c r="G347" s="169">
        <f t="shared" si="73"/>
        <v>20896000</v>
      </c>
      <c r="H347" s="169">
        <f t="shared" si="73"/>
        <v>0</v>
      </c>
      <c r="I347" s="169">
        <f t="shared" si="73"/>
        <v>0</v>
      </c>
      <c r="J347" s="169">
        <f t="shared" si="73"/>
        <v>0</v>
      </c>
      <c r="K347" s="169">
        <f t="shared" si="73"/>
        <v>0</v>
      </c>
      <c r="L347" s="169">
        <f t="shared" si="73"/>
        <v>20896000</v>
      </c>
      <c r="M347" s="169">
        <f t="shared" si="73"/>
        <v>0</v>
      </c>
      <c r="N347" s="169">
        <f t="shared" si="73"/>
        <v>0</v>
      </c>
      <c r="O347" s="169">
        <f t="shared" si="73"/>
        <v>0</v>
      </c>
      <c r="P347" s="169">
        <f t="shared" si="73"/>
        <v>0</v>
      </c>
      <c r="Q347" s="153"/>
      <c r="S347" s="159"/>
      <c r="T347" s="159"/>
      <c r="V347" s="125"/>
      <c r="W347" s="201" t="s">
        <v>224</v>
      </c>
      <c r="X347" s="133">
        <v>308</v>
      </c>
      <c r="Y347" s="134"/>
      <c r="AA347" s="125"/>
      <c r="AB347" s="125"/>
      <c r="AC347" s="169" t="e">
        <f>SUM(AC285:AC346)</f>
        <v>#REF!</v>
      </c>
      <c r="AD347" s="169" t="e">
        <f>SUM(AD285:AD346)</f>
        <v>#REF!</v>
      </c>
      <c r="AE347" s="169">
        <f>SUM(AE285:AE346)</f>
        <v>1773911.46</v>
      </c>
      <c r="AF347" s="136">
        <f>C347+D347+E347-F347-G347</f>
        <v>0</v>
      </c>
      <c r="AG347" s="136"/>
      <c r="AH347" s="125">
        <v>317</v>
      </c>
      <c r="AI347" s="135"/>
      <c r="AJ347" s="125">
        <v>0</v>
      </c>
    </row>
    <row r="348" spans="1:36" ht="13.5" thickTop="1" x14ac:dyDescent="0.2">
      <c r="B348" s="197"/>
      <c r="C348" s="166"/>
      <c r="D348" s="166"/>
      <c r="E348" s="166"/>
      <c r="F348" s="166"/>
      <c r="G348" s="166"/>
      <c r="H348" s="166"/>
      <c r="I348" s="166"/>
      <c r="J348" s="166"/>
      <c r="K348" s="166"/>
      <c r="L348" s="166"/>
      <c r="M348" s="166"/>
      <c r="N348" s="166"/>
      <c r="O348" s="166"/>
      <c r="U348" s="197"/>
      <c r="AA348" s="166"/>
      <c r="AB348" s="166"/>
      <c r="AC348" s="166"/>
      <c r="AD348" s="166"/>
      <c r="AH348" s="125">
        <v>318</v>
      </c>
    </row>
    <row r="349" spans="1:36" x14ac:dyDescent="0.2">
      <c r="A349" s="165" t="s">
        <v>229</v>
      </c>
      <c r="C349" s="153"/>
      <c r="D349" s="166"/>
      <c r="E349" s="166"/>
      <c r="F349" s="128"/>
      <c r="G349" s="166"/>
      <c r="H349" s="166"/>
      <c r="I349" s="166"/>
      <c r="J349" s="166"/>
      <c r="K349" s="166"/>
      <c r="L349" s="166"/>
      <c r="M349" s="166"/>
      <c r="N349" s="166"/>
      <c r="O349" s="166"/>
      <c r="U349" s="197"/>
      <c r="AA349" s="166"/>
      <c r="AB349" s="166"/>
      <c r="AC349" s="166"/>
      <c r="AD349" s="166"/>
      <c r="AH349" s="125">
        <v>319</v>
      </c>
    </row>
    <row r="350" spans="1:36" x14ac:dyDescent="0.2">
      <c r="B350" s="197" t="s">
        <v>230</v>
      </c>
      <c r="C350" s="166">
        <v>1045430</v>
      </c>
      <c r="D350" s="166"/>
      <c r="E350" s="166"/>
      <c r="F350" s="166">
        <f>677619.08</f>
        <v>677619.08</v>
      </c>
      <c r="G350" s="166">
        <f>[1]UMES!F171</f>
        <v>367810.92000000004</v>
      </c>
      <c r="H350" s="166">
        <f>[1]UMES!H171</f>
        <v>285393.71999999997</v>
      </c>
      <c r="I350" s="166"/>
      <c r="J350" s="166">
        <f>[1]UMES!J171</f>
        <v>0</v>
      </c>
      <c r="K350" s="166">
        <f>[1]UMES!K171</f>
        <v>0</v>
      </c>
      <c r="L350" s="162">
        <f>G350-H350-I350-J350-K350</f>
        <v>82417.20000000007</v>
      </c>
      <c r="M350" s="162">
        <f>H350-N350-O350</f>
        <v>21829.119999999995</v>
      </c>
      <c r="N350" s="162">
        <v>263564.59999999998</v>
      </c>
      <c r="O350" s="162">
        <v>0</v>
      </c>
      <c r="U350" s="197"/>
      <c r="AA350" s="166"/>
      <c r="AB350" s="166"/>
      <c r="AC350" s="166"/>
      <c r="AD350" s="166"/>
      <c r="AF350" s="136">
        <f>C350+D350+E350-F350-G350</f>
        <v>0</v>
      </c>
      <c r="AH350" s="125">
        <v>320</v>
      </c>
      <c r="AJ350" s="125">
        <v>0</v>
      </c>
    </row>
    <row r="351" spans="1:36" x14ac:dyDescent="0.2">
      <c r="B351" s="197" t="s">
        <v>231</v>
      </c>
      <c r="C351" s="166">
        <v>8000000</v>
      </c>
      <c r="D351" s="166"/>
      <c r="E351" s="166"/>
      <c r="F351" s="166">
        <f>4156585.88+673518.08+260562</f>
        <v>5090665.96</v>
      </c>
      <c r="G351" s="166">
        <f>[1]TU!F570</f>
        <v>2909334.04</v>
      </c>
      <c r="H351" s="166">
        <f>[1]TU!H570</f>
        <v>288185.09000000003</v>
      </c>
      <c r="I351" s="166"/>
      <c r="J351" s="166">
        <f>[1]TU!J570</f>
        <v>0</v>
      </c>
      <c r="K351" s="166">
        <f>[1]TU!K570</f>
        <v>0</v>
      </c>
      <c r="L351" s="162">
        <f>G351-H351-I351-J351-K351</f>
        <v>2621148.9500000002</v>
      </c>
      <c r="M351" s="162">
        <f>H351-N351-O351</f>
        <v>30782.070000000036</v>
      </c>
      <c r="N351" s="162">
        <v>257403.02</v>
      </c>
      <c r="O351" s="162">
        <v>0</v>
      </c>
      <c r="U351" s="197"/>
      <c r="AA351" s="166"/>
      <c r="AB351" s="166"/>
      <c r="AC351" s="166"/>
      <c r="AD351" s="166"/>
      <c r="AF351" s="136">
        <f>C351+D351+E351-F351-G351</f>
        <v>0</v>
      </c>
      <c r="AH351" s="125">
        <v>321</v>
      </c>
      <c r="AJ351" s="125">
        <v>0</v>
      </c>
    </row>
    <row r="352" spans="1:36" x14ac:dyDescent="0.2">
      <c r="B352" s="197"/>
      <c r="C352" s="166"/>
      <c r="D352" s="166"/>
      <c r="E352" s="166"/>
      <c r="F352" s="166"/>
      <c r="G352" s="166"/>
      <c r="H352" s="166"/>
      <c r="I352" s="166"/>
      <c r="J352" s="166"/>
      <c r="K352" s="166"/>
      <c r="L352" s="166"/>
      <c r="M352" s="166"/>
      <c r="N352" s="166"/>
      <c r="O352" s="166"/>
      <c r="U352" s="197"/>
      <c r="AA352" s="166"/>
      <c r="AB352" s="166"/>
      <c r="AC352" s="166"/>
      <c r="AD352" s="166"/>
      <c r="AH352" s="125">
        <v>322</v>
      </c>
    </row>
    <row r="353" spans="1:36" ht="13.5" thickBot="1" x14ac:dyDescent="0.25">
      <c r="B353" s="201" t="s">
        <v>232</v>
      </c>
      <c r="C353" s="169">
        <f>SUM(C350:C352)</f>
        <v>9045430</v>
      </c>
      <c r="D353" s="169">
        <f t="shared" ref="D353:O353" si="74">SUM(D350:D352)</f>
        <v>0</v>
      </c>
      <c r="E353" s="169">
        <f t="shared" si="74"/>
        <v>0</v>
      </c>
      <c r="F353" s="169">
        <f t="shared" si="74"/>
        <v>5768285.04</v>
      </c>
      <c r="G353" s="169">
        <f t="shared" si="74"/>
        <v>3277144.96</v>
      </c>
      <c r="H353" s="169">
        <f>SUM(H350:H352)</f>
        <v>573578.81000000006</v>
      </c>
      <c r="I353" s="169">
        <f t="shared" si="74"/>
        <v>0</v>
      </c>
      <c r="J353" s="169">
        <f t="shared" si="74"/>
        <v>0</v>
      </c>
      <c r="K353" s="169">
        <f t="shared" si="74"/>
        <v>0</v>
      </c>
      <c r="L353" s="169">
        <f t="shared" si="74"/>
        <v>2703566.1500000004</v>
      </c>
      <c r="M353" s="169">
        <f t="shared" si="74"/>
        <v>52611.190000000031</v>
      </c>
      <c r="N353" s="169">
        <f t="shared" si="74"/>
        <v>520967.62</v>
      </c>
      <c r="O353" s="169">
        <f t="shared" si="74"/>
        <v>0</v>
      </c>
      <c r="U353" s="201" t="s">
        <v>224</v>
      </c>
      <c r="V353" s="133">
        <v>308</v>
      </c>
      <c r="AA353" s="169" t="e">
        <f>SUM(AA333:AA352)</f>
        <v>#REF!</v>
      </c>
      <c r="AB353" s="169" t="e">
        <f>SUM(AB333:AB352)</f>
        <v>#REF!</v>
      </c>
      <c r="AC353" s="169" t="e">
        <f>SUM(AC333:AC352)</f>
        <v>#REF!</v>
      </c>
      <c r="AD353" s="169" t="e">
        <f>SUM(AD333:AD352)</f>
        <v>#REF!</v>
      </c>
      <c r="AF353" s="136">
        <f>C353+D353+E353-F353-G353</f>
        <v>0</v>
      </c>
      <c r="AH353" s="125">
        <v>323</v>
      </c>
      <c r="AJ353" s="125">
        <v>0</v>
      </c>
    </row>
    <row r="354" spans="1:36" ht="13.5" thickTop="1" x14ac:dyDescent="0.2">
      <c r="B354" s="197"/>
      <c r="C354" s="166"/>
      <c r="D354" s="166"/>
      <c r="E354" s="166"/>
      <c r="F354" s="166"/>
      <c r="G354" s="166"/>
      <c r="H354" s="166"/>
      <c r="I354" s="166"/>
      <c r="J354" s="166"/>
      <c r="K354" s="166"/>
      <c r="L354" s="166"/>
      <c r="M354" s="166"/>
      <c r="N354" s="166"/>
      <c r="O354" s="166"/>
      <c r="U354" s="197"/>
      <c r="AA354" s="166"/>
      <c r="AB354" s="166"/>
      <c r="AC354" s="166"/>
      <c r="AD354" s="166"/>
      <c r="AH354" s="125">
        <v>324</v>
      </c>
    </row>
    <row r="355" spans="1:36" x14ac:dyDescent="0.2">
      <c r="A355" s="165" t="s">
        <v>233</v>
      </c>
      <c r="C355" s="153"/>
      <c r="D355" s="166"/>
      <c r="E355" s="166"/>
      <c r="F355" s="166"/>
      <c r="G355" s="166"/>
      <c r="H355" s="166"/>
      <c r="I355" s="166"/>
      <c r="J355" s="166"/>
      <c r="K355" s="166"/>
      <c r="L355" s="166"/>
      <c r="M355" s="166"/>
      <c r="N355" s="166"/>
      <c r="O355" s="166"/>
      <c r="U355" s="197"/>
      <c r="AA355" s="166"/>
      <c r="AB355" s="166"/>
      <c r="AC355" s="166"/>
      <c r="AD355" s="166"/>
      <c r="AH355" s="125">
        <v>325</v>
      </c>
    </row>
    <row r="356" spans="1:36" x14ac:dyDescent="0.2">
      <c r="A356" s="165"/>
      <c r="B356" s="125" t="s">
        <v>234</v>
      </c>
      <c r="C356" s="153">
        <v>2700000</v>
      </c>
      <c r="D356" s="166"/>
      <c r="E356" s="166"/>
      <c r="F356" s="166"/>
      <c r="G356" s="166">
        <f>[1]UMB!F384</f>
        <v>2700000</v>
      </c>
      <c r="H356" s="166">
        <f>[1]UMB!H384</f>
        <v>0</v>
      </c>
      <c r="I356" s="166"/>
      <c r="J356" s="166">
        <f>[1]UMB!J384</f>
        <v>0</v>
      </c>
      <c r="K356" s="166">
        <f>[1]UMB!K384</f>
        <v>0</v>
      </c>
      <c r="L356" s="162">
        <f>G356-H356-I356-J356-K356</f>
        <v>2700000</v>
      </c>
      <c r="M356" s="162">
        <f>H356-N356-O356</f>
        <v>0</v>
      </c>
      <c r="N356" s="162">
        <v>0</v>
      </c>
      <c r="O356" s="162">
        <v>0</v>
      </c>
      <c r="U356" s="197"/>
      <c r="AA356" s="166"/>
      <c r="AB356" s="166"/>
      <c r="AC356" s="166"/>
      <c r="AD356" s="166"/>
      <c r="AF356" s="136">
        <f>C356+D356+E356-F356-G356</f>
        <v>0</v>
      </c>
      <c r="AH356" s="125">
        <v>326</v>
      </c>
      <c r="AJ356" s="125">
        <v>0</v>
      </c>
    </row>
    <row r="357" spans="1:36" x14ac:dyDescent="0.2">
      <c r="A357" s="165"/>
      <c r="B357" s="125" t="s">
        <v>235</v>
      </c>
      <c r="C357" s="153">
        <v>1000000</v>
      </c>
      <c r="D357" s="166"/>
      <c r="E357" s="166"/>
      <c r="F357" s="166"/>
      <c r="G357" s="166">
        <f>[1]FSU!F201</f>
        <v>1000000</v>
      </c>
      <c r="H357" s="166">
        <f>[1]FSU!H201</f>
        <v>0</v>
      </c>
      <c r="I357" s="166"/>
      <c r="J357" s="166">
        <f>[1]FSU!J201</f>
        <v>0</v>
      </c>
      <c r="K357" s="166">
        <f>[1]FSU!K201</f>
        <v>0</v>
      </c>
      <c r="L357" s="162">
        <f>G357-H357-I357-J357-K357</f>
        <v>1000000</v>
      </c>
      <c r="M357" s="162">
        <f>H357-N357-O357</f>
        <v>0</v>
      </c>
      <c r="N357" s="162">
        <v>0</v>
      </c>
      <c r="O357" s="162">
        <v>0</v>
      </c>
      <c r="U357" s="197"/>
      <c r="AA357" s="166"/>
      <c r="AB357" s="166"/>
      <c r="AC357" s="166"/>
      <c r="AD357" s="166"/>
      <c r="AF357" s="136">
        <f>C357+D357+E357-F357-G357</f>
        <v>0</v>
      </c>
      <c r="AH357" s="125">
        <v>327</v>
      </c>
      <c r="AJ357" s="125">
        <v>0</v>
      </c>
    </row>
    <row r="358" spans="1:36" x14ac:dyDescent="0.2">
      <c r="A358" s="165"/>
      <c r="B358" s="125" t="s">
        <v>236</v>
      </c>
      <c r="C358" s="153">
        <v>20000000</v>
      </c>
      <c r="D358" s="166"/>
      <c r="E358" s="166"/>
      <c r="F358" s="166">
        <f>2665098.06+996336.78+299</f>
        <v>3661733.84</v>
      </c>
      <c r="G358" s="166">
        <f>[1]TU!F384</f>
        <v>16338266.16</v>
      </c>
      <c r="H358" s="166">
        <f>[1]TU!H384</f>
        <v>1852361.7999999998</v>
      </c>
      <c r="I358" s="166"/>
      <c r="J358" s="166">
        <f>[1]TU!J384</f>
        <v>0</v>
      </c>
      <c r="K358" s="166">
        <f>[1]TU!K384</f>
        <v>0</v>
      </c>
      <c r="L358" s="162">
        <f>G358-H358-I358-J358-K358</f>
        <v>14485904.359999999</v>
      </c>
      <c r="M358" s="162">
        <f>H358-N358-O358</f>
        <v>866154.19999999984</v>
      </c>
      <c r="N358" s="162">
        <v>986207.6</v>
      </c>
      <c r="O358" s="162">
        <v>0</v>
      </c>
      <c r="U358" s="197"/>
      <c r="AA358" s="166"/>
      <c r="AB358" s="166"/>
      <c r="AC358" s="166"/>
      <c r="AD358" s="166"/>
      <c r="AF358" s="136">
        <f>C358+D358+E358-F358-G358</f>
        <v>0</v>
      </c>
      <c r="AH358" s="125">
        <v>328</v>
      </c>
      <c r="AJ358" s="125">
        <v>0</v>
      </c>
    </row>
    <row r="359" spans="1:36" x14ac:dyDescent="0.2">
      <c r="B359" s="197"/>
      <c r="C359" s="166"/>
      <c r="D359" s="166"/>
      <c r="E359" s="166"/>
      <c r="F359" s="166"/>
      <c r="G359" s="166"/>
      <c r="H359" s="166"/>
      <c r="I359" s="166"/>
      <c r="J359" s="166"/>
      <c r="K359" s="166"/>
      <c r="L359" s="166"/>
      <c r="M359" s="166"/>
      <c r="N359" s="166"/>
      <c r="O359" s="166"/>
      <c r="U359" s="197"/>
      <c r="AA359" s="166"/>
      <c r="AB359" s="166"/>
      <c r="AC359" s="166"/>
      <c r="AD359" s="166"/>
      <c r="AH359" s="125">
        <v>329</v>
      </c>
    </row>
    <row r="360" spans="1:36" ht="13.5" thickBot="1" x14ac:dyDescent="0.25">
      <c r="B360" s="201" t="s">
        <v>237</v>
      </c>
      <c r="C360" s="169">
        <f>SUM(C356:C359)</f>
        <v>23700000</v>
      </c>
      <c r="D360" s="169">
        <f t="shared" ref="D360:O360" si="75">SUM(D356:D359)</f>
        <v>0</v>
      </c>
      <c r="E360" s="169">
        <f t="shared" si="75"/>
        <v>0</v>
      </c>
      <c r="F360" s="169">
        <f>SUM(F356:F359)</f>
        <v>3661733.84</v>
      </c>
      <c r="G360" s="169">
        <f t="shared" si="75"/>
        <v>20038266.16</v>
      </c>
      <c r="H360" s="169">
        <f t="shared" si="75"/>
        <v>1852361.7999999998</v>
      </c>
      <c r="I360" s="169">
        <f t="shared" si="75"/>
        <v>0</v>
      </c>
      <c r="J360" s="169">
        <f t="shared" si="75"/>
        <v>0</v>
      </c>
      <c r="K360" s="169">
        <f t="shared" si="75"/>
        <v>0</v>
      </c>
      <c r="L360" s="169">
        <f t="shared" si="75"/>
        <v>18185904.359999999</v>
      </c>
      <c r="M360" s="169">
        <f t="shared" si="75"/>
        <v>866154.19999999984</v>
      </c>
      <c r="N360" s="169">
        <f t="shared" si="75"/>
        <v>986207.6</v>
      </c>
      <c r="O360" s="169">
        <f t="shared" si="75"/>
        <v>0</v>
      </c>
      <c r="U360" s="201" t="s">
        <v>224</v>
      </c>
      <c r="V360" s="133">
        <v>308</v>
      </c>
      <c r="AA360" s="169" t="e">
        <f>SUM(AA333:AA359)</f>
        <v>#REF!</v>
      </c>
      <c r="AB360" s="169" t="e">
        <f>SUM(AB333:AB359)</f>
        <v>#REF!</v>
      </c>
      <c r="AC360" s="169" t="e">
        <f>SUM(AC333:AC359)</f>
        <v>#REF!</v>
      </c>
      <c r="AD360" s="169" t="e">
        <f>SUM(AD333:AD359)</f>
        <v>#REF!</v>
      </c>
      <c r="AF360" s="136">
        <f>C360+D360+E360-F360-G360</f>
        <v>0</v>
      </c>
      <c r="AH360" s="125">
        <v>330</v>
      </c>
      <c r="AJ360" s="125">
        <v>0</v>
      </c>
    </row>
    <row r="361" spans="1:36" ht="13.5" thickTop="1" x14ac:dyDescent="0.2">
      <c r="A361" s="165"/>
      <c r="C361" s="153"/>
      <c r="D361" s="166"/>
      <c r="E361" s="166"/>
      <c r="F361" s="166"/>
      <c r="G361" s="166"/>
      <c r="H361" s="166"/>
      <c r="I361" s="166"/>
      <c r="J361" s="166"/>
      <c r="K361" s="166"/>
      <c r="L361" s="166"/>
      <c r="M361" s="166"/>
      <c r="N361" s="166"/>
      <c r="O361" s="166"/>
      <c r="U361" s="197"/>
      <c r="AA361" s="166"/>
      <c r="AB361" s="166"/>
      <c r="AC361" s="166"/>
      <c r="AD361" s="166"/>
      <c r="AH361" s="125">
        <v>331</v>
      </c>
    </row>
    <row r="362" spans="1:36" x14ac:dyDescent="0.2">
      <c r="A362" s="165" t="s">
        <v>238</v>
      </c>
      <c r="C362" s="153"/>
      <c r="D362" s="166"/>
      <c r="E362" s="166"/>
      <c r="F362" s="166"/>
      <c r="G362" s="166"/>
      <c r="H362" s="166"/>
      <c r="I362" s="166"/>
      <c r="J362" s="166"/>
      <c r="K362" s="166"/>
      <c r="L362" s="166"/>
      <c r="M362" s="166"/>
      <c r="N362" s="166"/>
      <c r="O362" s="166"/>
      <c r="U362" s="197"/>
      <c r="AA362" s="166"/>
      <c r="AB362" s="166"/>
      <c r="AC362" s="166"/>
      <c r="AD362" s="166"/>
      <c r="AH362" s="125">
        <v>332</v>
      </c>
    </row>
    <row r="363" spans="1:36" x14ac:dyDescent="0.2">
      <c r="B363" s="197" t="s">
        <v>239</v>
      </c>
      <c r="C363" s="166">
        <v>25000000</v>
      </c>
      <c r="D363" s="166"/>
      <c r="E363" s="166"/>
      <c r="F363" s="166">
        <v>0</v>
      </c>
      <c r="G363" s="166">
        <f>[1]UMCP!F274</f>
        <v>25000000</v>
      </c>
      <c r="H363" s="166">
        <f>[1]UMCP!H274</f>
        <v>24648776.460000008</v>
      </c>
      <c r="I363" s="166"/>
      <c r="J363" s="166">
        <f>[1]UMCP!J274</f>
        <v>0</v>
      </c>
      <c r="K363" s="166">
        <f>[1]UMCP!K274</f>
        <v>0</v>
      </c>
      <c r="L363" s="162">
        <f>G363-H363-I363-J363-K363</f>
        <v>351223.53999999166</v>
      </c>
      <c r="M363" s="162">
        <f>H363-N363-O363</f>
        <v>44448.940000001341</v>
      </c>
      <c r="N363" s="162">
        <v>2878845.1800000072</v>
      </c>
      <c r="O363" s="162">
        <v>21725482.34</v>
      </c>
      <c r="U363" s="197"/>
      <c r="AA363" s="166"/>
      <c r="AB363" s="166"/>
      <c r="AC363" s="166"/>
      <c r="AD363" s="166"/>
      <c r="AF363" s="136">
        <f>C363+D363+E363-F363-G363</f>
        <v>0</v>
      </c>
      <c r="AH363" s="125">
        <v>333</v>
      </c>
      <c r="AJ363" s="125">
        <v>24456458.040000007</v>
      </c>
    </row>
    <row r="364" spans="1:36" x14ac:dyDescent="0.2">
      <c r="B364" s="197" t="s">
        <v>240</v>
      </c>
      <c r="C364" s="166">
        <v>15000000</v>
      </c>
      <c r="D364" s="166"/>
      <c r="E364" s="166"/>
      <c r="F364" s="166">
        <v>0</v>
      </c>
      <c r="G364" s="166">
        <f>[1]UMCP!F309</f>
        <v>15000000</v>
      </c>
      <c r="H364" s="166">
        <f>[1]UMCP!H309</f>
        <v>15000000</v>
      </c>
      <c r="I364" s="166"/>
      <c r="J364" s="166">
        <f>[1]UMCP!J309</f>
        <v>0</v>
      </c>
      <c r="K364" s="166">
        <f>[1]UMCP!K309</f>
        <v>0</v>
      </c>
      <c r="L364" s="162">
        <f>G364-H364-I364-J364-K364</f>
        <v>0</v>
      </c>
      <c r="M364" s="162">
        <f>H364-N364-O364</f>
        <v>0</v>
      </c>
      <c r="N364" s="162">
        <v>0</v>
      </c>
      <c r="O364" s="162">
        <v>15000000</v>
      </c>
      <c r="U364" s="197"/>
      <c r="AA364" s="166"/>
      <c r="AB364" s="166"/>
      <c r="AC364" s="166"/>
      <c r="AD364" s="166"/>
      <c r="AF364" s="136">
        <f>C364+D364+E364-F364-G364</f>
        <v>0</v>
      </c>
      <c r="AH364" s="125">
        <v>334</v>
      </c>
      <c r="AJ364" s="125">
        <v>15000000</v>
      </c>
    </row>
    <row r="365" spans="1:36" x14ac:dyDescent="0.2">
      <c r="B365" s="197"/>
      <c r="C365" s="166"/>
      <c r="D365" s="166"/>
      <c r="E365" s="166"/>
      <c r="F365" s="166"/>
      <c r="G365" s="166"/>
      <c r="H365" s="166"/>
      <c r="I365" s="166"/>
      <c r="J365" s="166"/>
      <c r="K365" s="166"/>
      <c r="L365" s="166"/>
      <c r="M365" s="166"/>
      <c r="N365" s="166"/>
      <c r="O365" s="166"/>
      <c r="U365" s="197"/>
      <c r="AA365" s="166"/>
      <c r="AB365" s="166"/>
      <c r="AC365" s="166"/>
      <c r="AD365" s="166"/>
      <c r="AH365" s="125">
        <v>335</v>
      </c>
    </row>
    <row r="366" spans="1:36" ht="13.5" thickBot="1" x14ac:dyDescent="0.25">
      <c r="B366" s="201" t="s">
        <v>241</v>
      </c>
      <c r="C366" s="169">
        <f>SUM(C363:C365)</f>
        <v>40000000</v>
      </c>
      <c r="D366" s="169">
        <f t="shared" ref="D366:O366" si="76">SUM(D363:D365)</f>
        <v>0</v>
      </c>
      <c r="E366" s="169">
        <f t="shared" si="76"/>
        <v>0</v>
      </c>
      <c r="F366" s="169">
        <f t="shared" si="76"/>
        <v>0</v>
      </c>
      <c r="G366" s="169">
        <f t="shared" si="76"/>
        <v>40000000</v>
      </c>
      <c r="H366" s="169">
        <f>SUM(H363:H365)</f>
        <v>39648776.460000008</v>
      </c>
      <c r="I366" s="169">
        <f t="shared" si="76"/>
        <v>0</v>
      </c>
      <c r="J366" s="169">
        <f t="shared" si="76"/>
        <v>0</v>
      </c>
      <c r="K366" s="169">
        <f t="shared" si="76"/>
        <v>0</v>
      </c>
      <c r="L366" s="169">
        <f t="shared" si="76"/>
        <v>351223.53999999166</v>
      </c>
      <c r="M366" s="169">
        <f t="shared" si="76"/>
        <v>44448.940000001341</v>
      </c>
      <c r="N366" s="169">
        <f t="shared" si="76"/>
        <v>2878845.1800000072</v>
      </c>
      <c r="O366" s="169">
        <f t="shared" si="76"/>
        <v>36725482.340000004</v>
      </c>
      <c r="U366" s="201" t="s">
        <v>224</v>
      </c>
      <c r="V366" s="133">
        <v>308</v>
      </c>
      <c r="AA366" s="169" t="e">
        <f>SUM(AA333:AA365)</f>
        <v>#REF!</v>
      </c>
      <c r="AB366" s="169" t="e">
        <f>SUM(AB333:AB365)</f>
        <v>#REF!</v>
      </c>
      <c r="AC366" s="169" t="e">
        <f>SUM(AC333:AC365)</f>
        <v>#REF!</v>
      </c>
      <c r="AD366" s="169" t="e">
        <f>SUM(AD333:AD365)</f>
        <v>#REF!</v>
      </c>
      <c r="AF366" s="136">
        <f>C366+D366+E366-F366-G366</f>
        <v>0</v>
      </c>
      <c r="AH366" s="125">
        <v>336</v>
      </c>
      <c r="AJ366" s="125">
        <v>39456458.040000007</v>
      </c>
    </row>
    <row r="367" spans="1:36" ht="13.5" thickTop="1" x14ac:dyDescent="0.2">
      <c r="B367" s="197"/>
      <c r="C367" s="166"/>
      <c r="D367" s="166"/>
      <c r="E367" s="166"/>
      <c r="F367" s="166"/>
      <c r="G367" s="166"/>
      <c r="H367" s="166"/>
      <c r="I367" s="166"/>
      <c r="J367" s="166"/>
      <c r="K367" s="166"/>
      <c r="L367" s="166"/>
      <c r="M367" s="166"/>
      <c r="N367" s="166"/>
      <c r="O367" s="166"/>
      <c r="U367" s="197"/>
      <c r="AA367" s="166"/>
      <c r="AB367" s="166"/>
      <c r="AC367" s="166"/>
      <c r="AD367" s="166"/>
      <c r="AH367" s="125">
        <v>337</v>
      </c>
    </row>
    <row r="368" spans="1:36" x14ac:dyDescent="0.2">
      <c r="A368" s="165" t="s">
        <v>242</v>
      </c>
      <c r="C368" s="153"/>
      <c r="D368" s="166"/>
      <c r="E368" s="166"/>
      <c r="F368" s="203"/>
      <c r="G368" s="166"/>
      <c r="H368" s="166"/>
      <c r="I368" s="166"/>
      <c r="J368" s="166"/>
      <c r="K368" s="166"/>
      <c r="L368" s="166"/>
      <c r="M368" s="166"/>
      <c r="N368" s="166"/>
      <c r="O368" s="166"/>
      <c r="U368" s="197"/>
      <c r="AA368" s="166"/>
      <c r="AB368" s="166"/>
      <c r="AC368" s="166"/>
      <c r="AD368" s="166"/>
      <c r="AH368" s="125">
        <v>338</v>
      </c>
    </row>
    <row r="369" spans="1:36" x14ac:dyDescent="0.2">
      <c r="B369" s="197" t="s">
        <v>243</v>
      </c>
      <c r="C369" s="166">
        <v>4000000</v>
      </c>
      <c r="D369" s="166"/>
      <c r="E369" s="166"/>
      <c r="F369" s="166">
        <v>0</v>
      </c>
      <c r="G369" s="166">
        <f>[1]UMCP!F317</f>
        <v>4000000</v>
      </c>
      <c r="H369" s="166">
        <f>[1]UMCP!H317</f>
        <v>4000000</v>
      </c>
      <c r="I369" s="166"/>
      <c r="J369" s="166"/>
      <c r="K369" s="166">
        <f>[1]UMCP!K317</f>
        <v>0</v>
      </c>
      <c r="L369" s="162">
        <f>G369-H369-I369-J369-K369</f>
        <v>0</v>
      </c>
      <c r="M369" s="162">
        <f>H369-N369-O369</f>
        <v>0</v>
      </c>
      <c r="N369" s="162">
        <v>0</v>
      </c>
      <c r="O369" s="162">
        <v>4000000</v>
      </c>
      <c r="U369" s="197"/>
      <c r="AA369" s="166"/>
      <c r="AB369" s="166"/>
      <c r="AC369" s="166"/>
      <c r="AD369" s="166"/>
      <c r="AF369" s="136">
        <f>C369+D369+E369-F369-G369</f>
        <v>0</v>
      </c>
      <c r="AH369" s="125">
        <v>339</v>
      </c>
      <c r="AJ369" s="125">
        <v>4000000</v>
      </c>
    </row>
    <row r="370" spans="1:36" x14ac:dyDescent="0.2">
      <c r="B370" s="197" t="s">
        <v>244</v>
      </c>
      <c r="C370" s="166">
        <f>1000000+8780000</f>
        <v>9780000</v>
      </c>
      <c r="D370" s="166"/>
      <c r="E370" s="166"/>
      <c r="F370" s="166">
        <f>9312023.08</f>
        <v>9312023.0800000001</v>
      </c>
      <c r="G370" s="166">
        <f>[1]UMCP!F285</f>
        <v>467976.91999999993</v>
      </c>
      <c r="H370" s="166">
        <f>[1]UMCP!H285</f>
        <v>467976.92</v>
      </c>
      <c r="I370" s="166"/>
      <c r="J370" s="166"/>
      <c r="K370" s="166">
        <f>[1]UMCP!K285</f>
        <v>0</v>
      </c>
      <c r="L370" s="162">
        <f>G370-H370-I370-J370-K370</f>
        <v>-5.8207660913467407E-11</v>
      </c>
      <c r="M370" s="162">
        <f>H370-N370-O370</f>
        <v>0</v>
      </c>
      <c r="N370" s="162">
        <v>0</v>
      </c>
      <c r="O370" s="162">
        <v>467976.92</v>
      </c>
      <c r="U370" s="197"/>
      <c r="AA370" s="166"/>
      <c r="AB370" s="166"/>
      <c r="AC370" s="166"/>
      <c r="AD370" s="166"/>
      <c r="AF370" s="136">
        <f>C370+D370+E370-F370-G370</f>
        <v>0</v>
      </c>
      <c r="AH370" s="125">
        <v>340</v>
      </c>
      <c r="AJ370" s="125">
        <v>467976.92</v>
      </c>
    </row>
    <row r="371" spans="1:36" x14ac:dyDescent="0.2">
      <c r="B371" s="197" t="s">
        <v>245</v>
      </c>
      <c r="C371" s="166">
        <v>13100000</v>
      </c>
      <c r="D371" s="166"/>
      <c r="E371" s="166"/>
      <c r="F371" s="166">
        <f>5842776.86+7257223.14</f>
        <v>13100000</v>
      </c>
      <c r="G371" s="166">
        <f>[1]UMBC!F135</f>
        <v>0</v>
      </c>
      <c r="H371" s="166">
        <f>[1]UMBC!H135</f>
        <v>0</v>
      </c>
      <c r="I371" s="166"/>
      <c r="J371" s="166"/>
      <c r="K371" s="166"/>
      <c r="L371" s="162">
        <f>G371-H371-I371-J371-K371</f>
        <v>0</v>
      </c>
      <c r="M371" s="162">
        <f>H371-N371-O371</f>
        <v>0</v>
      </c>
      <c r="N371" s="162">
        <v>0</v>
      </c>
      <c r="O371" s="162">
        <v>0</v>
      </c>
      <c r="U371" s="197"/>
      <c r="AA371" s="166"/>
      <c r="AB371" s="166"/>
      <c r="AC371" s="166"/>
      <c r="AD371" s="166"/>
      <c r="AF371" s="136">
        <f>C371+D371+E371-F371-G371</f>
        <v>0</v>
      </c>
      <c r="AH371" s="125">
        <v>341</v>
      </c>
      <c r="AJ371" s="125">
        <v>0</v>
      </c>
    </row>
    <row r="372" spans="1:36" x14ac:dyDescent="0.2">
      <c r="B372" s="197" t="s">
        <v>246</v>
      </c>
      <c r="C372" s="166">
        <v>25100000</v>
      </c>
      <c r="D372" s="166"/>
      <c r="E372" s="166"/>
      <c r="F372" s="166">
        <f>1995.27+25052096.18</f>
        <v>25054091.449999999</v>
      </c>
      <c r="G372" s="166">
        <f>[1]TU!F577</f>
        <v>45908.550000000745</v>
      </c>
      <c r="H372" s="166">
        <f>[1]TU!H577</f>
        <v>0</v>
      </c>
      <c r="I372" s="166"/>
      <c r="J372" s="166"/>
      <c r="K372" s="166"/>
      <c r="L372" s="162">
        <f>G372-H372-I372-J372-K372</f>
        <v>45908.550000000745</v>
      </c>
      <c r="M372" s="162">
        <f>H372-N372-O372</f>
        <v>0</v>
      </c>
      <c r="N372" s="162">
        <v>0</v>
      </c>
      <c r="O372" s="162">
        <v>0</v>
      </c>
      <c r="U372" s="197"/>
      <c r="AA372" s="166"/>
      <c r="AB372" s="166"/>
      <c r="AC372" s="166"/>
      <c r="AD372" s="166"/>
      <c r="AF372" s="136">
        <f>C372+D372+E372-F372-G372</f>
        <v>0</v>
      </c>
      <c r="AH372" s="125">
        <v>342</v>
      </c>
      <c r="AJ372" s="125">
        <v>0</v>
      </c>
    </row>
    <row r="373" spans="1:36" x14ac:dyDescent="0.2">
      <c r="B373" s="197" t="s">
        <v>227</v>
      </c>
      <c r="C373" s="166">
        <v>20513000</v>
      </c>
      <c r="D373" s="166"/>
      <c r="E373" s="166"/>
      <c r="F373" s="166">
        <v>20513000</v>
      </c>
      <c r="G373" s="166">
        <f>[1]TU!F389</f>
        <v>0</v>
      </c>
      <c r="H373" s="166">
        <f>[1]TU!H389</f>
        <v>0</v>
      </c>
      <c r="I373" s="166"/>
      <c r="J373" s="166"/>
      <c r="K373" s="166"/>
      <c r="L373" s="162">
        <f>G373-H373-I373-J373-K373</f>
        <v>0</v>
      </c>
      <c r="M373" s="162">
        <f>H373-N373-O373</f>
        <v>0</v>
      </c>
      <c r="N373" s="162">
        <v>0</v>
      </c>
      <c r="O373" s="162">
        <v>0</v>
      </c>
      <c r="U373" s="197"/>
      <c r="AA373" s="166"/>
      <c r="AB373" s="166"/>
      <c r="AC373" s="166"/>
      <c r="AD373" s="166"/>
      <c r="AF373" s="136">
        <f>C373+D373+E373-F373-G373</f>
        <v>0</v>
      </c>
      <c r="AH373" s="125">
        <v>343</v>
      </c>
      <c r="AJ373" s="125">
        <v>0</v>
      </c>
    </row>
    <row r="374" spans="1:36" x14ac:dyDescent="0.2">
      <c r="B374" s="197"/>
      <c r="C374" s="166"/>
      <c r="D374" s="166"/>
      <c r="E374" s="166"/>
      <c r="F374" s="166"/>
      <c r="G374" s="166"/>
      <c r="H374" s="166"/>
      <c r="I374" s="166"/>
      <c r="J374" s="166"/>
      <c r="K374" s="166"/>
      <c r="L374" s="166"/>
      <c r="M374" s="166"/>
      <c r="N374" s="166"/>
      <c r="O374" s="166"/>
      <c r="U374" s="197"/>
      <c r="AA374" s="166"/>
      <c r="AB374" s="166"/>
      <c r="AC374" s="166"/>
      <c r="AD374" s="166"/>
      <c r="AH374" s="125">
        <v>344</v>
      </c>
    </row>
    <row r="375" spans="1:36" ht="13.5" thickBot="1" x14ac:dyDescent="0.25">
      <c r="B375" s="201" t="s">
        <v>247</v>
      </c>
      <c r="C375" s="169">
        <f t="shared" ref="C375:O375" si="77">SUM(C369:C374)</f>
        <v>72493000</v>
      </c>
      <c r="D375" s="169">
        <f t="shared" si="77"/>
        <v>0</v>
      </c>
      <c r="E375" s="169">
        <f t="shared" si="77"/>
        <v>0</v>
      </c>
      <c r="F375" s="169">
        <f t="shared" si="77"/>
        <v>67979114.530000001</v>
      </c>
      <c r="G375" s="169">
        <f t="shared" si="77"/>
        <v>4513885.4700000007</v>
      </c>
      <c r="H375" s="169">
        <f t="shared" si="77"/>
        <v>4467976.92</v>
      </c>
      <c r="I375" s="169">
        <f t="shared" si="77"/>
        <v>0</v>
      </c>
      <c r="J375" s="169">
        <f t="shared" si="77"/>
        <v>0</v>
      </c>
      <c r="K375" s="169">
        <f t="shared" si="77"/>
        <v>0</v>
      </c>
      <c r="L375" s="169">
        <f t="shared" si="77"/>
        <v>45908.550000000687</v>
      </c>
      <c r="M375" s="169">
        <f t="shared" si="77"/>
        <v>0</v>
      </c>
      <c r="N375" s="169">
        <f t="shared" si="77"/>
        <v>0</v>
      </c>
      <c r="O375" s="169">
        <f t="shared" si="77"/>
        <v>4467976.92</v>
      </c>
      <c r="U375" s="201" t="s">
        <v>224</v>
      </c>
      <c r="V375" s="133">
        <v>308</v>
      </c>
      <c r="AA375" s="169" t="e">
        <f>SUM(AA333:AA374)</f>
        <v>#REF!</v>
      </c>
      <c r="AB375" s="169" t="e">
        <f>SUM(AB333:AB374)</f>
        <v>#REF!</v>
      </c>
      <c r="AC375" s="169" t="e">
        <f>SUM(AC333:AC374)</f>
        <v>#REF!</v>
      </c>
      <c r="AD375" s="169" t="e">
        <f>SUM(AD333:AD374)</f>
        <v>#REF!</v>
      </c>
      <c r="AF375" s="136">
        <f>C375+D375+E375-F375-G375</f>
        <v>0</v>
      </c>
      <c r="AH375" s="125">
        <v>345</v>
      </c>
      <c r="AJ375" s="125">
        <v>4467976.92</v>
      </c>
    </row>
    <row r="376" spans="1:36" ht="13.5" thickTop="1" x14ac:dyDescent="0.2">
      <c r="B376" s="197"/>
      <c r="C376" s="166"/>
      <c r="D376" s="166"/>
      <c r="E376" s="166"/>
      <c r="F376" s="166"/>
      <c r="G376" s="166"/>
      <c r="H376" s="166"/>
      <c r="I376" s="166"/>
      <c r="J376" s="166"/>
      <c r="K376" s="166"/>
      <c r="L376" s="166"/>
      <c r="M376" s="166"/>
      <c r="N376" s="166"/>
      <c r="O376" s="166"/>
      <c r="U376" s="197"/>
      <c r="AA376" s="166"/>
      <c r="AB376" s="166"/>
      <c r="AC376" s="166"/>
      <c r="AD376" s="166"/>
      <c r="AH376" s="125">
        <v>346</v>
      </c>
    </row>
    <row r="377" spans="1:36" x14ac:dyDescent="0.2">
      <c r="A377" s="165" t="s">
        <v>248</v>
      </c>
      <c r="C377" s="153"/>
      <c r="D377" s="166"/>
      <c r="E377" s="166"/>
      <c r="F377" s="166"/>
      <c r="G377" s="166"/>
      <c r="H377" s="166"/>
      <c r="I377" s="166"/>
      <c r="J377" s="166"/>
      <c r="K377" s="166"/>
      <c r="L377" s="166"/>
      <c r="M377" s="166"/>
      <c r="N377" s="166"/>
      <c r="O377" s="166"/>
      <c r="U377" s="197"/>
      <c r="AA377" s="166"/>
      <c r="AB377" s="166"/>
      <c r="AC377" s="166"/>
      <c r="AD377" s="166"/>
      <c r="AH377" s="125">
        <v>347</v>
      </c>
    </row>
    <row r="378" spans="1:36" x14ac:dyDescent="0.2">
      <c r="B378" s="197" t="s">
        <v>249</v>
      </c>
      <c r="C378" s="166">
        <v>12000000</v>
      </c>
      <c r="D378" s="166"/>
      <c r="E378" s="166"/>
      <c r="F378" s="166">
        <f>3999642.27+8000357.73</f>
        <v>12000000</v>
      </c>
      <c r="G378" s="166">
        <f>[1]UMBC!F142</f>
        <v>0</v>
      </c>
      <c r="H378" s="166">
        <f>[1]UMBC!H142</f>
        <v>0</v>
      </c>
      <c r="I378" s="166"/>
      <c r="J378" s="166"/>
      <c r="K378" s="166"/>
      <c r="L378" s="162">
        <f>G378-H378-I378-J378-K378</f>
        <v>0</v>
      </c>
      <c r="M378" s="162">
        <f>H378-N378-O378</f>
        <v>0</v>
      </c>
      <c r="N378" s="162"/>
      <c r="O378" s="162">
        <v>0</v>
      </c>
      <c r="U378" s="197"/>
      <c r="AA378" s="166"/>
      <c r="AB378" s="166"/>
      <c r="AC378" s="166"/>
      <c r="AD378" s="166"/>
      <c r="AF378" s="136">
        <f>C378+D378+E378-F378-G378</f>
        <v>0</v>
      </c>
      <c r="AH378" s="125">
        <v>348</v>
      </c>
      <c r="AJ378" s="125">
        <v>0</v>
      </c>
    </row>
    <row r="379" spans="1:36" x14ac:dyDescent="0.2">
      <c r="B379" s="197" t="s">
        <v>250</v>
      </c>
      <c r="C379" s="166">
        <v>92500000</v>
      </c>
      <c r="D379" s="166"/>
      <c r="E379" s="166"/>
      <c r="F379" s="166">
        <f>8196.62</f>
        <v>8196.6200000000008</v>
      </c>
      <c r="G379" s="166">
        <f>[1]SU!F94+[1]SU!F86</f>
        <v>92491803.379999995</v>
      </c>
      <c r="H379" s="166">
        <f>[1]SU!H94+[1]SU!H86</f>
        <v>0</v>
      </c>
      <c r="I379" s="166"/>
      <c r="J379" s="166"/>
      <c r="K379" s="166">
        <f>[1]SU!K94</f>
        <v>0</v>
      </c>
      <c r="L379" s="162">
        <f>G379-H379-I379-J379-K379</f>
        <v>92491803.379999995</v>
      </c>
      <c r="M379" s="162">
        <f>H379-N379-O379</f>
        <v>0</v>
      </c>
      <c r="N379" s="162">
        <v>0</v>
      </c>
      <c r="O379" s="162">
        <v>0</v>
      </c>
      <c r="U379" s="197"/>
      <c r="AA379" s="166"/>
      <c r="AB379" s="166"/>
      <c r="AC379" s="166"/>
      <c r="AD379" s="166"/>
      <c r="AF379" s="136">
        <f>C379+D379+E379-F379-G379</f>
        <v>0</v>
      </c>
      <c r="AH379" s="125">
        <v>349</v>
      </c>
      <c r="AJ379" s="125">
        <v>0</v>
      </c>
    </row>
    <row r="380" spans="1:36" x14ac:dyDescent="0.2">
      <c r="B380" s="197"/>
      <c r="C380" s="166"/>
      <c r="D380" s="166"/>
      <c r="E380" s="166"/>
      <c r="F380" s="166"/>
      <c r="G380" s="166"/>
      <c r="H380" s="166"/>
      <c r="I380" s="166"/>
      <c r="J380" s="166"/>
      <c r="K380" s="166"/>
      <c r="L380" s="166"/>
      <c r="M380" s="166"/>
      <c r="N380" s="166"/>
      <c r="O380" s="166"/>
      <c r="U380" s="197"/>
      <c r="AA380" s="166"/>
      <c r="AB380" s="166"/>
      <c r="AC380" s="166"/>
      <c r="AD380" s="166"/>
      <c r="AH380" s="125">
        <v>350</v>
      </c>
    </row>
    <row r="381" spans="1:36" ht="13.5" thickBot="1" x14ac:dyDescent="0.25">
      <c r="B381" s="201" t="s">
        <v>251</v>
      </c>
      <c r="C381" s="169">
        <f>SUM(C378:C380)</f>
        <v>104500000</v>
      </c>
      <c r="D381" s="169">
        <f t="shared" ref="D381:O381" si="78">SUM(D378:D380)</f>
        <v>0</v>
      </c>
      <c r="E381" s="169">
        <f t="shared" si="78"/>
        <v>0</v>
      </c>
      <c r="F381" s="169">
        <f t="shared" si="78"/>
        <v>12008196.619999999</v>
      </c>
      <c r="G381" s="169">
        <f t="shared" si="78"/>
        <v>92491803.379999995</v>
      </c>
      <c r="H381" s="169">
        <f>SUM(H378:H380)</f>
        <v>0</v>
      </c>
      <c r="I381" s="169">
        <f t="shared" si="78"/>
        <v>0</v>
      </c>
      <c r="J381" s="169">
        <f t="shared" si="78"/>
        <v>0</v>
      </c>
      <c r="K381" s="169">
        <f t="shared" si="78"/>
        <v>0</v>
      </c>
      <c r="L381" s="169">
        <f t="shared" si="78"/>
        <v>92491803.379999995</v>
      </c>
      <c r="M381" s="169">
        <f t="shared" si="78"/>
        <v>0</v>
      </c>
      <c r="N381" s="169">
        <f t="shared" si="78"/>
        <v>0</v>
      </c>
      <c r="O381" s="169">
        <f t="shared" si="78"/>
        <v>0</v>
      </c>
      <c r="U381" s="201" t="s">
        <v>224</v>
      </c>
      <c r="V381" s="133">
        <v>308</v>
      </c>
      <c r="AA381" s="169" t="e">
        <f>SUM(AA333:AA380)</f>
        <v>#REF!</v>
      </c>
      <c r="AB381" s="169" t="e">
        <f>SUM(AB333:AB380)</f>
        <v>#REF!</v>
      </c>
      <c r="AC381" s="169" t="e">
        <f>SUM(AC333:AC380)</f>
        <v>#REF!</v>
      </c>
      <c r="AD381" s="169" t="e">
        <f>SUM(AD333:AD380)</f>
        <v>#REF!</v>
      </c>
      <c r="AF381" s="136">
        <f>C381+D381+E381-F381-G381</f>
        <v>0</v>
      </c>
      <c r="AH381" s="125">
        <v>351</v>
      </c>
      <c r="AJ381" s="125">
        <v>0</v>
      </c>
    </row>
    <row r="382" spans="1:36" ht="13.5" thickTop="1" x14ac:dyDescent="0.2">
      <c r="B382" s="197"/>
      <c r="C382" s="166"/>
      <c r="D382" s="166"/>
      <c r="E382" s="166"/>
      <c r="F382" s="166"/>
      <c r="G382" s="166"/>
      <c r="H382" s="166"/>
      <c r="I382" s="166"/>
      <c r="J382" s="166"/>
      <c r="K382" s="166"/>
      <c r="L382" s="166"/>
      <c r="M382" s="166"/>
      <c r="N382" s="166"/>
      <c r="O382" s="166"/>
      <c r="U382" s="197"/>
      <c r="AA382" s="166"/>
      <c r="AB382" s="166"/>
      <c r="AC382" s="166"/>
      <c r="AD382" s="166"/>
      <c r="AH382" s="125">
        <v>352</v>
      </c>
    </row>
    <row r="383" spans="1:36" x14ac:dyDescent="0.2">
      <c r="A383" s="165" t="s">
        <v>252</v>
      </c>
      <c r="C383" s="153"/>
      <c r="D383" s="153"/>
      <c r="E383" s="163"/>
      <c r="F383" s="130"/>
      <c r="G383" s="162"/>
      <c r="H383" s="167"/>
      <c r="I383" s="162"/>
      <c r="J383" s="162"/>
      <c r="K383" s="162"/>
      <c r="L383" s="162"/>
      <c r="M383" s="162"/>
      <c r="N383" s="162"/>
      <c r="O383" s="162"/>
      <c r="AD383" s="135">
        <f t="shared" ref="AD383:AD389" si="79">AA383+AB383+AC383</f>
        <v>0</v>
      </c>
      <c r="AH383" s="125">
        <v>353</v>
      </c>
    </row>
    <row r="384" spans="1:36" x14ac:dyDescent="0.2">
      <c r="B384" s="125" t="s">
        <v>253</v>
      </c>
      <c r="C384" s="153">
        <v>12000000</v>
      </c>
      <c r="D384" s="153"/>
      <c r="E384" s="163"/>
      <c r="F384" s="162">
        <f>154530.8+7892487.67+3952981.53</f>
        <v>12000000</v>
      </c>
      <c r="G384" s="162">
        <f>[1]UMCP!F295</f>
        <v>0</v>
      </c>
      <c r="H384" s="167">
        <f>[1]UMCP!H295</f>
        <v>0</v>
      </c>
      <c r="I384" s="162">
        <f>[1]UMCP!I295</f>
        <v>0</v>
      </c>
      <c r="J384" s="162">
        <f>[1]UMCP!J295</f>
        <v>0</v>
      </c>
      <c r="K384" s="162">
        <f>[1]UMCP!K295</f>
        <v>0</v>
      </c>
      <c r="L384" s="162">
        <f t="shared" ref="L384:L391" si="80">G384-H384-I384-J384-K384</f>
        <v>0</v>
      </c>
      <c r="M384" s="162">
        <f t="shared" ref="M384:M391" si="81">H384-N384-O384</f>
        <v>0</v>
      </c>
      <c r="N384" s="162">
        <v>0</v>
      </c>
      <c r="O384" s="162">
        <v>0</v>
      </c>
      <c r="P384" s="159">
        <v>44</v>
      </c>
      <c r="Q384" s="159">
        <v>39</v>
      </c>
      <c r="R384" s="159" t="s">
        <v>254</v>
      </c>
      <c r="AD384" s="135">
        <f t="shared" si="79"/>
        <v>0</v>
      </c>
      <c r="AF384" s="136">
        <f t="shared" ref="AF384:AF391" si="82">C384+D384+E384-F384-G384</f>
        <v>0</v>
      </c>
      <c r="AH384" s="125">
        <v>354</v>
      </c>
      <c r="AJ384" s="125">
        <v>0</v>
      </c>
    </row>
    <row r="385" spans="1:36" x14ac:dyDescent="0.2">
      <c r="B385" s="125" t="s">
        <v>243</v>
      </c>
      <c r="C385" s="153">
        <v>26500000</v>
      </c>
      <c r="D385" s="153"/>
      <c r="E385" s="163"/>
      <c r="F385" s="162">
        <f>20828474.09</f>
        <v>20828474.09</v>
      </c>
      <c r="G385" s="162">
        <f>[1]UMCP!F326</f>
        <v>5671525.9100000001</v>
      </c>
      <c r="H385" s="167">
        <f>[1]UMCP!H326</f>
        <v>5671525.9100000001</v>
      </c>
      <c r="I385" s="162">
        <f>[1]UMCP!I326</f>
        <v>0</v>
      </c>
      <c r="J385" s="162">
        <f>[1]UMCP!J326</f>
        <v>0</v>
      </c>
      <c r="K385" s="162">
        <f>[1]UMCP!K326</f>
        <v>0</v>
      </c>
      <c r="L385" s="162">
        <f>G385-H385-I385-J385-K385</f>
        <v>0</v>
      </c>
      <c r="M385" s="162">
        <f t="shared" si="81"/>
        <v>0</v>
      </c>
      <c r="N385" s="162">
        <v>0</v>
      </c>
      <c r="O385" s="162">
        <v>5671525.9100000001</v>
      </c>
      <c r="P385" s="159">
        <v>45</v>
      </c>
      <c r="Q385" s="159">
        <v>39</v>
      </c>
      <c r="R385" s="159" t="s">
        <v>254</v>
      </c>
      <c r="AD385" s="135">
        <f t="shared" si="79"/>
        <v>0</v>
      </c>
      <c r="AF385" s="136">
        <f t="shared" si="82"/>
        <v>0</v>
      </c>
      <c r="AH385" s="125">
        <v>355</v>
      </c>
      <c r="AJ385" s="125">
        <v>5671525.9100000001</v>
      </c>
    </row>
    <row r="386" spans="1:36" x14ac:dyDescent="0.2">
      <c r="B386" s="125" t="s">
        <v>255</v>
      </c>
      <c r="C386" s="166">
        <v>1500000</v>
      </c>
      <c r="D386" s="153"/>
      <c r="E386" s="163"/>
      <c r="F386" s="203"/>
      <c r="G386" s="162">
        <f>[1]UMCP!F241</f>
        <v>1500000</v>
      </c>
      <c r="H386" s="167">
        <f>[1]UMCP!H241</f>
        <v>0</v>
      </c>
      <c r="I386" s="162">
        <f>[1]UMCP!I241</f>
        <v>0</v>
      </c>
      <c r="J386" s="162">
        <f>[1]UMCP!J241</f>
        <v>0</v>
      </c>
      <c r="K386" s="162">
        <f>[1]UMCP!K241</f>
        <v>0</v>
      </c>
      <c r="L386" s="162">
        <f t="shared" si="80"/>
        <v>1500000</v>
      </c>
      <c r="M386" s="162">
        <f t="shared" si="81"/>
        <v>0</v>
      </c>
      <c r="N386" s="162">
        <v>0</v>
      </c>
      <c r="O386" s="162">
        <v>0</v>
      </c>
      <c r="P386" s="159">
        <v>46</v>
      </c>
      <c r="Q386" s="159">
        <v>39</v>
      </c>
      <c r="R386" s="159" t="s">
        <v>254</v>
      </c>
      <c r="AD386" s="135">
        <f t="shared" si="79"/>
        <v>0</v>
      </c>
      <c r="AF386" s="136">
        <f t="shared" si="82"/>
        <v>0</v>
      </c>
      <c r="AH386" s="125">
        <v>356</v>
      </c>
      <c r="AJ386" s="125">
        <v>0</v>
      </c>
    </row>
    <row r="387" spans="1:36" hidden="1" x14ac:dyDescent="0.2">
      <c r="B387" s="125" t="s">
        <v>245</v>
      </c>
      <c r="C387" s="166">
        <v>9900000</v>
      </c>
      <c r="D387" s="153"/>
      <c r="E387" s="163"/>
      <c r="F387" s="162">
        <f>26214.56+9873785.44</f>
        <v>9900000</v>
      </c>
      <c r="G387" s="162">
        <v>0</v>
      </c>
      <c r="H387" s="167">
        <v>0</v>
      </c>
      <c r="I387" s="162">
        <v>0</v>
      </c>
      <c r="J387" s="162">
        <v>0</v>
      </c>
      <c r="K387" s="162">
        <v>0</v>
      </c>
      <c r="L387" s="162">
        <f t="shared" si="80"/>
        <v>0</v>
      </c>
      <c r="M387" s="162">
        <f t="shared" si="81"/>
        <v>0</v>
      </c>
      <c r="N387" s="162">
        <v>0</v>
      </c>
      <c r="O387" s="162">
        <v>0</v>
      </c>
      <c r="AF387" s="136">
        <f t="shared" si="82"/>
        <v>0</v>
      </c>
      <c r="AH387" s="125">
        <v>357</v>
      </c>
      <c r="AJ387" s="125">
        <v>0</v>
      </c>
    </row>
    <row r="388" spans="1:36" x14ac:dyDescent="0.2">
      <c r="B388" s="125" t="s">
        <v>256</v>
      </c>
      <c r="C388" s="153">
        <v>13330000</v>
      </c>
      <c r="D388" s="153"/>
      <c r="E388" s="163"/>
      <c r="F388" s="162">
        <f>13317332.58</f>
        <v>13317332.58</v>
      </c>
      <c r="G388" s="162">
        <f>[1]FSU!F196</f>
        <v>12667.419999999925</v>
      </c>
      <c r="H388" s="167">
        <f>[1]FSU!H196</f>
        <v>0</v>
      </c>
      <c r="I388" s="162">
        <f>[1]FSU!I196</f>
        <v>0</v>
      </c>
      <c r="J388" s="162">
        <f>[1]FSU!J196</f>
        <v>0</v>
      </c>
      <c r="K388" s="162">
        <f>[1]FSU!K196</f>
        <v>0</v>
      </c>
      <c r="L388" s="162">
        <f t="shared" si="80"/>
        <v>12667.419999999925</v>
      </c>
      <c r="M388" s="162">
        <f t="shared" si="81"/>
        <v>0</v>
      </c>
      <c r="N388" s="162">
        <v>0</v>
      </c>
      <c r="O388" s="162">
        <v>0</v>
      </c>
      <c r="P388" s="159">
        <v>47</v>
      </c>
      <c r="Q388" s="159">
        <v>39</v>
      </c>
      <c r="R388" s="159" t="s">
        <v>254</v>
      </c>
      <c r="AD388" s="135">
        <f t="shared" si="79"/>
        <v>0</v>
      </c>
      <c r="AF388" s="136">
        <f t="shared" si="82"/>
        <v>0</v>
      </c>
      <c r="AH388" s="125">
        <v>358</v>
      </c>
      <c r="AJ388" s="125">
        <v>0</v>
      </c>
    </row>
    <row r="389" spans="1:36" x14ac:dyDescent="0.2">
      <c r="B389" s="125" t="s">
        <v>257</v>
      </c>
      <c r="C389" s="153">
        <v>7700000</v>
      </c>
      <c r="D389" s="153"/>
      <c r="E389" s="163"/>
      <c r="F389" s="162">
        <f>1990561.7+1418383.39+637208.77</f>
        <v>4046153.86</v>
      </c>
      <c r="G389" s="162">
        <f>[1]FSU!F183</f>
        <v>3653846.1400000011</v>
      </c>
      <c r="H389" s="167">
        <f>[1]FSU!H183</f>
        <v>90028.61</v>
      </c>
      <c r="I389" s="162">
        <f>[1]FSU!I183</f>
        <v>0</v>
      </c>
      <c r="J389" s="162">
        <f>[1]FSU!J183</f>
        <v>0</v>
      </c>
      <c r="K389" s="162">
        <f>[1]FSU!K183</f>
        <v>0</v>
      </c>
      <c r="L389" s="162">
        <f t="shared" si="80"/>
        <v>3563817.5300000012</v>
      </c>
      <c r="M389" s="162">
        <f t="shared" si="81"/>
        <v>43883.37</v>
      </c>
      <c r="N389" s="162">
        <v>46145.24</v>
      </c>
      <c r="O389" s="162">
        <v>0</v>
      </c>
      <c r="P389" s="159">
        <v>48</v>
      </c>
      <c r="Q389" s="159">
        <v>39</v>
      </c>
      <c r="R389" s="159" t="s">
        <v>254</v>
      </c>
      <c r="AD389" s="135">
        <f t="shared" si="79"/>
        <v>0</v>
      </c>
      <c r="AF389" s="136">
        <f t="shared" si="82"/>
        <v>0</v>
      </c>
      <c r="AH389" s="125">
        <v>359</v>
      </c>
      <c r="AJ389" s="125">
        <v>0</v>
      </c>
    </row>
    <row r="390" spans="1:36" x14ac:dyDescent="0.2">
      <c r="B390" s="125" t="s">
        <v>246</v>
      </c>
      <c r="C390" s="153">
        <v>13000000</v>
      </c>
      <c r="D390" s="153"/>
      <c r="E390" s="163"/>
      <c r="F390" s="162">
        <f>369384.87+12614734.63</f>
        <v>12984119.5</v>
      </c>
      <c r="G390" s="162">
        <f>[1]TU!F586</f>
        <v>15880.5</v>
      </c>
      <c r="H390" s="167">
        <f>[1]TU!H586</f>
        <v>0</v>
      </c>
      <c r="I390" s="162">
        <f>[1]TU!I586</f>
        <v>0</v>
      </c>
      <c r="J390" s="162">
        <f>[1]TU!J586</f>
        <v>0</v>
      </c>
      <c r="K390" s="162">
        <f>[1]TU!K586</f>
        <v>0</v>
      </c>
      <c r="L390" s="162">
        <f t="shared" si="80"/>
        <v>15880.5</v>
      </c>
      <c r="M390" s="162">
        <f t="shared" si="81"/>
        <v>0</v>
      </c>
      <c r="N390" s="162">
        <v>0</v>
      </c>
      <c r="O390" s="162">
        <v>0</v>
      </c>
      <c r="AF390" s="136">
        <f t="shared" si="82"/>
        <v>0</v>
      </c>
      <c r="AH390" s="125">
        <v>360</v>
      </c>
      <c r="AJ390" s="125">
        <v>0</v>
      </c>
    </row>
    <row r="391" spans="1:36" x14ac:dyDescent="0.2">
      <c r="B391" s="125" t="s">
        <v>227</v>
      </c>
      <c r="C391" s="153">
        <v>4201000</v>
      </c>
      <c r="D391" s="153"/>
      <c r="E391" s="163"/>
      <c r="F391" s="162">
        <f>2299950.22+816599.94+38991.5</f>
        <v>3155541.66</v>
      </c>
      <c r="G391" s="162">
        <f>[1]TU!F401</f>
        <v>1045458.3399999999</v>
      </c>
      <c r="H391" s="167">
        <f>[1]TU!H401</f>
        <v>33104.050000000003</v>
      </c>
      <c r="I391" s="162">
        <f>[1]TU!I401</f>
        <v>0</v>
      </c>
      <c r="J391" s="162">
        <f>[1]TU!J401</f>
        <v>0</v>
      </c>
      <c r="K391" s="167">
        <f>[1]TU!K401</f>
        <v>0</v>
      </c>
      <c r="L391" s="162">
        <f t="shared" si="80"/>
        <v>1012354.2899999998</v>
      </c>
      <c r="M391" s="162">
        <f t="shared" si="81"/>
        <v>1198</v>
      </c>
      <c r="N391" s="162">
        <v>31906.050000000003</v>
      </c>
      <c r="O391" s="162">
        <v>0</v>
      </c>
      <c r="AF391" s="136">
        <f t="shared" si="82"/>
        <v>0</v>
      </c>
      <c r="AH391" s="125">
        <v>361</v>
      </c>
      <c r="AJ391" s="125">
        <v>0</v>
      </c>
    </row>
    <row r="392" spans="1:36" x14ac:dyDescent="0.2">
      <c r="C392" s="153"/>
      <c r="D392" s="153"/>
      <c r="E392" s="163"/>
      <c r="F392" s="163"/>
      <c r="G392" s="162"/>
      <c r="H392" s="167"/>
      <c r="I392" s="162"/>
      <c r="J392" s="162"/>
      <c r="K392" s="162"/>
      <c r="L392" s="162"/>
      <c r="M392" s="162"/>
      <c r="N392" s="162"/>
      <c r="O392" s="162"/>
      <c r="AH392" s="125">
        <v>362</v>
      </c>
    </row>
    <row r="393" spans="1:36" ht="13.5" thickBot="1" x14ac:dyDescent="0.25">
      <c r="B393" s="201" t="s">
        <v>258</v>
      </c>
      <c r="C393" s="169">
        <f>SUM(C384:C392)</f>
        <v>88131000</v>
      </c>
      <c r="D393" s="169">
        <f t="shared" ref="D393:O393" si="83">SUM(D384:D392)</f>
        <v>0</v>
      </c>
      <c r="E393" s="169">
        <f t="shared" si="83"/>
        <v>0</v>
      </c>
      <c r="F393" s="169">
        <f t="shared" si="83"/>
        <v>76231621.689999998</v>
      </c>
      <c r="G393" s="169">
        <f t="shared" si="83"/>
        <v>11899378.310000001</v>
      </c>
      <c r="H393" s="169">
        <f t="shared" si="83"/>
        <v>5794658.5700000003</v>
      </c>
      <c r="I393" s="169">
        <f t="shared" si="83"/>
        <v>0</v>
      </c>
      <c r="J393" s="169">
        <f t="shared" si="83"/>
        <v>0</v>
      </c>
      <c r="K393" s="169">
        <f t="shared" si="83"/>
        <v>0</v>
      </c>
      <c r="L393" s="169">
        <f t="shared" si="83"/>
        <v>6104719.7400000012</v>
      </c>
      <c r="M393" s="169">
        <f t="shared" si="83"/>
        <v>45081.37</v>
      </c>
      <c r="N393" s="169">
        <f t="shared" si="83"/>
        <v>78051.290000000008</v>
      </c>
      <c r="O393" s="169">
        <f t="shared" si="83"/>
        <v>5671525.9100000001</v>
      </c>
      <c r="U393" s="201" t="s">
        <v>224</v>
      </c>
      <c r="V393" s="133">
        <v>308</v>
      </c>
      <c r="AA393" s="169">
        <f>SUM(AA384:AA392)</f>
        <v>0</v>
      </c>
      <c r="AB393" s="169">
        <f>SUM(AB384:AB392)</f>
        <v>0</v>
      </c>
      <c r="AC393" s="169">
        <f>SUM(AC384:AC392)</f>
        <v>0</v>
      </c>
      <c r="AD393" s="169">
        <f>SUM(AD384:AD392)</f>
        <v>0</v>
      </c>
      <c r="AF393" s="136">
        <f>C393+D393+E393-F393-G393</f>
        <v>0</v>
      </c>
      <c r="AH393" s="125">
        <v>363</v>
      </c>
      <c r="AJ393" s="125">
        <v>5671525.9100000001</v>
      </c>
    </row>
    <row r="394" spans="1:36" ht="13.5" thickTop="1" x14ac:dyDescent="0.2">
      <c r="C394" s="153"/>
      <c r="D394" s="153"/>
      <c r="E394" s="163"/>
      <c r="F394" s="163"/>
      <c r="G394" s="162"/>
      <c r="H394" s="167"/>
      <c r="I394" s="162"/>
      <c r="J394" s="162"/>
      <c r="K394" s="162"/>
      <c r="L394" s="162"/>
      <c r="M394" s="162"/>
      <c r="N394" s="162"/>
      <c r="O394" s="162"/>
      <c r="V394" s="133">
        <v>299</v>
      </c>
      <c r="AH394" s="125">
        <v>364</v>
      </c>
    </row>
    <row r="395" spans="1:36" x14ac:dyDescent="0.2">
      <c r="A395" s="165" t="s">
        <v>259</v>
      </c>
      <c r="C395" s="153"/>
      <c r="D395" s="153"/>
      <c r="E395" s="163"/>
      <c r="F395" s="203"/>
      <c r="G395" s="162"/>
      <c r="H395" s="167"/>
      <c r="I395" s="162"/>
      <c r="J395" s="162"/>
      <c r="K395" s="162"/>
      <c r="L395" s="162"/>
      <c r="M395" s="162"/>
      <c r="N395" s="162"/>
      <c r="O395" s="162"/>
      <c r="AD395" s="135">
        <f t="shared" ref="AD395:AD400" si="84">AA395+AB395+AC395</f>
        <v>0</v>
      </c>
      <c r="AH395" s="125">
        <v>365</v>
      </c>
    </row>
    <row r="396" spans="1:36" hidden="1" x14ac:dyDescent="0.2">
      <c r="B396" s="125" t="s">
        <v>260</v>
      </c>
      <c r="C396" s="153">
        <v>3000000</v>
      </c>
      <c r="D396" s="153"/>
      <c r="E396" s="163"/>
      <c r="F396" s="162">
        <f>3000000</f>
        <v>3000000</v>
      </c>
      <c r="G396" s="162">
        <v>0</v>
      </c>
      <c r="H396" s="167">
        <v>0</v>
      </c>
      <c r="I396" s="162">
        <v>0</v>
      </c>
      <c r="J396" s="162">
        <v>0</v>
      </c>
      <c r="K396" s="162">
        <v>0</v>
      </c>
      <c r="L396" s="162">
        <f>G396-H396-I396-J396-K396</f>
        <v>0</v>
      </c>
      <c r="M396" s="162"/>
      <c r="N396" s="162"/>
      <c r="O396" s="162"/>
      <c r="P396" s="159">
        <v>44</v>
      </c>
      <c r="Q396" s="159">
        <v>39</v>
      </c>
      <c r="R396" s="159" t="s">
        <v>254</v>
      </c>
      <c r="AD396" s="135">
        <f t="shared" si="84"/>
        <v>0</v>
      </c>
      <c r="AH396" s="125">
        <v>366</v>
      </c>
      <c r="AJ396" s="125">
        <v>0</v>
      </c>
    </row>
    <row r="397" spans="1:36" hidden="1" x14ac:dyDescent="0.2">
      <c r="B397" s="125" t="s">
        <v>243</v>
      </c>
      <c r="C397" s="153">
        <v>43000000</v>
      </c>
      <c r="D397" s="153"/>
      <c r="E397" s="163"/>
      <c r="F397" s="162">
        <f>43000000</f>
        <v>43000000</v>
      </c>
      <c r="G397" s="162">
        <f>[1]UMCP!F334</f>
        <v>0</v>
      </c>
      <c r="H397" s="167">
        <f>[1]UMCP!H334</f>
        <v>0</v>
      </c>
      <c r="I397" s="162">
        <f>[1]UMCP!I334</f>
        <v>0</v>
      </c>
      <c r="J397" s="162">
        <f>[1]UMCP!J334</f>
        <v>0</v>
      </c>
      <c r="K397" s="162">
        <f>[1]UMCP!K334</f>
        <v>0</v>
      </c>
      <c r="L397" s="162">
        <f>G397-H397-I397-J397-K397</f>
        <v>0</v>
      </c>
      <c r="M397" s="162"/>
      <c r="N397" s="162"/>
      <c r="O397" s="162">
        <f>H395+K395</f>
        <v>0</v>
      </c>
      <c r="P397" s="159">
        <v>45</v>
      </c>
      <c r="Q397" s="159">
        <v>39</v>
      </c>
      <c r="R397" s="159" t="s">
        <v>254</v>
      </c>
      <c r="AD397" s="135">
        <f t="shared" si="84"/>
        <v>0</v>
      </c>
      <c r="AH397" s="125">
        <v>367</v>
      </c>
      <c r="AJ397" s="125">
        <v>0</v>
      </c>
    </row>
    <row r="398" spans="1:36" x14ac:dyDescent="0.2">
      <c r="B398" s="125" t="s">
        <v>261</v>
      </c>
      <c r="C398" s="166">
        <v>2000000</v>
      </c>
      <c r="D398" s="153"/>
      <c r="E398" s="163"/>
      <c r="F398" s="162">
        <f>419922.48+51833</f>
        <v>471755.48</v>
      </c>
      <c r="G398" s="162">
        <f>[1]UMCP!F301</f>
        <v>1528244.52</v>
      </c>
      <c r="H398" s="167">
        <f>[1]UMCP!H301</f>
        <v>0</v>
      </c>
      <c r="I398" s="162">
        <f>[1]UMCP!I301</f>
        <v>0</v>
      </c>
      <c r="J398" s="162">
        <f>[1]UMCP!J301</f>
        <v>0</v>
      </c>
      <c r="K398" s="162">
        <f>[1]UMCP!K301</f>
        <v>0</v>
      </c>
      <c r="L398" s="162">
        <f>G398-H398-I398-J398-K398</f>
        <v>1528244.52</v>
      </c>
      <c r="M398" s="162">
        <f>H398-N398-O398</f>
        <v>0</v>
      </c>
      <c r="N398" s="162">
        <v>0</v>
      </c>
      <c r="O398" s="162">
        <v>0</v>
      </c>
      <c r="P398" s="159">
        <v>46</v>
      </c>
      <c r="Q398" s="159">
        <v>39</v>
      </c>
      <c r="R398" s="159" t="s">
        <v>254</v>
      </c>
      <c r="AD398" s="135">
        <f t="shared" si="84"/>
        <v>0</v>
      </c>
      <c r="AF398" s="136">
        <f>C398+D398+E398-F398-G398</f>
        <v>0</v>
      </c>
      <c r="AH398" s="125">
        <v>368</v>
      </c>
      <c r="AJ398" s="125">
        <v>0</v>
      </c>
    </row>
    <row r="399" spans="1:36" hidden="1" x14ac:dyDescent="0.2">
      <c r="B399" s="125" t="s">
        <v>256</v>
      </c>
      <c r="C399" s="153">
        <v>22920000</v>
      </c>
      <c r="D399" s="153"/>
      <c r="E399" s="163"/>
      <c r="F399" s="162">
        <f>16576413.36+6343586.64</f>
        <v>22920000</v>
      </c>
      <c r="G399" s="162">
        <v>0</v>
      </c>
      <c r="H399" s="167">
        <v>0</v>
      </c>
      <c r="I399" s="162">
        <v>0</v>
      </c>
      <c r="J399" s="162">
        <v>0</v>
      </c>
      <c r="K399" s="162">
        <v>0</v>
      </c>
      <c r="L399" s="162">
        <f>G399-H399-I399-J399-K399</f>
        <v>0</v>
      </c>
      <c r="M399" s="162">
        <f>H399-N399-O399</f>
        <v>0</v>
      </c>
      <c r="N399" s="162">
        <v>0</v>
      </c>
      <c r="O399" s="162">
        <v>0</v>
      </c>
      <c r="P399" s="159">
        <v>47</v>
      </c>
      <c r="Q399" s="159">
        <v>39</v>
      </c>
      <c r="R399" s="159" t="s">
        <v>254</v>
      </c>
      <c r="AD399" s="135">
        <f t="shared" si="84"/>
        <v>0</v>
      </c>
      <c r="AF399" s="136">
        <f>C399+D399+E399-F399-G399</f>
        <v>0</v>
      </c>
      <c r="AH399" s="125">
        <v>369</v>
      </c>
      <c r="AJ399" s="125">
        <v>0</v>
      </c>
    </row>
    <row r="400" spans="1:36" x14ac:dyDescent="0.2">
      <c r="B400" s="125" t="s">
        <v>246</v>
      </c>
      <c r="C400" s="153">
        <v>23000000</v>
      </c>
      <c r="D400" s="153"/>
      <c r="E400" s="163"/>
      <c r="F400" s="162">
        <f>112506.16+14549736.15+8337757.69</f>
        <v>23000000</v>
      </c>
      <c r="G400" s="162">
        <f>[1]TU!F596</f>
        <v>0</v>
      </c>
      <c r="H400" s="167">
        <f>[1]TU!H596</f>
        <v>0</v>
      </c>
      <c r="I400" s="162">
        <f>[1]TU!I596</f>
        <v>0</v>
      </c>
      <c r="J400" s="162">
        <f>[1]TU!J596</f>
        <v>0</v>
      </c>
      <c r="K400" s="162">
        <f>[1]TU!K596</f>
        <v>0</v>
      </c>
      <c r="L400" s="162">
        <f>G400-H400-I400-J400-K400</f>
        <v>0</v>
      </c>
      <c r="M400" s="162">
        <f>H400-N400-O400</f>
        <v>0</v>
      </c>
      <c r="N400" s="162">
        <v>0</v>
      </c>
      <c r="O400" s="162">
        <v>0</v>
      </c>
      <c r="P400" s="159">
        <v>48</v>
      </c>
      <c r="Q400" s="159">
        <v>39</v>
      </c>
      <c r="R400" s="159" t="s">
        <v>254</v>
      </c>
      <c r="AD400" s="135">
        <f t="shared" si="84"/>
        <v>0</v>
      </c>
      <c r="AF400" s="136">
        <f>C400+D400+E400-F400-G400</f>
        <v>0</v>
      </c>
      <c r="AH400" s="125">
        <v>370</v>
      </c>
      <c r="AJ400" s="125">
        <v>0</v>
      </c>
    </row>
    <row r="401" spans="1:36" x14ac:dyDescent="0.2">
      <c r="C401" s="153"/>
      <c r="D401" s="153"/>
      <c r="E401" s="163"/>
      <c r="F401" s="163"/>
      <c r="G401" s="162"/>
      <c r="H401" s="167"/>
      <c r="I401" s="162"/>
      <c r="J401" s="162"/>
      <c r="K401" s="162"/>
      <c r="L401" s="162"/>
      <c r="M401" s="162"/>
      <c r="N401" s="162"/>
      <c r="O401" s="162"/>
      <c r="AH401" s="125">
        <v>371</v>
      </c>
    </row>
    <row r="402" spans="1:36" ht="13.5" thickBot="1" x14ac:dyDescent="0.25">
      <c r="B402" s="201" t="s">
        <v>262</v>
      </c>
      <c r="C402" s="169">
        <f>SUM(C396:C401)</f>
        <v>93920000</v>
      </c>
      <c r="D402" s="169">
        <f t="shared" ref="D402:O402" si="85">SUM(D396:D401)</f>
        <v>0</v>
      </c>
      <c r="E402" s="169">
        <f t="shared" si="85"/>
        <v>0</v>
      </c>
      <c r="F402" s="169">
        <f t="shared" si="85"/>
        <v>92391755.479999989</v>
      </c>
      <c r="G402" s="169">
        <f t="shared" si="85"/>
        <v>1528244.52</v>
      </c>
      <c r="H402" s="169">
        <f t="shared" si="85"/>
        <v>0</v>
      </c>
      <c r="I402" s="169">
        <f t="shared" si="85"/>
        <v>0</v>
      </c>
      <c r="J402" s="169">
        <f t="shared" si="85"/>
        <v>0</v>
      </c>
      <c r="K402" s="169">
        <f t="shared" si="85"/>
        <v>0</v>
      </c>
      <c r="L402" s="169">
        <f t="shared" si="85"/>
        <v>1528244.52</v>
      </c>
      <c r="M402" s="169">
        <f t="shared" si="85"/>
        <v>0</v>
      </c>
      <c r="N402" s="169">
        <f t="shared" si="85"/>
        <v>0</v>
      </c>
      <c r="O402" s="169">
        <f t="shared" si="85"/>
        <v>0</v>
      </c>
      <c r="U402" s="201" t="s">
        <v>224</v>
      </c>
      <c r="V402" s="133">
        <v>308</v>
      </c>
      <c r="AA402" s="169">
        <f>SUM(AA396:AA401)</f>
        <v>0</v>
      </c>
      <c r="AB402" s="169">
        <f>SUM(AB396:AB401)</f>
        <v>0</v>
      </c>
      <c r="AC402" s="169">
        <f>SUM(AC396:AC401)</f>
        <v>0</v>
      </c>
      <c r="AD402" s="169">
        <f>SUM(AD396:AD401)</f>
        <v>0</v>
      </c>
      <c r="AF402" s="136">
        <f>C402+D402+E402-F402-G402</f>
        <v>1.0710209608078003E-8</v>
      </c>
      <c r="AH402" s="125">
        <v>372</v>
      </c>
      <c r="AJ402" s="125">
        <v>0</v>
      </c>
    </row>
    <row r="403" spans="1:36" ht="13.5" thickTop="1" x14ac:dyDescent="0.2">
      <c r="C403" s="153"/>
      <c r="D403" s="153"/>
      <c r="E403" s="163"/>
      <c r="F403" s="163"/>
      <c r="G403" s="162"/>
      <c r="H403" s="167"/>
      <c r="I403" s="162"/>
      <c r="J403" s="162"/>
      <c r="K403" s="162"/>
      <c r="L403" s="162"/>
      <c r="M403" s="162"/>
      <c r="N403" s="162"/>
      <c r="O403" s="162"/>
      <c r="AH403" s="125">
        <v>373</v>
      </c>
    </row>
    <row r="404" spans="1:36" x14ac:dyDescent="0.2">
      <c r="A404" s="165" t="s">
        <v>263</v>
      </c>
      <c r="C404" s="153"/>
      <c r="D404" s="153"/>
      <c r="E404" s="163"/>
      <c r="F404" s="203"/>
      <c r="G404" s="162"/>
      <c r="H404" s="167"/>
      <c r="I404" s="162"/>
      <c r="J404" s="162"/>
      <c r="K404" s="162"/>
      <c r="L404" s="162"/>
      <c r="M404" s="162"/>
      <c r="N404" s="162"/>
      <c r="O404" s="162"/>
      <c r="AD404" s="135">
        <f t="shared" ref="AD404:AD411" si="86">AA404+AB404+AC404</f>
        <v>0</v>
      </c>
      <c r="AH404" s="125">
        <v>374</v>
      </c>
    </row>
    <row r="405" spans="1:36" hidden="1" x14ac:dyDescent="0.2">
      <c r="B405" s="125" t="s">
        <v>260</v>
      </c>
      <c r="C405" s="153">
        <v>1000000</v>
      </c>
      <c r="D405" s="153"/>
      <c r="E405" s="163"/>
      <c r="F405" s="162">
        <f>3173.23+996826.77</f>
        <v>1000000</v>
      </c>
      <c r="G405" s="162">
        <v>0</v>
      </c>
      <c r="H405" s="167">
        <v>0</v>
      </c>
      <c r="I405" s="162"/>
      <c r="J405" s="162"/>
      <c r="K405" s="162"/>
      <c r="L405" s="162">
        <f t="shared" ref="L405:L411" si="87">G405-H405-I405-J405-K405</f>
        <v>0</v>
      </c>
      <c r="M405" s="162"/>
      <c r="N405" s="162"/>
      <c r="O405" s="162"/>
      <c r="P405" s="159">
        <v>44</v>
      </c>
      <c r="Q405" s="159">
        <v>39</v>
      </c>
      <c r="R405" s="159" t="s">
        <v>254</v>
      </c>
      <c r="AD405" s="135">
        <f t="shared" si="86"/>
        <v>0</v>
      </c>
      <c r="AH405" s="125">
        <v>375</v>
      </c>
      <c r="AJ405" s="125">
        <v>0</v>
      </c>
    </row>
    <row r="406" spans="1:36" hidden="1" x14ac:dyDescent="0.2">
      <c r="B406" s="125" t="s">
        <v>243</v>
      </c>
      <c r="C406" s="153">
        <v>23500000</v>
      </c>
      <c r="D406" s="153"/>
      <c r="E406" s="163"/>
      <c r="F406" s="162">
        <f>3173.23+5947078.15+14643227.32+2906521.3</f>
        <v>23500000.000000004</v>
      </c>
      <c r="G406" s="162">
        <f>[1]UMCP!F344</f>
        <v>0</v>
      </c>
      <c r="H406" s="167">
        <f>[1]UMCP!H344</f>
        <v>0</v>
      </c>
      <c r="I406" s="162"/>
      <c r="J406" s="162"/>
      <c r="K406" s="162">
        <f>[1]UMCP!K344</f>
        <v>0</v>
      </c>
      <c r="L406" s="162">
        <f t="shared" si="87"/>
        <v>0</v>
      </c>
      <c r="M406" s="162"/>
      <c r="N406" s="162"/>
      <c r="O406" s="162">
        <f>H404+K404</f>
        <v>0</v>
      </c>
      <c r="P406" s="159">
        <v>45</v>
      </c>
      <c r="Q406" s="159">
        <v>39</v>
      </c>
      <c r="R406" s="159" t="s">
        <v>254</v>
      </c>
      <c r="AD406" s="135">
        <f t="shared" si="86"/>
        <v>0</v>
      </c>
      <c r="AH406" s="125">
        <v>376</v>
      </c>
      <c r="AJ406" s="125">
        <v>0</v>
      </c>
    </row>
    <row r="407" spans="1:36" hidden="1" x14ac:dyDescent="0.2">
      <c r="B407" s="125" t="s">
        <v>264</v>
      </c>
      <c r="C407" s="166">
        <v>11000000</v>
      </c>
      <c r="D407" s="153"/>
      <c r="E407" s="163"/>
      <c r="F407" s="162">
        <f>25911.04+10046133.64+146122.43+781832.89</f>
        <v>11000000</v>
      </c>
      <c r="G407" s="162">
        <f>[1]UMBC!F102</f>
        <v>0</v>
      </c>
      <c r="H407" s="167">
        <f>[1]UMBC!H102</f>
        <v>0</v>
      </c>
      <c r="I407" s="162"/>
      <c r="J407" s="162"/>
      <c r="K407" s="162">
        <f>[1]UMBC!K102</f>
        <v>0</v>
      </c>
      <c r="L407" s="162">
        <f t="shared" si="87"/>
        <v>0</v>
      </c>
      <c r="M407" s="162"/>
      <c r="N407" s="162"/>
      <c r="O407" s="162">
        <f>H405+K405</f>
        <v>0</v>
      </c>
      <c r="P407" s="159">
        <v>46</v>
      </c>
      <c r="Q407" s="159">
        <v>39</v>
      </c>
      <c r="R407" s="159" t="s">
        <v>254</v>
      </c>
      <c r="AD407" s="135">
        <f t="shared" si="86"/>
        <v>0</v>
      </c>
      <c r="AH407" s="125">
        <v>377</v>
      </c>
      <c r="AJ407" s="125">
        <v>0</v>
      </c>
    </row>
    <row r="408" spans="1:36" x14ac:dyDescent="0.2">
      <c r="B408" s="125" t="s">
        <v>257</v>
      </c>
      <c r="C408" s="153">
        <v>4400000</v>
      </c>
      <c r="D408" s="153"/>
      <c r="E408" s="163"/>
      <c r="F408" s="162">
        <f>4314201.49+85798.51</f>
        <v>4400000</v>
      </c>
      <c r="G408" s="162">
        <f>[1]FSU!F190</f>
        <v>-2.1827872842550278E-10</v>
      </c>
      <c r="H408" s="167">
        <f>[1]FSU!H190</f>
        <v>0</v>
      </c>
      <c r="I408" s="162"/>
      <c r="J408" s="162"/>
      <c r="K408" s="162"/>
      <c r="L408" s="162">
        <f t="shared" si="87"/>
        <v>-2.1827872842550278E-10</v>
      </c>
      <c r="M408" s="162">
        <f>H408-N408-O408</f>
        <v>0</v>
      </c>
      <c r="N408" s="162">
        <v>0</v>
      </c>
      <c r="O408" s="162">
        <v>0</v>
      </c>
      <c r="P408" s="159">
        <v>47</v>
      </c>
      <c r="Q408" s="159">
        <v>39</v>
      </c>
      <c r="R408" s="159" t="s">
        <v>254</v>
      </c>
      <c r="AD408" s="135">
        <f t="shared" si="86"/>
        <v>0</v>
      </c>
      <c r="AF408" s="136">
        <f>C408+D408+E408-F408-G408</f>
        <v>2.1827872842550278E-10</v>
      </c>
      <c r="AH408" s="125">
        <v>378</v>
      </c>
      <c r="AJ408" s="125">
        <v>0</v>
      </c>
    </row>
    <row r="409" spans="1:36" x14ac:dyDescent="0.2">
      <c r="B409" s="125" t="s">
        <v>265</v>
      </c>
      <c r="C409" s="153">
        <v>2500000</v>
      </c>
      <c r="D409" s="153">
        <v>-2498684.27</v>
      </c>
      <c r="E409" s="163"/>
      <c r="F409" s="162">
        <f>629.58+686.15</f>
        <v>1315.73</v>
      </c>
      <c r="G409" s="162">
        <f>[1]SU!F81</f>
        <v>0</v>
      </c>
      <c r="H409" s="167">
        <f>[1]SU!H81</f>
        <v>0</v>
      </c>
      <c r="I409" s="162"/>
      <c r="J409" s="162"/>
      <c r="K409" s="162"/>
      <c r="L409" s="162">
        <f t="shared" si="87"/>
        <v>0</v>
      </c>
      <c r="M409" s="162">
        <f>H409-N409-O409</f>
        <v>0</v>
      </c>
      <c r="N409" s="162">
        <v>0</v>
      </c>
      <c r="O409" s="162">
        <v>0</v>
      </c>
      <c r="P409" s="159">
        <v>48</v>
      </c>
      <c r="Q409" s="159">
        <v>39</v>
      </c>
      <c r="R409" s="159" t="s">
        <v>254</v>
      </c>
      <c r="AD409" s="135">
        <f t="shared" si="86"/>
        <v>0</v>
      </c>
      <c r="AF409" s="136">
        <f>C409+D409+E409-F409-G409</f>
        <v>-1.8644641386345029E-11</v>
      </c>
      <c r="AH409" s="125">
        <v>379</v>
      </c>
      <c r="AJ409" s="125">
        <v>0</v>
      </c>
    </row>
    <row r="410" spans="1:36" x14ac:dyDescent="0.2">
      <c r="B410" s="125" t="s">
        <v>246</v>
      </c>
      <c r="C410" s="153">
        <v>39000000</v>
      </c>
      <c r="D410" s="153"/>
      <c r="E410" s="163"/>
      <c r="F410" s="162">
        <f>21476541.59+17271552.08+151612.85+7394.63+2849.23</f>
        <v>38909950.380000003</v>
      </c>
      <c r="G410" s="162">
        <f>[1]TU!F607</f>
        <v>90049.61999999074</v>
      </c>
      <c r="H410" s="167">
        <f>[1]TU!H607</f>
        <v>0</v>
      </c>
      <c r="I410" s="162"/>
      <c r="J410" s="162"/>
      <c r="K410" s="162">
        <f>[1]TU!K607</f>
        <v>0</v>
      </c>
      <c r="L410" s="162">
        <f t="shared" si="87"/>
        <v>90049.61999999074</v>
      </c>
      <c r="M410" s="162">
        <f>H410-N410-O410</f>
        <v>0</v>
      </c>
      <c r="N410" s="162">
        <v>0</v>
      </c>
      <c r="O410" s="162">
        <v>0</v>
      </c>
      <c r="P410" s="159">
        <v>49</v>
      </c>
      <c r="Q410" s="159">
        <v>39</v>
      </c>
      <c r="R410" s="159" t="s">
        <v>254</v>
      </c>
      <c r="AD410" s="135">
        <f t="shared" si="86"/>
        <v>0</v>
      </c>
      <c r="AF410" s="136">
        <f>C410+D410+E410-F410-G410</f>
        <v>6.577465683221817E-9</v>
      </c>
      <c r="AH410" s="125">
        <v>380</v>
      </c>
      <c r="AJ410" s="125">
        <v>0</v>
      </c>
    </row>
    <row r="411" spans="1:36" hidden="1" x14ac:dyDescent="0.2">
      <c r="B411" s="125" t="s">
        <v>266</v>
      </c>
      <c r="C411" s="153">
        <v>10000000</v>
      </c>
      <c r="D411" s="153"/>
      <c r="E411" s="163"/>
      <c r="F411" s="162">
        <f>4328782.66+5671217.34</f>
        <v>10000000</v>
      </c>
      <c r="G411" s="162">
        <f>[1]TU!F489</f>
        <v>0</v>
      </c>
      <c r="H411" s="167">
        <f>[1]TU!H489</f>
        <v>0</v>
      </c>
      <c r="I411" s="162"/>
      <c r="J411" s="162"/>
      <c r="K411" s="162">
        <f>[1]TU!K489</f>
        <v>0</v>
      </c>
      <c r="L411" s="162">
        <f t="shared" si="87"/>
        <v>0</v>
      </c>
      <c r="M411" s="162"/>
      <c r="N411" s="162"/>
      <c r="O411" s="162"/>
      <c r="P411" s="159">
        <v>50</v>
      </c>
      <c r="Q411" s="159">
        <v>39</v>
      </c>
      <c r="R411" s="159" t="s">
        <v>254</v>
      </c>
      <c r="AD411" s="135">
        <f t="shared" si="86"/>
        <v>0</v>
      </c>
      <c r="AH411" s="125">
        <v>381</v>
      </c>
      <c r="AJ411" s="125">
        <v>0</v>
      </c>
    </row>
    <row r="412" spans="1:36" x14ac:dyDescent="0.2">
      <c r="C412" s="153"/>
      <c r="D412" s="153"/>
      <c r="E412" s="163"/>
      <c r="F412" s="163"/>
      <c r="G412" s="162"/>
      <c r="H412" s="167"/>
      <c r="I412" s="162"/>
      <c r="J412" s="162"/>
      <c r="K412" s="162"/>
      <c r="L412" s="162"/>
      <c r="M412" s="162"/>
      <c r="N412" s="162"/>
      <c r="O412" s="162"/>
      <c r="AH412" s="125">
        <v>382</v>
      </c>
    </row>
    <row r="413" spans="1:36" ht="13.5" thickBot="1" x14ac:dyDescent="0.25">
      <c r="B413" s="201" t="s">
        <v>267</v>
      </c>
      <c r="C413" s="169">
        <f>SUM(C405:C412)</f>
        <v>91400000</v>
      </c>
      <c r="D413" s="169">
        <f t="shared" ref="D413:O413" si="88">SUM(D405:D412)</f>
        <v>-2498684.27</v>
      </c>
      <c r="E413" s="169">
        <f t="shared" si="88"/>
        <v>0</v>
      </c>
      <c r="F413" s="169">
        <f t="shared" si="88"/>
        <v>88811266.109999999</v>
      </c>
      <c r="G413" s="169">
        <f t="shared" si="88"/>
        <v>90049.619999990522</v>
      </c>
      <c r="H413" s="169">
        <f t="shared" si="88"/>
        <v>0</v>
      </c>
      <c r="I413" s="169">
        <f t="shared" si="88"/>
        <v>0</v>
      </c>
      <c r="J413" s="169">
        <f t="shared" si="88"/>
        <v>0</v>
      </c>
      <c r="K413" s="169">
        <f t="shared" si="88"/>
        <v>0</v>
      </c>
      <c r="L413" s="169">
        <f t="shared" si="88"/>
        <v>90049.619999990522</v>
      </c>
      <c r="M413" s="169">
        <f t="shared" si="88"/>
        <v>0</v>
      </c>
      <c r="N413" s="169">
        <f t="shared" si="88"/>
        <v>0</v>
      </c>
      <c r="O413" s="169">
        <f t="shared" si="88"/>
        <v>0</v>
      </c>
      <c r="U413" s="201" t="s">
        <v>224</v>
      </c>
      <c r="V413" s="133">
        <v>308</v>
      </c>
      <c r="AA413" s="169">
        <f>SUM(AA405:AA412)</f>
        <v>0</v>
      </c>
      <c r="AB413" s="169">
        <f>SUM(AB405:AB412)</f>
        <v>0</v>
      </c>
      <c r="AC413" s="169">
        <f>SUM(AC405:AC412)</f>
        <v>0</v>
      </c>
      <c r="AD413" s="169">
        <f>SUM(AD405:AD412)</f>
        <v>0</v>
      </c>
      <c r="AF413" s="136">
        <f>C413+D413+E413-F413-G413</f>
        <v>1.4246325008571148E-8</v>
      </c>
      <c r="AH413" s="125">
        <v>383</v>
      </c>
      <c r="AJ413" s="125">
        <v>0</v>
      </c>
    </row>
    <row r="414" spans="1:36" ht="13.5" thickTop="1" x14ac:dyDescent="0.2">
      <c r="C414" s="153"/>
      <c r="D414" s="153"/>
      <c r="E414" s="163"/>
      <c r="F414" s="204"/>
      <c r="G414" s="162"/>
      <c r="H414" s="167"/>
      <c r="I414" s="162"/>
      <c r="J414" s="162"/>
      <c r="K414" s="162"/>
      <c r="L414" s="162"/>
      <c r="M414" s="162"/>
      <c r="N414" s="162"/>
      <c r="O414" s="162"/>
      <c r="AH414" s="125">
        <v>384</v>
      </c>
    </row>
    <row r="415" spans="1:36" x14ac:dyDescent="0.2">
      <c r="A415" s="165" t="s">
        <v>268</v>
      </c>
      <c r="C415" s="153"/>
      <c r="D415" s="153"/>
      <c r="E415" s="163"/>
      <c r="G415" s="162"/>
      <c r="H415" s="167"/>
      <c r="I415" s="162"/>
      <c r="J415" s="162"/>
      <c r="K415" s="162"/>
      <c r="L415" s="162"/>
      <c r="M415" s="162"/>
      <c r="N415" s="162"/>
      <c r="O415" s="162"/>
      <c r="AH415" s="125">
        <v>385</v>
      </c>
    </row>
    <row r="416" spans="1:36" x14ac:dyDescent="0.2">
      <c r="B416" s="125" t="s">
        <v>269</v>
      </c>
      <c r="C416" s="153">
        <v>10300000</v>
      </c>
      <c r="D416" s="153">
        <v>-608858.49</v>
      </c>
      <c r="E416" s="163"/>
      <c r="F416" s="163">
        <f>128951.48+1603673.83+7826920.79+98949.18+32646.23</f>
        <v>9691141.5099999998</v>
      </c>
      <c r="G416" s="162">
        <f>[1]UMCP!F231</f>
        <v>-3.2596290111541748E-9</v>
      </c>
      <c r="H416" s="167">
        <f>[1]UMCP!H231</f>
        <v>0</v>
      </c>
      <c r="I416" s="162">
        <f>[1]UMCP!I231</f>
        <v>0</v>
      </c>
      <c r="J416" s="162">
        <f>[1]UMCP!J231</f>
        <v>0</v>
      </c>
      <c r="K416" s="162">
        <f>[1]UMCP!K231</f>
        <v>0</v>
      </c>
      <c r="L416" s="162">
        <f>G416-H416-I416-J416-K416</f>
        <v>-3.2596290111541748E-9</v>
      </c>
      <c r="M416" s="162">
        <f>H416-N416-O416</f>
        <v>0</v>
      </c>
      <c r="N416" s="162">
        <v>0</v>
      </c>
      <c r="O416" s="162">
        <v>0</v>
      </c>
      <c r="P416" s="159">
        <v>52</v>
      </c>
      <c r="Q416" s="159">
        <v>38</v>
      </c>
      <c r="R416" s="159" t="s">
        <v>254</v>
      </c>
      <c r="AA416" s="135">
        <v>326340.23</v>
      </c>
      <c r="AD416" s="135">
        <f>AA416+AB416+AC416</f>
        <v>326340.23</v>
      </c>
      <c r="AF416" s="136">
        <f>C416+D416+E416-F416-G416</f>
        <v>3.2596290111541748E-9</v>
      </c>
      <c r="AH416" s="125">
        <v>386</v>
      </c>
      <c r="AJ416" s="125">
        <v>0</v>
      </c>
    </row>
    <row r="417" spans="1:36" hidden="1" x14ac:dyDescent="0.2">
      <c r="B417" s="125" t="s">
        <v>264</v>
      </c>
      <c r="C417" s="166">
        <v>31600000</v>
      </c>
      <c r="D417" s="153"/>
      <c r="E417" s="163"/>
      <c r="F417" s="162">
        <f>30939995.52+660004.48</f>
        <v>31600000</v>
      </c>
      <c r="G417" s="162">
        <v>0</v>
      </c>
      <c r="H417" s="167">
        <v>0</v>
      </c>
      <c r="I417" s="162">
        <v>0</v>
      </c>
      <c r="J417" s="162">
        <v>0</v>
      </c>
      <c r="K417" s="162">
        <v>0</v>
      </c>
      <c r="L417" s="162">
        <f>G417-H417-I417-J417-K417</f>
        <v>0</v>
      </c>
      <c r="M417" s="162">
        <f>H417-N417-O417</f>
        <v>0</v>
      </c>
      <c r="N417" s="162">
        <v>0</v>
      </c>
      <c r="O417" s="162">
        <v>0</v>
      </c>
      <c r="P417" s="159">
        <v>45.1</v>
      </c>
      <c r="Q417" s="159">
        <v>38</v>
      </c>
      <c r="R417" s="159" t="s">
        <v>254</v>
      </c>
      <c r="AA417" s="135">
        <v>7774074.3899999997</v>
      </c>
      <c r="AD417" s="135">
        <f>AA417+AB417+AC417</f>
        <v>7774074.3899999997</v>
      </c>
      <c r="AF417" s="136">
        <f>C417+D417+E417-F417-G417</f>
        <v>0</v>
      </c>
      <c r="AH417" s="125">
        <v>387</v>
      </c>
      <c r="AJ417" s="125">
        <v>0</v>
      </c>
    </row>
    <row r="418" spans="1:36" x14ac:dyDescent="0.2">
      <c r="B418" s="125" t="s">
        <v>246</v>
      </c>
      <c r="C418" s="153">
        <v>8670000</v>
      </c>
      <c r="D418" s="153"/>
      <c r="E418" s="163"/>
      <c r="F418" s="162">
        <f>4886174.55+2710737.4+583070.54+490017.51</f>
        <v>8670000</v>
      </c>
      <c r="G418" s="162">
        <f>[1]TU!F620</f>
        <v>0</v>
      </c>
      <c r="H418" s="167">
        <f>[1]TU!H620</f>
        <v>0</v>
      </c>
      <c r="I418" s="162">
        <f>[1]TU!I620</f>
        <v>0</v>
      </c>
      <c r="J418" s="162">
        <f>[1]TU!J620</f>
        <v>0</v>
      </c>
      <c r="K418" s="162">
        <f>[1]TU!K620</f>
        <v>0</v>
      </c>
      <c r="L418" s="162">
        <f>G418-H418-I418-J418-K418</f>
        <v>0</v>
      </c>
      <c r="M418" s="162">
        <f>H418-N418-O418</f>
        <v>0</v>
      </c>
      <c r="N418" s="162">
        <v>0</v>
      </c>
      <c r="O418" s="162">
        <v>0</v>
      </c>
      <c r="P418" s="159">
        <v>53</v>
      </c>
      <c r="Q418" s="159">
        <v>38</v>
      </c>
      <c r="R418" s="159" t="s">
        <v>254</v>
      </c>
      <c r="AA418" s="135">
        <v>1268950.3899999999</v>
      </c>
      <c r="AD418" s="135">
        <f>AA418+AB418+AC418</f>
        <v>1268950.3899999999</v>
      </c>
      <c r="AF418" s="136">
        <f>C418+D418+E418-F418-G418</f>
        <v>0</v>
      </c>
      <c r="AH418" s="125">
        <v>388</v>
      </c>
      <c r="AJ418" s="125">
        <v>0</v>
      </c>
    </row>
    <row r="419" spans="1:36" x14ac:dyDescent="0.2">
      <c r="B419" s="125" t="s">
        <v>266</v>
      </c>
      <c r="C419" s="153">
        <v>19600000</v>
      </c>
      <c r="D419" s="153">
        <v>-1918.62</v>
      </c>
      <c r="E419" s="163"/>
      <c r="F419" s="164">
        <f>511240.72+19085910.06+930.6</f>
        <v>19598081.379999999</v>
      </c>
      <c r="G419" s="162">
        <f>[1]TU!F500</f>
        <v>2.5333974917884916E-9</v>
      </c>
      <c r="H419" s="167">
        <f>[1]TU!H500</f>
        <v>0</v>
      </c>
      <c r="I419" s="162">
        <f>[1]TU!I500</f>
        <v>0</v>
      </c>
      <c r="J419" s="162">
        <f>[1]TU!J500</f>
        <v>0</v>
      </c>
      <c r="K419" s="162">
        <f>[1]TU!K500</f>
        <v>0</v>
      </c>
      <c r="L419" s="162">
        <f>G419-H419-I419-J419-K419</f>
        <v>2.5333974917884916E-9</v>
      </c>
      <c r="M419" s="162">
        <f>H419-N419-O419</f>
        <v>0</v>
      </c>
      <c r="N419" s="162">
        <v>0</v>
      </c>
      <c r="O419" s="162">
        <v>0</v>
      </c>
      <c r="P419" s="159">
        <v>47.1</v>
      </c>
      <c r="Q419" s="159">
        <v>38</v>
      </c>
      <c r="R419" s="159" t="s">
        <v>254</v>
      </c>
      <c r="AA419" s="135">
        <v>5000179.3899999997</v>
      </c>
      <c r="AD419" s="135">
        <f>AA419+AB419+AC419</f>
        <v>5000179.3899999997</v>
      </c>
      <c r="AF419" s="136">
        <f>C419+D419+E419-F419-G419</f>
        <v>-2.5333974917884916E-9</v>
      </c>
      <c r="AH419" s="125">
        <v>389</v>
      </c>
      <c r="AJ419" s="125">
        <v>0</v>
      </c>
    </row>
    <row r="420" spans="1:36" x14ac:dyDescent="0.2">
      <c r="C420" s="153"/>
      <c r="D420" s="153"/>
      <c r="E420" s="163"/>
      <c r="F420" s="163"/>
      <c r="G420" s="162"/>
      <c r="H420" s="167"/>
      <c r="I420" s="162"/>
      <c r="J420" s="162"/>
      <c r="K420" s="162"/>
      <c r="L420" s="162"/>
      <c r="M420" s="162"/>
      <c r="N420" s="162"/>
      <c r="O420" s="162"/>
      <c r="AH420" s="125">
        <v>390</v>
      </c>
    </row>
    <row r="421" spans="1:36" ht="13.5" thickBot="1" x14ac:dyDescent="0.25">
      <c r="B421" s="201" t="s">
        <v>270</v>
      </c>
      <c r="C421" s="193">
        <f t="shared" ref="C421:J421" si="89">SUM(C416:C420)</f>
        <v>70170000</v>
      </c>
      <c r="D421" s="193">
        <f t="shared" si="89"/>
        <v>-610777.11</v>
      </c>
      <c r="E421" s="193">
        <f t="shared" si="89"/>
        <v>0</v>
      </c>
      <c r="F421" s="193">
        <f t="shared" si="89"/>
        <v>69559222.890000001</v>
      </c>
      <c r="G421" s="193">
        <f t="shared" si="89"/>
        <v>-7.262315193656832E-10</v>
      </c>
      <c r="H421" s="193">
        <f>SUM(H416:H420)</f>
        <v>0</v>
      </c>
      <c r="I421" s="193">
        <f t="shared" si="89"/>
        <v>0</v>
      </c>
      <c r="J421" s="193">
        <f t="shared" si="89"/>
        <v>0</v>
      </c>
      <c r="K421" s="193">
        <f>SUM(K416:K420)</f>
        <v>0</v>
      </c>
      <c r="L421" s="193">
        <f>SUM(L416:L420)</f>
        <v>-7.262315193656832E-10</v>
      </c>
      <c r="M421" s="193">
        <f>SUM(M416:M420)</f>
        <v>0</v>
      </c>
      <c r="N421" s="193">
        <f>SUM(N416:N420)</f>
        <v>0</v>
      </c>
      <c r="O421" s="193">
        <f>SUM(O416:O420)</f>
        <v>0</v>
      </c>
      <c r="U421" s="201" t="s">
        <v>224</v>
      </c>
      <c r="V421" s="133">
        <v>308</v>
      </c>
      <c r="AA421" s="193">
        <f>SUM(AA416:AA420)</f>
        <v>14369544.399999999</v>
      </c>
      <c r="AB421" s="193">
        <f>SUM(AB416:AB420)</f>
        <v>0</v>
      </c>
      <c r="AC421" s="193">
        <f>SUM(AC416:AC420)</f>
        <v>0</v>
      </c>
      <c r="AD421" s="193">
        <f>SUM(AD416:AD420)</f>
        <v>14369544.399999999</v>
      </c>
      <c r="AF421" s="136">
        <f>C421+D421+E421-F421-G421</f>
        <v>7.262315193656832E-10</v>
      </c>
      <c r="AH421" s="125">
        <v>391</v>
      </c>
      <c r="AJ421" s="125">
        <v>0</v>
      </c>
    </row>
    <row r="422" spans="1:36" ht="13.5" thickTop="1" x14ac:dyDescent="0.2">
      <c r="C422" s="153"/>
      <c r="D422" s="153"/>
      <c r="E422" s="163"/>
      <c r="F422" s="204"/>
      <c r="G422" s="162"/>
      <c r="H422" s="167"/>
      <c r="I422" s="162"/>
      <c r="J422" s="162"/>
      <c r="K422" s="162"/>
      <c r="L422" s="162"/>
      <c r="M422" s="162"/>
      <c r="N422" s="162"/>
      <c r="O422" s="162"/>
      <c r="AH422" s="125">
        <v>392</v>
      </c>
    </row>
    <row r="423" spans="1:36" x14ac:dyDescent="0.2">
      <c r="A423" s="165" t="s">
        <v>271</v>
      </c>
      <c r="C423" s="153"/>
      <c r="D423" s="153"/>
      <c r="E423" s="163"/>
      <c r="F423" s="163"/>
      <c r="G423" s="162"/>
      <c r="H423" s="167"/>
      <c r="I423" s="162"/>
      <c r="J423" s="162"/>
      <c r="K423" s="162"/>
      <c r="L423" s="162"/>
      <c r="M423" s="162"/>
      <c r="N423" s="162"/>
      <c r="O423" s="162"/>
      <c r="AH423" s="125">
        <v>393</v>
      </c>
    </row>
    <row r="424" spans="1:36" hidden="1" x14ac:dyDescent="0.2">
      <c r="B424" s="125" t="s">
        <v>272</v>
      </c>
      <c r="C424" s="153">
        <v>800000</v>
      </c>
      <c r="D424" s="153"/>
      <c r="E424" s="163"/>
      <c r="F424" s="163"/>
      <c r="G424" s="162">
        <f>[1]UMES!F176</f>
        <v>800000</v>
      </c>
      <c r="H424" s="167">
        <f>[1]UMES!H176</f>
        <v>0</v>
      </c>
      <c r="I424" s="162">
        <f>[1]UMES!I176</f>
        <v>0</v>
      </c>
      <c r="J424" s="162">
        <f>[1]UMES!J176</f>
        <v>0</v>
      </c>
      <c r="K424" s="162">
        <f>[1]UMES!K176</f>
        <v>0</v>
      </c>
      <c r="L424" s="162">
        <f t="shared" ref="L424:L429" si="90">G424-H424-I424-J424-K424</f>
        <v>800000</v>
      </c>
      <c r="M424" s="162"/>
      <c r="N424" s="162"/>
      <c r="O424" s="162">
        <f>H422+K422</f>
        <v>0</v>
      </c>
      <c r="P424" s="159">
        <v>44</v>
      </c>
      <c r="Q424" s="159">
        <v>37</v>
      </c>
      <c r="R424" s="159" t="s">
        <v>254</v>
      </c>
      <c r="AD424" s="135">
        <f t="shared" ref="AD424:AD429" si="91">AA424+AB424+AC424</f>
        <v>0</v>
      </c>
      <c r="AH424" s="125">
        <v>394</v>
      </c>
      <c r="AJ424" s="125">
        <v>0</v>
      </c>
    </row>
    <row r="425" spans="1:36" hidden="1" x14ac:dyDescent="0.2">
      <c r="B425" s="125" t="s">
        <v>264</v>
      </c>
      <c r="C425" s="166">
        <v>18200000</v>
      </c>
      <c r="D425" s="153"/>
      <c r="E425" s="163"/>
      <c r="F425" s="163">
        <f>4717881.41+13482118.59</f>
        <v>18200000</v>
      </c>
      <c r="G425" s="162">
        <v>0</v>
      </c>
      <c r="H425" s="167">
        <v>0</v>
      </c>
      <c r="I425" s="162">
        <v>0</v>
      </c>
      <c r="J425" s="162">
        <v>0</v>
      </c>
      <c r="K425" s="162">
        <v>0</v>
      </c>
      <c r="L425" s="162">
        <f t="shared" si="90"/>
        <v>0</v>
      </c>
      <c r="M425" s="162"/>
      <c r="N425" s="162"/>
      <c r="O425" s="162">
        <f>H423+K423</f>
        <v>0</v>
      </c>
      <c r="P425" s="159">
        <v>45</v>
      </c>
      <c r="Q425" s="159">
        <v>37</v>
      </c>
      <c r="R425" s="159" t="s">
        <v>254</v>
      </c>
      <c r="AA425" s="135">
        <v>13482118.59</v>
      </c>
      <c r="AD425" s="135">
        <f t="shared" si="91"/>
        <v>13482118.59</v>
      </c>
      <c r="AH425" s="125">
        <v>395</v>
      </c>
      <c r="AJ425" s="125">
        <v>0</v>
      </c>
    </row>
    <row r="426" spans="1:36" x14ac:dyDescent="0.2">
      <c r="B426" s="125" t="s">
        <v>273</v>
      </c>
      <c r="C426" s="153">
        <v>3900000</v>
      </c>
      <c r="D426" s="153">
        <v>-449464.43</v>
      </c>
      <c r="E426" s="163"/>
      <c r="F426" s="163">
        <f>3013034.52+437501.05</f>
        <v>3450535.57</v>
      </c>
      <c r="G426" s="162">
        <f>[1]UMBC!F129</f>
        <v>0</v>
      </c>
      <c r="H426" s="167">
        <f>[1]UMBC!H129</f>
        <v>0</v>
      </c>
      <c r="I426" s="162">
        <f>[1]UMBC!I129</f>
        <v>0</v>
      </c>
      <c r="J426" s="162">
        <f>[1]UMBC!J129</f>
        <v>0</v>
      </c>
      <c r="K426" s="162">
        <f>[1]UMBC!K129</f>
        <v>0</v>
      </c>
      <c r="L426" s="162">
        <f t="shared" si="90"/>
        <v>0</v>
      </c>
      <c r="M426" s="162">
        <f>H426-N426-O426</f>
        <v>0</v>
      </c>
      <c r="N426" s="162">
        <v>0</v>
      </c>
      <c r="O426" s="162">
        <v>0</v>
      </c>
      <c r="P426" s="159">
        <v>144.6</v>
      </c>
      <c r="Q426" s="159">
        <v>37</v>
      </c>
      <c r="R426" s="159" t="s">
        <v>254</v>
      </c>
      <c r="AA426" s="135">
        <v>437501.05</v>
      </c>
      <c r="AD426" s="135">
        <f t="shared" si="91"/>
        <v>437501.05</v>
      </c>
      <c r="AF426" s="136">
        <f>C426+D426+E426-F426-G426</f>
        <v>0</v>
      </c>
      <c r="AH426" s="125">
        <v>396</v>
      </c>
      <c r="AJ426" s="125">
        <v>0</v>
      </c>
    </row>
    <row r="427" spans="1:36" hidden="1" x14ac:dyDescent="0.2">
      <c r="B427" s="125" t="s">
        <v>266</v>
      </c>
      <c r="C427" s="153">
        <v>2960000</v>
      </c>
      <c r="D427" s="153"/>
      <c r="E427" s="163"/>
      <c r="F427" s="163">
        <f>21596+2036341.73+831056.51+60854.93+10150.83</f>
        <v>2960000.0000000005</v>
      </c>
      <c r="G427" s="162">
        <f>[1]TU!F514</f>
        <v>2.4192559067159891E-10</v>
      </c>
      <c r="H427" s="167">
        <f>[1]TU!H514</f>
        <v>0</v>
      </c>
      <c r="I427" s="162">
        <f>[1]TU!I514</f>
        <v>0</v>
      </c>
      <c r="J427" s="162">
        <f>[1]TU!J514</f>
        <v>0</v>
      </c>
      <c r="K427" s="162">
        <f>[1]TU!K514</f>
        <v>0</v>
      </c>
      <c r="L427" s="162">
        <f t="shared" si="90"/>
        <v>2.4192559067159891E-10</v>
      </c>
      <c r="M427" s="162">
        <f>H427-N427-O427</f>
        <v>0</v>
      </c>
      <c r="N427" s="162">
        <v>0</v>
      </c>
      <c r="O427" s="162">
        <v>0</v>
      </c>
      <c r="P427" s="159">
        <v>47</v>
      </c>
      <c r="Q427" s="159">
        <v>37</v>
      </c>
      <c r="R427" s="159" t="s">
        <v>254</v>
      </c>
      <c r="AA427" s="135">
        <v>620127.78</v>
      </c>
      <c r="AD427" s="135">
        <f t="shared" si="91"/>
        <v>620127.78</v>
      </c>
      <c r="AF427" s="136">
        <f>C427+D427+E427-F427-G427</f>
        <v>-7.0758687797933817E-10</v>
      </c>
      <c r="AH427" s="125">
        <v>397</v>
      </c>
      <c r="AJ427" s="125">
        <v>0</v>
      </c>
    </row>
    <row r="428" spans="1:36" x14ac:dyDescent="0.2">
      <c r="B428" s="125" t="s">
        <v>274</v>
      </c>
      <c r="C428" s="153">
        <v>16900000</v>
      </c>
      <c r="D428" s="153">
        <v>-6106.18</v>
      </c>
      <c r="E428" s="163"/>
      <c r="F428" s="163">
        <f>1348866.08+12676842.69+2868185.05</f>
        <v>16893893.82</v>
      </c>
      <c r="G428" s="162">
        <f>[1]TU!F413</f>
        <v>6.3300831243395805E-10</v>
      </c>
      <c r="H428" s="167">
        <f>[1]TU!H413</f>
        <v>0</v>
      </c>
      <c r="I428" s="162">
        <f>[1]TU!I413</f>
        <v>0</v>
      </c>
      <c r="J428" s="162">
        <f>[1]TU!J413</f>
        <v>0</v>
      </c>
      <c r="K428" s="162">
        <f>[1]TU!K413</f>
        <v>0</v>
      </c>
      <c r="L428" s="162">
        <f t="shared" si="90"/>
        <v>6.3300831243395805E-10</v>
      </c>
      <c r="M428" s="162">
        <f>H428-N428-O428</f>
        <v>0</v>
      </c>
      <c r="N428" s="162">
        <v>0</v>
      </c>
      <c r="O428" s="162">
        <v>0</v>
      </c>
      <c r="P428" s="159">
        <v>48</v>
      </c>
      <c r="Q428" s="159">
        <v>37</v>
      </c>
      <c r="R428" s="159" t="s">
        <v>254</v>
      </c>
      <c r="AA428" s="135">
        <v>5717502.5300000003</v>
      </c>
      <c r="AD428" s="135">
        <f t="shared" si="91"/>
        <v>5717502.5300000003</v>
      </c>
      <c r="AF428" s="136">
        <f>C428+D428+E428-F428-G428</f>
        <v>-6.3300831243395805E-10</v>
      </c>
      <c r="AH428" s="125">
        <v>398</v>
      </c>
      <c r="AJ428" s="125">
        <v>0</v>
      </c>
    </row>
    <row r="429" spans="1:36" hidden="1" x14ac:dyDescent="0.2">
      <c r="B429" s="125" t="s">
        <v>275</v>
      </c>
      <c r="C429" s="153">
        <v>4000000</v>
      </c>
      <c r="D429" s="153"/>
      <c r="E429" s="163"/>
      <c r="F429" s="163">
        <f>3795858.27+201586.7+2555.03</f>
        <v>4000000</v>
      </c>
      <c r="G429" s="162">
        <v>0</v>
      </c>
      <c r="H429" s="167">
        <v>0</v>
      </c>
      <c r="I429" s="162">
        <v>0</v>
      </c>
      <c r="J429" s="162">
        <v>0</v>
      </c>
      <c r="K429" s="162">
        <v>0</v>
      </c>
      <c r="L429" s="162">
        <f t="shared" si="90"/>
        <v>0</v>
      </c>
      <c r="M429" s="162"/>
      <c r="N429" s="162"/>
      <c r="O429" s="162">
        <f>H427+K427</f>
        <v>0</v>
      </c>
      <c r="P429" s="159">
        <v>49</v>
      </c>
      <c r="Q429" s="159">
        <v>37</v>
      </c>
      <c r="R429" s="159" t="s">
        <v>254</v>
      </c>
      <c r="AA429" s="135">
        <v>198605.23</v>
      </c>
      <c r="AD429" s="135">
        <f t="shared" si="91"/>
        <v>198605.23</v>
      </c>
      <c r="AH429" s="125">
        <v>399</v>
      </c>
      <c r="AJ429" s="125">
        <v>0</v>
      </c>
    </row>
    <row r="430" spans="1:36" x14ac:dyDescent="0.2">
      <c r="C430" s="153"/>
      <c r="D430" s="153"/>
      <c r="E430" s="163"/>
      <c r="F430" s="163"/>
      <c r="G430" s="162"/>
      <c r="H430" s="167"/>
      <c r="I430" s="162"/>
      <c r="J430" s="162"/>
      <c r="K430" s="162"/>
      <c r="L430" s="162"/>
      <c r="M430" s="162"/>
      <c r="N430" s="162"/>
      <c r="O430" s="162"/>
      <c r="AH430" s="125">
        <v>400</v>
      </c>
    </row>
    <row r="431" spans="1:36" ht="13.5" thickBot="1" x14ac:dyDescent="0.25">
      <c r="B431" s="201" t="s">
        <v>276</v>
      </c>
      <c r="C431" s="169">
        <f t="shared" ref="C431:O431" si="92">SUM(C424:C430)</f>
        <v>46760000</v>
      </c>
      <c r="D431" s="169">
        <f t="shared" si="92"/>
        <v>-455570.61</v>
      </c>
      <c r="E431" s="169">
        <f t="shared" si="92"/>
        <v>0</v>
      </c>
      <c r="F431" s="192">
        <f t="shared" si="92"/>
        <v>45504429.390000001</v>
      </c>
      <c r="G431" s="169">
        <f t="shared" si="92"/>
        <v>800000.00000000081</v>
      </c>
      <c r="H431" s="193">
        <f>SUM(H424:H430)</f>
        <v>0</v>
      </c>
      <c r="I431" s="169">
        <f t="shared" si="92"/>
        <v>0</v>
      </c>
      <c r="J431" s="169">
        <f t="shared" si="92"/>
        <v>0</v>
      </c>
      <c r="K431" s="169">
        <f t="shared" si="92"/>
        <v>0</v>
      </c>
      <c r="L431" s="169">
        <f>SUM(L424:L430)</f>
        <v>800000.00000000081</v>
      </c>
      <c r="M431" s="169">
        <f>SUM(M424:M430)</f>
        <v>0</v>
      </c>
      <c r="N431" s="169">
        <f t="shared" si="92"/>
        <v>0</v>
      </c>
      <c r="O431" s="169">
        <f t="shared" si="92"/>
        <v>0</v>
      </c>
      <c r="U431" s="201" t="s">
        <v>224</v>
      </c>
      <c r="V431" s="133">
        <v>308</v>
      </c>
      <c r="AA431" s="169">
        <f>SUM(AA424:AA430)</f>
        <v>20455855.18</v>
      </c>
      <c r="AB431" s="169">
        <f>SUM(AB424:AB430)</f>
        <v>0</v>
      </c>
      <c r="AC431" s="169">
        <f>SUM(AC424:AC430)</f>
        <v>0</v>
      </c>
      <c r="AD431" s="169">
        <f>SUM(AD424:AD430)</f>
        <v>20455855.18</v>
      </c>
      <c r="AF431" s="136">
        <f>C431+D431+E431-F431-G431</f>
        <v>0</v>
      </c>
      <c r="AG431" s="136"/>
      <c r="AH431" s="125">
        <v>401</v>
      </c>
      <c r="AJ431" s="125">
        <v>0</v>
      </c>
    </row>
    <row r="432" spans="1:36" ht="13.5" thickTop="1" x14ac:dyDescent="0.2">
      <c r="B432" s="205"/>
      <c r="C432" s="206"/>
      <c r="D432" s="206"/>
      <c r="E432" s="206"/>
      <c r="F432" s="207"/>
      <c r="G432" s="206"/>
      <c r="H432" s="208"/>
      <c r="I432" s="206"/>
      <c r="J432" s="206"/>
      <c r="K432" s="206"/>
      <c r="L432" s="206"/>
      <c r="M432" s="206"/>
      <c r="N432" s="206"/>
      <c r="O432" s="206"/>
      <c r="U432" s="205"/>
      <c r="V432" s="133">
        <v>469</v>
      </c>
      <c r="AA432" s="206"/>
      <c r="AB432" s="206"/>
      <c r="AC432" s="206"/>
      <c r="AD432" s="206"/>
      <c r="AH432" s="125">
        <v>402</v>
      </c>
    </row>
    <row r="433" spans="2:36" x14ac:dyDescent="0.2">
      <c r="B433" s="199" t="s">
        <v>277</v>
      </c>
      <c r="C433" s="209">
        <f t="shared" ref="C433:H433" si="93">C353+C360+C366+C375+C381+C393+C402+C413+C421+C431+C347+C340</f>
        <v>679015430</v>
      </c>
      <c r="D433" s="209">
        <f t="shared" si="93"/>
        <v>-3565031.9899999998</v>
      </c>
      <c r="E433" s="209">
        <f t="shared" si="93"/>
        <v>0</v>
      </c>
      <c r="F433" s="209">
        <f t="shared" si="93"/>
        <v>461915625.58999997</v>
      </c>
      <c r="G433" s="209">
        <f t="shared" si="93"/>
        <v>213534772.42000002</v>
      </c>
      <c r="H433" s="256">
        <f t="shared" si="93"/>
        <v>52337352.56000001</v>
      </c>
      <c r="I433" s="209">
        <f>I353+I360+I366+I375+I381+I393+I402+I413+I421+I431+I347</f>
        <v>0</v>
      </c>
      <c r="J433" s="209">
        <f t="shared" ref="J433:O433" si="94">J353+J360+J366+J375+J381+J393+J402+J413+J421+J431+J347+J340</f>
        <v>0</v>
      </c>
      <c r="K433" s="209">
        <f t="shared" si="94"/>
        <v>0</v>
      </c>
      <c r="L433" s="209">
        <f t="shared" si="94"/>
        <v>161197419.85999995</v>
      </c>
      <c r="M433" s="209">
        <f t="shared" si="94"/>
        <v>1008295.7000000012</v>
      </c>
      <c r="N433" s="209">
        <f t="shared" si="94"/>
        <v>4464071.6900000069</v>
      </c>
      <c r="O433" s="209">
        <f t="shared" si="94"/>
        <v>46864985.170000002</v>
      </c>
      <c r="P433" s="159" t="s">
        <v>278</v>
      </c>
      <c r="U433" s="199" t="s">
        <v>277</v>
      </c>
      <c r="V433" s="133">
        <v>470</v>
      </c>
      <c r="AA433" s="209" t="e">
        <f>AA421+AA431+#REF!+#REF!+#REF!+#REF!+#REF!+#REF!+#REF!+#REF!+#REF!+#REF!+#REF!+#REF!+#REF!+#REF!+#REF!+#REF!+AA413</f>
        <v>#REF!</v>
      </c>
      <c r="AB433" s="209" t="e">
        <f>AB421+AB431+#REF!+#REF!+#REF!+#REF!+#REF!+#REF!+#REF!+#REF!+#REF!+#REF!+#REF!+#REF!+#REF!+#REF!+#REF!+#REF!+AB413</f>
        <v>#REF!</v>
      </c>
      <c r="AC433" s="209" t="e">
        <f>AC421+AC431+#REF!+#REF!+#REF!+#REF!+#REF!+#REF!+#REF!+#REF!+#REF!+#REF!+#REF!+#REF!+#REF!+#REF!+#REF!+#REF!+AC413</f>
        <v>#REF!</v>
      </c>
      <c r="AD433" s="209" t="e">
        <f>AD421+AD431+#REF!+#REF!+#REF!+#REF!+#REF!+#REF!+#REF!+#REF!+#REF!+#REF!+#REF!+#REF!+#REF!+#REF!+#REF!+#REF!+AD413</f>
        <v>#REF!</v>
      </c>
      <c r="AF433" s="136">
        <f>C433+D433+E433-F433-G433</f>
        <v>0</v>
      </c>
      <c r="AG433" s="136"/>
      <c r="AH433" s="125">
        <v>403</v>
      </c>
      <c r="AJ433" s="125">
        <v>49595960.870000005</v>
      </c>
    </row>
    <row r="434" spans="2:36" x14ac:dyDescent="0.2">
      <c r="B434" s="165"/>
      <c r="C434" s="153"/>
      <c r="D434" s="153"/>
      <c r="E434" s="153"/>
      <c r="F434" s="162"/>
      <c r="G434" s="153"/>
      <c r="H434" s="166"/>
      <c r="I434" s="153"/>
      <c r="J434" s="153"/>
      <c r="K434" s="153"/>
      <c r="L434" s="153"/>
      <c r="M434" s="153"/>
      <c r="N434" s="153"/>
      <c r="O434" s="153"/>
      <c r="U434" s="165"/>
      <c r="V434" s="133">
        <v>471</v>
      </c>
      <c r="AA434" s="153"/>
      <c r="AB434" s="153"/>
      <c r="AC434" s="153"/>
      <c r="AD434" s="153"/>
      <c r="AH434" s="125">
        <v>404</v>
      </c>
    </row>
    <row r="435" spans="2:36" x14ac:dyDescent="0.2">
      <c r="B435" s="125" t="s">
        <v>279</v>
      </c>
      <c r="D435" s="126">
        <f>G435</f>
        <v>368004.25</v>
      </c>
      <c r="F435" s="162"/>
      <c r="G435" s="137">
        <f>H435+J435</f>
        <v>368004.25</v>
      </c>
      <c r="H435" s="210">
        <f>'[1]USM &amp; COI'!H110</f>
        <v>337504.25</v>
      </c>
      <c r="I435" s="137"/>
      <c r="J435" s="137">
        <f>'[1]USM &amp; COI'!J110</f>
        <v>30500</v>
      </c>
      <c r="K435" s="137"/>
      <c r="L435" s="162">
        <f>G435-H435-I435-J435-K435</f>
        <v>0</v>
      </c>
      <c r="M435" s="162">
        <f>H435-N435-O435+J435</f>
        <v>13000</v>
      </c>
      <c r="N435" s="162">
        <v>40000</v>
      </c>
      <c r="O435" s="162">
        <v>315004.25</v>
      </c>
      <c r="P435" s="159" t="s">
        <v>280</v>
      </c>
      <c r="U435" s="125" t="s">
        <v>279</v>
      </c>
      <c r="V435" s="133">
        <v>472</v>
      </c>
      <c r="AA435" s="162">
        <v>418495.01</v>
      </c>
      <c r="AB435" s="162"/>
      <c r="AC435" s="162"/>
      <c r="AD435" s="135">
        <f>AA435+AB435+AC435</f>
        <v>418495.01</v>
      </c>
      <c r="AH435" s="125">
        <v>405</v>
      </c>
      <c r="AJ435" s="125">
        <v>315004.25</v>
      </c>
    </row>
    <row r="436" spans="2:36" x14ac:dyDescent="0.2">
      <c r="F436" s="162"/>
      <c r="H436" s="210"/>
      <c r="I436" s="137"/>
      <c r="J436" s="137"/>
      <c r="K436" s="137"/>
      <c r="L436" s="162"/>
      <c r="M436" s="162"/>
      <c r="N436" s="162"/>
      <c r="O436" s="162"/>
      <c r="AH436" s="125">
        <v>406</v>
      </c>
    </row>
    <row r="437" spans="2:36" ht="13.5" thickBot="1" x14ac:dyDescent="0.25">
      <c r="F437" s="162"/>
      <c r="H437" s="210"/>
      <c r="I437" s="137"/>
      <c r="J437" s="137"/>
      <c r="K437" s="137"/>
      <c r="L437" s="162"/>
      <c r="M437" s="162"/>
      <c r="N437" s="162"/>
      <c r="O437" s="162"/>
      <c r="V437" s="133">
        <v>473</v>
      </c>
      <c r="AH437" s="125">
        <v>407</v>
      </c>
    </row>
    <row r="438" spans="2:36" s="135" customFormat="1" ht="13.5" thickBot="1" x14ac:dyDescent="0.25">
      <c r="B438" s="211" t="s">
        <v>281</v>
      </c>
      <c r="C438" s="212">
        <f t="shared" ref="C438:L438" si="95">C334+C433+C435</f>
        <v>1195183533</v>
      </c>
      <c r="D438" s="212">
        <f t="shared" si="95"/>
        <v>-12465532.470000001</v>
      </c>
      <c r="E438" s="212">
        <f t="shared" si="95"/>
        <v>1651730.79</v>
      </c>
      <c r="F438" s="212">
        <f t="shared" si="95"/>
        <v>836280287.15999997</v>
      </c>
      <c r="G438" s="212">
        <f t="shared" si="95"/>
        <v>348089444.15700001</v>
      </c>
      <c r="H438" s="257">
        <f t="shared" si="95"/>
        <v>90483768.810000017</v>
      </c>
      <c r="I438" s="212">
        <f t="shared" si="95"/>
        <v>0</v>
      </c>
      <c r="J438" s="212">
        <f t="shared" si="95"/>
        <v>30500</v>
      </c>
      <c r="K438" s="212">
        <f t="shared" si="95"/>
        <v>0</v>
      </c>
      <c r="L438" s="212">
        <f t="shared" si="95"/>
        <v>257575175.34699994</v>
      </c>
      <c r="M438" s="212">
        <f>M334+M433+M435</f>
        <v>5287140.9700000016</v>
      </c>
      <c r="N438" s="212">
        <f>N334+N433+N435</f>
        <v>24736684.720000006</v>
      </c>
      <c r="O438" s="212">
        <f>O334+O433+O435</f>
        <v>60490443.120000005</v>
      </c>
      <c r="P438" s="136"/>
      <c r="Q438" s="136"/>
      <c r="R438" s="136"/>
      <c r="U438" s="211" t="s">
        <v>282</v>
      </c>
      <c r="V438" s="133">
        <v>474</v>
      </c>
      <c r="W438" s="134"/>
      <c r="AA438" s="213" t="e">
        <f>AA334+AA433+AA435</f>
        <v>#REF!</v>
      </c>
      <c r="AB438" s="213" t="e">
        <f>AB334+AB433+AB435</f>
        <v>#REF!</v>
      </c>
      <c r="AC438" s="213" t="e">
        <f>AC334+AC433+AC435</f>
        <v>#REF!</v>
      </c>
      <c r="AD438" s="213" t="e">
        <f>AD334+AD433+AD435</f>
        <v>#REF!</v>
      </c>
      <c r="AE438" s="136"/>
      <c r="AF438" s="136">
        <f>C438+D438+E438-F438-G438</f>
        <v>2.9999613761901855E-3</v>
      </c>
      <c r="AH438" s="125">
        <v>408</v>
      </c>
      <c r="AJ438" s="135">
        <v>75902392.49000001</v>
      </c>
    </row>
    <row r="439" spans="2:36" ht="14.25" customHeight="1" thickTop="1" x14ac:dyDescent="0.2">
      <c r="B439" s="125" t="s">
        <v>283</v>
      </c>
      <c r="C439" s="210">
        <f>50139503+40000000+25000000</f>
        <v>115139503</v>
      </c>
      <c r="F439" s="214"/>
      <c r="H439" s="127">
        <v>0</v>
      </c>
      <c r="I439" s="162"/>
      <c r="J439" s="215">
        <v>0</v>
      </c>
      <c r="AF439" s="136">
        <f>H438+J438+-M438-N438-O438</f>
        <v>0</v>
      </c>
      <c r="AJ439" s="125">
        <v>0</v>
      </c>
    </row>
    <row r="440" spans="2:36" ht="12.75" customHeight="1" x14ac:dyDescent="0.2">
      <c r="B440" s="195" t="s">
        <v>284</v>
      </c>
      <c r="C440" s="210">
        <f>C441+C442+C443</f>
        <v>24993238.439999998</v>
      </c>
      <c r="D440" s="216"/>
      <c r="E440" s="216"/>
      <c r="F440" s="214"/>
      <c r="G440" s="136" t="s">
        <v>285</v>
      </c>
      <c r="H440" s="171">
        <f>H441-H439</f>
        <v>1941039.9600000004</v>
      </c>
      <c r="I440" s="215"/>
      <c r="J440" s="135">
        <f>J441-J439</f>
        <v>29000</v>
      </c>
      <c r="L440" s="217" t="s">
        <v>286</v>
      </c>
      <c r="M440" s="217"/>
      <c r="N440" s="253"/>
      <c r="U440" s="195"/>
      <c r="AJ440" s="125">
        <v>1941039.9600000004</v>
      </c>
    </row>
    <row r="441" spans="2:36" x14ac:dyDescent="0.2">
      <c r="B441" s="125" t="s">
        <v>287</v>
      </c>
      <c r="C441" s="218">
        <f>25000000-C445</f>
        <v>0</v>
      </c>
      <c r="D441" s="135"/>
      <c r="E441" s="135"/>
      <c r="F441" s="125"/>
      <c r="G441" s="219"/>
      <c r="H441" s="135">
        <v>1941039.9600000004</v>
      </c>
      <c r="I441" s="135"/>
      <c r="J441" s="196">
        <v>29000</v>
      </c>
      <c r="N441" s="253"/>
      <c r="O441" s="137">
        <f>O438-'[3]Summary 2022A'!$N$408</f>
        <v>0</v>
      </c>
      <c r="P441" s="125"/>
      <c r="Q441" s="125"/>
      <c r="R441" s="125"/>
      <c r="V441" s="125"/>
      <c r="W441" s="125"/>
      <c r="AA441" s="125"/>
      <c r="AB441" s="125"/>
      <c r="AC441" s="125"/>
      <c r="AD441" s="125"/>
      <c r="AE441" s="159"/>
      <c r="AJ441" s="125">
        <v>1941039.9600000004</v>
      </c>
    </row>
    <row r="442" spans="2:36" x14ac:dyDescent="0.2">
      <c r="B442" s="125" t="s">
        <v>288</v>
      </c>
      <c r="C442" s="196">
        <f>40000000-C446</f>
        <v>24642014.730000004</v>
      </c>
      <c r="D442" s="135"/>
      <c r="E442" s="135"/>
      <c r="F442" s="214"/>
      <c r="G442" s="219" t="s">
        <v>289</v>
      </c>
      <c r="H442" s="171">
        <f>H443-H441</f>
        <v>42700510.449999996</v>
      </c>
      <c r="I442" s="135"/>
      <c r="J442" s="135">
        <f>J443-J441</f>
        <v>1500</v>
      </c>
      <c r="L442" s="217" t="s">
        <v>290</v>
      </c>
      <c r="M442" s="217"/>
      <c r="N442" s="254"/>
      <c r="P442" s="125"/>
      <c r="Q442" s="125"/>
      <c r="R442" s="125"/>
      <c r="V442" s="125"/>
      <c r="W442" s="125"/>
      <c r="AA442" s="125"/>
      <c r="AB442" s="125"/>
      <c r="AC442" s="125"/>
      <c r="AD442" s="125"/>
      <c r="AE442" s="159"/>
      <c r="AJ442" s="125">
        <v>42700510.449999996</v>
      </c>
    </row>
    <row r="443" spans="2:36" ht="12" customHeight="1" x14ac:dyDescent="0.2">
      <c r="B443" s="125" t="s">
        <v>291</v>
      </c>
      <c r="C443" s="126">
        <f>50139503-C447</f>
        <v>351223.70999999344</v>
      </c>
      <c r="D443" s="135"/>
      <c r="E443" s="135"/>
      <c r="F443" s="214"/>
      <c r="G443" s="217"/>
      <c r="H443" s="196">
        <v>44641550.409999996</v>
      </c>
      <c r="I443" s="135"/>
      <c r="J443" s="196">
        <v>30500</v>
      </c>
      <c r="P443" s="125"/>
      <c r="Q443" s="125"/>
      <c r="R443" s="125"/>
      <c r="V443" s="125"/>
      <c r="W443" s="125"/>
      <c r="AA443" s="125"/>
      <c r="AB443" s="125"/>
      <c r="AC443" s="125"/>
      <c r="AD443" s="125"/>
      <c r="AE443" s="159"/>
      <c r="AJ443" s="125">
        <v>44641550.409999996</v>
      </c>
    </row>
    <row r="444" spans="2:36" ht="12" customHeight="1" x14ac:dyDescent="0.2">
      <c r="D444" s="135"/>
      <c r="E444" s="135"/>
      <c r="F444" s="214"/>
      <c r="G444" s="219" t="s">
        <v>292</v>
      </c>
      <c r="H444" s="171">
        <f>H445-H443</f>
        <v>1784501.3800000027</v>
      </c>
      <c r="I444" s="135"/>
      <c r="J444" s="196"/>
      <c r="P444" s="125"/>
      <c r="Q444" s="125"/>
      <c r="R444" s="125"/>
      <c r="V444" s="125"/>
      <c r="W444" s="125"/>
      <c r="AA444" s="125"/>
      <c r="AB444" s="125"/>
      <c r="AC444" s="125"/>
      <c r="AD444" s="125"/>
      <c r="AE444" s="159"/>
      <c r="AJ444" s="125">
        <v>1784501.3800000027</v>
      </c>
    </row>
    <row r="445" spans="2:36" x14ac:dyDescent="0.2">
      <c r="B445" s="125" t="s">
        <v>293</v>
      </c>
      <c r="C445" s="126">
        <f>H334-H50-H69-H70-H71-H78-H79-H80-H97-H98-H99-H101-H100-H121-H28-H29-H72-'[1]FR using 20-yr Bond'!H2-H7</f>
        <v>25000000.000000015</v>
      </c>
      <c r="D445" s="220"/>
      <c r="F445" s="214"/>
      <c r="G445" s="221"/>
      <c r="H445" s="196">
        <v>46426051.789999999</v>
      </c>
      <c r="I445" s="222"/>
      <c r="J445" s="222"/>
      <c r="AJ445" s="125">
        <v>46426051.789999999</v>
      </c>
    </row>
    <row r="446" spans="2:36" x14ac:dyDescent="0.2">
      <c r="B446" s="125" t="s">
        <v>294</v>
      </c>
      <c r="C446" s="126">
        <f>H438-H435-C445-C447</f>
        <v>15357985.269999996</v>
      </c>
      <c r="G446" s="219" t="s">
        <v>295</v>
      </c>
      <c r="H446" s="171">
        <f>H447-H445</f>
        <v>409087.37000000477</v>
      </c>
      <c r="AJ446" s="125">
        <v>409087.37000000477</v>
      </c>
    </row>
    <row r="447" spans="2:36" x14ac:dyDescent="0.2">
      <c r="B447" s="125" t="s">
        <v>296</v>
      </c>
      <c r="C447" s="126">
        <f>H363+H364+H369+H370+H385</f>
        <v>49788279.290000007</v>
      </c>
      <c r="G447" s="217"/>
      <c r="H447" s="127">
        <v>46835139.160000004</v>
      </c>
      <c r="O447" s="210"/>
      <c r="AJ447" s="125">
        <v>46835139.160000004</v>
      </c>
    </row>
    <row r="448" spans="2:36" x14ac:dyDescent="0.2">
      <c r="G448" s="219" t="s">
        <v>297</v>
      </c>
      <c r="H448" s="171">
        <f>H449-H447</f>
        <v>16157.25</v>
      </c>
      <c r="L448" s="210"/>
      <c r="M448" s="210"/>
      <c r="N448" s="210"/>
      <c r="O448" s="210"/>
      <c r="AF448" s="159"/>
      <c r="AJ448" s="125">
        <v>16157.25</v>
      </c>
    </row>
    <row r="449" spans="2:36" x14ac:dyDescent="0.2">
      <c r="B449" s="127" t="s">
        <v>298</v>
      </c>
      <c r="C449" s="210" t="s">
        <v>299</v>
      </c>
      <c r="G449" s="217"/>
      <c r="H449" s="127">
        <v>46851296.410000004</v>
      </c>
      <c r="AF449" s="223"/>
      <c r="AJ449" s="125">
        <v>46851296.410000004</v>
      </c>
    </row>
    <row r="450" spans="2:36" x14ac:dyDescent="0.2">
      <c r="B450" s="127" t="s">
        <v>300</v>
      </c>
      <c r="C450" s="210" t="s">
        <v>301</v>
      </c>
      <c r="G450" s="219" t="s">
        <v>302</v>
      </c>
      <c r="H450" s="171">
        <f>H451-H449</f>
        <v>2592391.3299999908</v>
      </c>
      <c r="AF450" s="223"/>
      <c r="AJ450" s="125">
        <v>2592391.3299999908</v>
      </c>
    </row>
    <row r="451" spans="2:36" hidden="1" x14ac:dyDescent="0.2">
      <c r="G451" s="217"/>
      <c r="H451" s="127">
        <v>49443687.739999995</v>
      </c>
      <c r="AF451" s="223"/>
      <c r="AJ451" s="125">
        <v>49443687.739999995</v>
      </c>
    </row>
    <row r="452" spans="2:36" hidden="1" x14ac:dyDescent="0.2">
      <c r="G452" s="219" t="s">
        <v>303</v>
      </c>
      <c r="H452" s="135">
        <f>H453-H451</f>
        <v>1625044.9700000063</v>
      </c>
      <c r="AF452" s="136"/>
      <c r="AJ452" s="125">
        <v>1625044.9700000063</v>
      </c>
    </row>
    <row r="453" spans="2:36" hidden="1" x14ac:dyDescent="0.2">
      <c r="G453" s="217"/>
      <c r="H453" s="127">
        <v>51068732.710000001</v>
      </c>
      <c r="AF453" s="159"/>
      <c r="AJ453" s="125">
        <v>51068732.710000001</v>
      </c>
    </row>
    <row r="454" spans="2:36" hidden="1" x14ac:dyDescent="0.2">
      <c r="G454" s="219" t="s">
        <v>304</v>
      </c>
      <c r="H454" s="135">
        <f>H455-H453</f>
        <v>399330.03000000119</v>
      </c>
      <c r="AJ454" s="125">
        <v>399330.03000000119</v>
      </c>
    </row>
    <row r="455" spans="2:36" hidden="1" x14ac:dyDescent="0.2">
      <c r="G455" s="217"/>
      <c r="H455" s="127">
        <v>51468062.740000002</v>
      </c>
      <c r="AJ455" s="125">
        <v>51468062.740000002</v>
      </c>
    </row>
    <row r="456" spans="2:36" hidden="1" x14ac:dyDescent="0.2">
      <c r="G456" s="219" t="s">
        <v>305</v>
      </c>
      <c r="H456" s="135">
        <f>H457-H455</f>
        <v>851972.21999999881</v>
      </c>
      <c r="AJ456" s="125">
        <v>851972.21999999881</v>
      </c>
    </row>
    <row r="457" spans="2:36" hidden="1" x14ac:dyDescent="0.2">
      <c r="G457" s="217"/>
      <c r="H457" s="127">
        <v>52320034.960000001</v>
      </c>
      <c r="AJ457" s="125">
        <v>52320034.960000001</v>
      </c>
    </row>
    <row r="458" spans="2:36" hidden="1" x14ac:dyDescent="0.2">
      <c r="G458" s="219" t="s">
        <v>306</v>
      </c>
      <c r="H458" s="135">
        <f>H459-H457</f>
        <v>1078847.5300000012</v>
      </c>
      <c r="AJ458" s="125">
        <v>1078847.5300000012</v>
      </c>
    </row>
    <row r="459" spans="2:36" hidden="1" x14ac:dyDescent="0.2">
      <c r="G459" s="217"/>
      <c r="H459" s="127">
        <v>53398882.490000002</v>
      </c>
      <c r="AJ459" s="125">
        <v>53398882.490000002</v>
      </c>
    </row>
    <row r="460" spans="2:36" hidden="1" x14ac:dyDescent="0.2">
      <c r="G460" s="219" t="s">
        <v>307</v>
      </c>
      <c r="H460" s="135">
        <f>H461-H459</f>
        <v>2462179.9299999997</v>
      </c>
      <c r="AJ460" s="125">
        <v>2462179.9299999997</v>
      </c>
    </row>
    <row r="461" spans="2:36" hidden="1" x14ac:dyDescent="0.2">
      <c r="G461" s="217"/>
      <c r="H461" s="127">
        <v>55861062.420000002</v>
      </c>
      <c r="K461" s="153"/>
      <c r="L461" s="224"/>
      <c r="M461" s="224"/>
      <c r="N461" s="224"/>
      <c r="O461" s="224"/>
      <c r="AJ461" s="125">
        <v>55861062.420000002</v>
      </c>
    </row>
    <row r="462" spans="2:36" hidden="1" x14ac:dyDescent="0.2">
      <c r="G462" s="219" t="s">
        <v>308</v>
      </c>
      <c r="H462" s="135">
        <f>H463-H461</f>
        <v>100161.94999999553</v>
      </c>
      <c r="K462" s="135"/>
      <c r="L462" s="225"/>
      <c r="M462" s="225"/>
      <c r="N462" s="225"/>
      <c r="O462" s="225"/>
      <c r="AJ462" s="125">
        <v>100161.94999999553</v>
      </c>
    </row>
    <row r="463" spans="2:36" hidden="1" x14ac:dyDescent="0.2">
      <c r="G463" s="217"/>
      <c r="H463" s="127">
        <v>55961224.369999997</v>
      </c>
      <c r="K463" s="135"/>
      <c r="L463" s="226"/>
      <c r="M463" s="226"/>
      <c r="N463" s="226"/>
      <c r="O463" s="226"/>
      <c r="AJ463" s="125">
        <v>55961224.369999997</v>
      </c>
    </row>
    <row r="464" spans="2:36" hidden="1" x14ac:dyDescent="0.2">
      <c r="G464" s="219" t="s">
        <v>309</v>
      </c>
      <c r="H464" s="135">
        <f>H465-H463</f>
        <v>101774.70000000298</v>
      </c>
      <c r="K464" s="135"/>
      <c r="L464" s="225"/>
      <c r="M464" s="225"/>
      <c r="N464" s="225"/>
      <c r="O464" s="225"/>
      <c r="AJ464" s="125">
        <v>101774.70000000298</v>
      </c>
    </row>
    <row r="465" spans="7:36" hidden="1" x14ac:dyDescent="0.2">
      <c r="G465" s="217"/>
      <c r="H465" s="127">
        <v>56062999.07</v>
      </c>
      <c r="K465" s="135"/>
      <c r="L465" s="226"/>
      <c r="M465" s="226"/>
      <c r="N465" s="226"/>
      <c r="O465" s="226"/>
      <c r="AJ465" s="125">
        <v>56062999.07</v>
      </c>
    </row>
    <row r="466" spans="7:36" hidden="1" x14ac:dyDescent="0.2">
      <c r="G466" s="219" t="s">
        <v>310</v>
      </c>
      <c r="H466" s="135">
        <f>H467-H465</f>
        <v>230721.17000000179</v>
      </c>
      <c r="K466" s="135"/>
      <c r="L466" s="225"/>
      <c r="M466" s="225"/>
      <c r="N466" s="225"/>
      <c r="O466" s="225"/>
      <c r="AJ466" s="125">
        <v>230721.17000000179</v>
      </c>
    </row>
    <row r="467" spans="7:36" hidden="1" x14ac:dyDescent="0.2">
      <c r="G467" s="217"/>
      <c r="H467" s="127">
        <v>56293720.240000002</v>
      </c>
      <c r="K467" s="226"/>
      <c r="L467" s="225"/>
      <c r="M467" s="225"/>
      <c r="N467" s="225"/>
      <c r="O467" s="225"/>
      <c r="AJ467" s="125">
        <v>56293720.240000002</v>
      </c>
    </row>
    <row r="468" spans="7:36" hidden="1" x14ac:dyDescent="0.2">
      <c r="G468" s="219" t="s">
        <v>311</v>
      </c>
      <c r="H468" s="135">
        <f>H469-H467</f>
        <v>3121389.3500000015</v>
      </c>
      <c r="K468" s="135"/>
      <c r="L468" s="225"/>
      <c r="M468" s="225"/>
      <c r="N468" s="225"/>
      <c r="O468" s="225"/>
      <c r="AJ468" s="125">
        <v>3121389.3500000015</v>
      </c>
    </row>
    <row r="469" spans="7:36" hidden="1" x14ac:dyDescent="0.2">
      <c r="G469" s="217"/>
      <c r="H469" s="127">
        <v>59415109.590000004</v>
      </c>
      <c r="AJ469" s="125">
        <v>59415109.590000004</v>
      </c>
    </row>
    <row r="470" spans="7:36" hidden="1" x14ac:dyDescent="0.2">
      <c r="G470" s="219" t="s">
        <v>312</v>
      </c>
      <c r="H470" s="135">
        <f>H471-H469</f>
        <v>206628.31999999285</v>
      </c>
      <c r="K470" s="135"/>
      <c r="L470" s="225"/>
      <c r="M470" s="225"/>
      <c r="N470" s="225"/>
      <c r="O470" s="225"/>
      <c r="AJ470" s="125">
        <v>206628.31999999285</v>
      </c>
    </row>
    <row r="471" spans="7:36" hidden="1" x14ac:dyDescent="0.2">
      <c r="G471" s="217"/>
      <c r="H471" s="127">
        <v>59621737.909999996</v>
      </c>
      <c r="AJ471" s="125">
        <v>59621737.909999996</v>
      </c>
    </row>
    <row r="472" spans="7:36" hidden="1" x14ac:dyDescent="0.2">
      <c r="G472" s="219" t="s">
        <v>313</v>
      </c>
      <c r="H472" s="135">
        <f>H473-H471</f>
        <v>255723.22000000626</v>
      </c>
      <c r="J472" s="127"/>
      <c r="K472" s="135"/>
      <c r="L472" s="225"/>
      <c r="M472" s="225"/>
      <c r="N472" s="225"/>
      <c r="O472" s="225"/>
      <c r="AJ472" s="125">
        <v>255723.22000000626</v>
      </c>
    </row>
    <row r="473" spans="7:36" hidden="1" x14ac:dyDescent="0.2">
      <c r="G473" s="217"/>
      <c r="H473" s="127">
        <v>59877461.130000003</v>
      </c>
      <c r="AJ473" s="125">
        <v>59877461.130000003</v>
      </c>
    </row>
    <row r="474" spans="7:36" hidden="1" x14ac:dyDescent="0.2">
      <c r="G474" s="219" t="s">
        <v>314</v>
      </c>
      <c r="H474" s="135">
        <f>H475-H473</f>
        <v>612981.98999999464</v>
      </c>
      <c r="K474" s="135"/>
      <c r="L474" s="225"/>
      <c r="M474" s="225"/>
      <c r="N474" s="225"/>
      <c r="O474" s="225"/>
      <c r="AJ474" s="125">
        <v>612981.98999999464</v>
      </c>
    </row>
    <row r="475" spans="7:36" hidden="1" x14ac:dyDescent="0.2">
      <c r="G475" s="217"/>
      <c r="H475" s="127">
        <v>60490443.119999997</v>
      </c>
      <c r="AJ475" s="125">
        <v>60490443.119999997</v>
      </c>
    </row>
    <row r="476" spans="7:36" hidden="1" x14ac:dyDescent="0.2">
      <c r="G476" s="219" t="s">
        <v>315</v>
      </c>
      <c r="H476" s="135">
        <f>H477-H475</f>
        <v>430016.23000000417</v>
      </c>
      <c r="K476" s="135"/>
      <c r="L476" s="225"/>
      <c r="M476" s="225"/>
      <c r="N476" s="225"/>
      <c r="AJ476" s="125">
        <v>430016.23000000417</v>
      </c>
    </row>
    <row r="477" spans="7:36" hidden="1" x14ac:dyDescent="0.2">
      <c r="G477" s="217"/>
      <c r="H477" s="127">
        <v>60920459.350000001</v>
      </c>
      <c r="AJ477" s="125">
        <v>60920459.350000001</v>
      </c>
    </row>
    <row r="478" spans="7:36" hidden="1" x14ac:dyDescent="0.2">
      <c r="G478" s="219" t="s">
        <v>316</v>
      </c>
      <c r="H478" s="135">
        <f>H479-H477</f>
        <v>337549.54999999702</v>
      </c>
      <c r="K478" s="135"/>
      <c r="L478" s="225"/>
      <c r="M478" s="225"/>
      <c r="N478" s="225"/>
      <c r="AJ478" s="125">
        <v>337549.54999999702</v>
      </c>
    </row>
    <row r="479" spans="7:36" hidden="1" x14ac:dyDescent="0.2">
      <c r="G479" s="217"/>
      <c r="H479" s="127">
        <v>61258008.899999999</v>
      </c>
      <c r="K479" s="132"/>
      <c r="L479" s="130"/>
      <c r="M479" s="130"/>
      <c r="N479" s="130"/>
      <c r="O479" s="130"/>
      <c r="AJ479" s="125">
        <v>61258008.899999999</v>
      </c>
    </row>
    <row r="480" spans="7:36" hidden="1" x14ac:dyDescent="0.2">
      <c r="G480" s="227" t="s">
        <v>317</v>
      </c>
      <c r="H480" s="135">
        <f>H481-H479</f>
        <v>150728.3900000006</v>
      </c>
      <c r="K480" s="135"/>
      <c r="L480" s="225"/>
      <c r="M480" s="225"/>
      <c r="N480" s="225"/>
      <c r="O480" s="130"/>
      <c r="AJ480" s="125">
        <v>150728.3900000006</v>
      </c>
    </row>
    <row r="481" spans="2:36" hidden="1" x14ac:dyDescent="0.2">
      <c r="G481" s="217"/>
      <c r="H481" s="127">
        <v>61408737.289999999</v>
      </c>
      <c r="K481" s="132"/>
      <c r="L481" s="130"/>
      <c r="M481" s="130"/>
      <c r="N481" s="130"/>
      <c r="O481" s="130"/>
      <c r="AJ481" s="125">
        <v>61408737.289999999</v>
      </c>
    </row>
    <row r="482" spans="2:36" hidden="1" x14ac:dyDescent="0.2">
      <c r="G482" s="217" t="s">
        <v>318</v>
      </c>
      <c r="H482" s="135">
        <f>H483-H481</f>
        <v>199086.68999999762</v>
      </c>
      <c r="K482" s="135"/>
      <c r="L482" s="224"/>
      <c r="M482" s="224"/>
      <c r="N482" s="224"/>
      <c r="O482" s="130"/>
      <c r="AJ482" s="125">
        <v>199086.68999999762</v>
      </c>
    </row>
    <row r="483" spans="2:36" hidden="1" x14ac:dyDescent="0.2">
      <c r="G483" s="217"/>
      <c r="H483" s="127">
        <v>61607823.979999997</v>
      </c>
      <c r="K483" s="132"/>
      <c r="L483" s="130"/>
      <c r="M483" s="130"/>
      <c r="N483" s="130"/>
      <c r="O483" s="130"/>
      <c r="AJ483" s="125">
        <v>61607823.979999997</v>
      </c>
    </row>
    <row r="484" spans="2:36" hidden="1" x14ac:dyDescent="0.2">
      <c r="G484" s="217" t="s">
        <v>319</v>
      </c>
      <c r="H484" s="135">
        <f>H485-H483</f>
        <v>194893.69000000507</v>
      </c>
      <c r="K484" s="135"/>
      <c r="L484" s="224"/>
      <c r="M484" s="224"/>
      <c r="N484" s="224"/>
      <c r="O484" s="130"/>
      <c r="AJ484" s="125">
        <v>194893.69000000507</v>
      </c>
    </row>
    <row r="485" spans="2:36" hidden="1" x14ac:dyDescent="0.2">
      <c r="G485" s="217"/>
      <c r="H485" s="127">
        <v>61802717.670000002</v>
      </c>
      <c r="K485" s="132"/>
      <c r="L485" s="130"/>
      <c r="M485" s="130"/>
      <c r="N485" s="130"/>
      <c r="O485" s="130"/>
      <c r="AJ485" s="125">
        <v>61802717.670000002</v>
      </c>
    </row>
    <row r="486" spans="2:36" hidden="1" x14ac:dyDescent="0.2">
      <c r="G486" s="217" t="s">
        <v>320</v>
      </c>
      <c r="H486" s="135">
        <f>H487-H485</f>
        <v>578109.71999999881</v>
      </c>
      <c r="K486" s="135"/>
      <c r="L486" s="224"/>
      <c r="M486" s="224"/>
      <c r="N486" s="224"/>
      <c r="O486" s="130"/>
      <c r="AJ486" s="125">
        <v>578109.71999999881</v>
      </c>
    </row>
    <row r="487" spans="2:36" hidden="1" x14ac:dyDescent="0.2">
      <c r="G487" s="217"/>
      <c r="H487" s="127">
        <v>62380827.390000001</v>
      </c>
      <c r="AJ487" s="125">
        <v>62380827.390000001</v>
      </c>
    </row>
    <row r="488" spans="2:36" hidden="1" x14ac:dyDescent="0.2">
      <c r="G488" s="227" t="s">
        <v>321</v>
      </c>
      <c r="H488" s="135">
        <f>H489-H487</f>
        <v>344951.29000000656</v>
      </c>
      <c r="K488" s="135"/>
      <c r="L488" s="224"/>
      <c r="M488" s="224"/>
      <c r="N488" s="224"/>
      <c r="AJ488" s="125">
        <v>344951.29000000656</v>
      </c>
    </row>
    <row r="489" spans="2:36" hidden="1" x14ac:dyDescent="0.2">
      <c r="G489" s="217"/>
      <c r="H489" s="127">
        <v>62725778.680000007</v>
      </c>
      <c r="AJ489" s="125">
        <v>62725778.680000007</v>
      </c>
    </row>
    <row r="490" spans="2:36" hidden="1" x14ac:dyDescent="0.2">
      <c r="G490" s="227" t="s">
        <v>322</v>
      </c>
      <c r="H490" s="135">
        <f>H491-H489</f>
        <v>377237</v>
      </c>
      <c r="K490" s="135"/>
      <c r="L490" s="224"/>
      <c r="M490" s="224"/>
      <c r="N490" s="224"/>
      <c r="AJ490" s="125">
        <v>377237</v>
      </c>
    </row>
    <row r="491" spans="2:36" hidden="1" x14ac:dyDescent="0.2">
      <c r="G491" s="217"/>
      <c r="H491" s="127">
        <v>63103015.680000007</v>
      </c>
      <c r="AJ491" s="125">
        <v>63103015.680000007</v>
      </c>
    </row>
    <row r="492" spans="2:36" hidden="1" x14ac:dyDescent="0.2">
      <c r="G492" s="227" t="s">
        <v>323</v>
      </c>
      <c r="H492" s="135">
        <f>H493-H491</f>
        <v>569361.15000000596</v>
      </c>
      <c r="K492" s="135"/>
      <c r="L492" s="228"/>
      <c r="M492" s="228"/>
      <c r="N492" s="228"/>
      <c r="AJ492" s="125">
        <v>569361.15000000596</v>
      </c>
    </row>
    <row r="493" spans="2:36" hidden="1" x14ac:dyDescent="0.2">
      <c r="G493" s="217"/>
      <c r="H493" s="127">
        <v>63672376.830000013</v>
      </c>
      <c r="AJ493" s="125">
        <v>63672376.830000013</v>
      </c>
    </row>
    <row r="494" spans="2:36" hidden="1" x14ac:dyDescent="0.2">
      <c r="G494" s="227" t="s">
        <v>324</v>
      </c>
      <c r="H494" s="135">
        <f>H495-H493</f>
        <v>215403</v>
      </c>
      <c r="K494" s="135"/>
      <c r="L494" s="228"/>
      <c r="M494" s="228"/>
      <c r="N494" s="228"/>
      <c r="AJ494" s="125">
        <v>215403</v>
      </c>
    </row>
    <row r="495" spans="2:36" hidden="1" x14ac:dyDescent="0.2">
      <c r="B495" s="125" t="s">
        <v>325</v>
      </c>
      <c r="C495" s="126">
        <f>'[2]Summary 2021A'!$C$791</f>
        <v>242000000</v>
      </c>
      <c r="G495" s="217"/>
      <c r="H495" s="127">
        <v>63887779.830000013</v>
      </c>
      <c r="AJ495" s="125">
        <v>63887779.830000013</v>
      </c>
    </row>
    <row r="496" spans="2:36" hidden="1" x14ac:dyDescent="0.2">
      <c r="G496" s="227" t="s">
        <v>326</v>
      </c>
      <c r="H496" s="135">
        <f>H497-H495</f>
        <v>76886.269999995828</v>
      </c>
      <c r="K496" s="135"/>
      <c r="L496" s="217"/>
      <c r="M496" s="217"/>
      <c r="N496" s="228"/>
      <c r="AJ496" s="125">
        <v>76886.269999995828</v>
      </c>
    </row>
    <row r="497" spans="6:36" hidden="1" x14ac:dyDescent="0.2">
      <c r="G497" s="217"/>
      <c r="H497" s="126">
        <v>63964666.100000009</v>
      </c>
      <c r="L497" s="217"/>
      <c r="M497" s="217"/>
      <c r="AJ497" s="125">
        <v>63964666.100000009</v>
      </c>
    </row>
    <row r="498" spans="6:36" hidden="1" x14ac:dyDescent="0.2">
      <c r="G498" s="227" t="s">
        <v>327</v>
      </c>
      <c r="H498" s="135">
        <f>H499-H497</f>
        <v>44536.930000007153</v>
      </c>
      <c r="K498" s="135"/>
      <c r="L498" s="217"/>
      <c r="M498" s="217"/>
      <c r="N498" s="228"/>
      <c r="AJ498" s="125">
        <v>44536.930000007153</v>
      </c>
    </row>
    <row r="499" spans="6:36" hidden="1" x14ac:dyDescent="0.2">
      <c r="G499" s="217"/>
      <c r="H499" s="127">
        <v>64009203.030000016</v>
      </c>
      <c r="AJ499" s="125">
        <v>64009203.030000016</v>
      </c>
    </row>
    <row r="500" spans="6:36" hidden="1" x14ac:dyDescent="0.2">
      <c r="F500" s="229">
        <v>45216</v>
      </c>
      <c r="G500" s="227" t="s">
        <v>328</v>
      </c>
      <c r="H500" s="135">
        <f>H501-H499</f>
        <v>3812242.6199999899</v>
      </c>
      <c r="K500" s="135"/>
      <c r="L500" s="228"/>
      <c r="M500" s="228"/>
      <c r="N500" s="228"/>
      <c r="AJ500" s="125">
        <v>3812242.6199999899</v>
      </c>
    </row>
    <row r="501" spans="6:36" hidden="1" x14ac:dyDescent="0.2">
      <c r="F501" s="229"/>
      <c r="G501" s="217"/>
      <c r="H501" s="127">
        <v>67821445.650000006</v>
      </c>
      <c r="AJ501" s="125">
        <v>67821445.650000006</v>
      </c>
    </row>
    <row r="502" spans="6:36" hidden="1" x14ac:dyDescent="0.2">
      <c r="F502" s="229">
        <v>45219</v>
      </c>
      <c r="G502" s="227" t="s">
        <v>329</v>
      </c>
      <c r="H502" s="135">
        <f>H503-H501</f>
        <v>100987.70000000298</v>
      </c>
      <c r="K502" s="135"/>
      <c r="L502" s="228"/>
      <c r="M502" s="228"/>
      <c r="N502" s="228"/>
      <c r="AJ502" s="125">
        <v>100987.70000000298</v>
      </c>
    </row>
    <row r="503" spans="6:36" hidden="1" x14ac:dyDescent="0.2">
      <c r="F503" s="229"/>
      <c r="G503" s="217"/>
      <c r="H503" s="131">
        <v>67922433.350000009</v>
      </c>
      <c r="AJ503" s="125">
        <v>67922433.350000009</v>
      </c>
    </row>
    <row r="504" spans="6:36" hidden="1" x14ac:dyDescent="0.2">
      <c r="F504" s="229"/>
      <c r="G504" s="227" t="s">
        <v>330</v>
      </c>
      <c r="H504" s="135">
        <f>H505-H503</f>
        <v>198</v>
      </c>
      <c r="K504" s="135"/>
      <c r="L504" s="230"/>
      <c r="M504" s="230"/>
      <c r="N504" s="230"/>
      <c r="AJ504" s="125">
        <v>198</v>
      </c>
    </row>
    <row r="505" spans="6:36" ht="13.5" hidden="1" customHeight="1" x14ac:dyDescent="0.2">
      <c r="F505" s="229"/>
      <c r="G505" s="217"/>
      <c r="H505" s="131">
        <v>67922631.350000009</v>
      </c>
      <c r="L505" s="230"/>
      <c r="M505" s="230"/>
      <c r="N505" s="230"/>
      <c r="AJ505" s="125">
        <v>67922631.350000009</v>
      </c>
    </row>
    <row r="506" spans="6:36" hidden="1" x14ac:dyDescent="0.2">
      <c r="F506" s="229">
        <v>45226</v>
      </c>
      <c r="G506" s="227" t="s">
        <v>331</v>
      </c>
      <c r="H506" s="135">
        <f>H507-H505</f>
        <v>2960.0400000065565</v>
      </c>
      <c r="K506" s="135"/>
      <c r="L506" s="230"/>
      <c r="M506" s="230"/>
      <c r="N506" s="230"/>
      <c r="AJ506" s="125">
        <v>2960.0400000065565</v>
      </c>
    </row>
    <row r="507" spans="6:36" hidden="1" x14ac:dyDescent="0.2">
      <c r="F507" s="229"/>
      <c r="G507" s="217"/>
      <c r="H507" s="127">
        <v>67925591.390000015</v>
      </c>
      <c r="L507" s="230"/>
      <c r="M507" s="230"/>
      <c r="N507" s="230"/>
      <c r="AJ507" s="125">
        <v>67925591.390000015</v>
      </c>
    </row>
    <row r="508" spans="6:36" hidden="1" x14ac:dyDescent="0.2">
      <c r="F508" s="229">
        <v>45237</v>
      </c>
      <c r="G508" s="227" t="s">
        <v>332</v>
      </c>
      <c r="H508" s="135">
        <f>H509-H507</f>
        <v>131078.72999998927</v>
      </c>
      <c r="K508" s="135"/>
      <c r="L508" s="230"/>
      <c r="M508" s="230"/>
      <c r="N508" s="230"/>
      <c r="AJ508" s="125">
        <v>131078.72999998927</v>
      </c>
    </row>
    <row r="509" spans="6:36" hidden="1" x14ac:dyDescent="0.2">
      <c r="F509" s="229"/>
      <c r="G509" s="217"/>
      <c r="H509" s="127">
        <v>68056670.120000005</v>
      </c>
      <c r="N509" s="230"/>
      <c r="AJ509" s="125">
        <v>68056670.120000005</v>
      </c>
    </row>
    <row r="510" spans="6:36" hidden="1" x14ac:dyDescent="0.2">
      <c r="F510" s="229">
        <v>45246</v>
      </c>
      <c r="G510" s="227" t="s">
        <v>333</v>
      </c>
      <c r="H510" s="135">
        <f>H511-H509</f>
        <v>217976.22999998927</v>
      </c>
      <c r="N510" s="230"/>
      <c r="AJ510" s="125">
        <v>217976.22999998927</v>
      </c>
    </row>
    <row r="511" spans="6:36" hidden="1" x14ac:dyDescent="0.2">
      <c r="F511" s="229"/>
      <c r="G511" s="217"/>
      <c r="H511" s="127">
        <v>68274646.349999994</v>
      </c>
      <c r="N511" s="230"/>
      <c r="AJ511" s="125">
        <v>68274646.349999994</v>
      </c>
    </row>
    <row r="512" spans="6:36" hidden="1" x14ac:dyDescent="0.2">
      <c r="F512" s="229">
        <v>45251</v>
      </c>
      <c r="G512" s="227" t="s">
        <v>334</v>
      </c>
      <c r="H512" s="135">
        <f>H513-H511</f>
        <v>57363.640000015497</v>
      </c>
      <c r="N512" s="231"/>
      <c r="AJ512" s="125">
        <v>57363.640000015497</v>
      </c>
    </row>
    <row r="513" spans="6:36" hidden="1" x14ac:dyDescent="0.2">
      <c r="F513" s="229"/>
      <c r="G513" s="217"/>
      <c r="H513" s="127">
        <v>68332009.99000001</v>
      </c>
      <c r="L513" s="230"/>
      <c r="M513" s="230"/>
      <c r="N513" s="230"/>
      <c r="AJ513" s="125">
        <v>68332009.99000001</v>
      </c>
    </row>
    <row r="514" spans="6:36" hidden="1" x14ac:dyDescent="0.2">
      <c r="F514" s="229">
        <v>45265</v>
      </c>
      <c r="G514" s="227" t="s">
        <v>335</v>
      </c>
      <c r="H514" s="135">
        <f>H515-H513</f>
        <v>79790.949999988079</v>
      </c>
      <c r="K514" s="135"/>
      <c r="L514" s="230"/>
      <c r="M514" s="230"/>
      <c r="N514" s="231"/>
      <c r="AJ514" s="125">
        <v>79790.949999988079</v>
      </c>
    </row>
    <row r="515" spans="6:36" hidden="1" x14ac:dyDescent="0.2">
      <c r="F515" s="229"/>
      <c r="G515" s="217"/>
      <c r="H515" s="127">
        <v>68411800.939999998</v>
      </c>
      <c r="L515" s="230"/>
      <c r="M515" s="230"/>
      <c r="N515" s="230"/>
      <c r="AJ515" s="125">
        <v>68411800.939999998</v>
      </c>
    </row>
    <row r="516" spans="6:36" hidden="1" x14ac:dyDescent="0.2">
      <c r="F516" s="229">
        <v>45273</v>
      </c>
      <c r="G516" s="227" t="s">
        <v>336</v>
      </c>
      <c r="H516" s="135">
        <f>H517-H515</f>
        <v>1612407.650000006</v>
      </c>
      <c r="K516" s="135"/>
      <c r="L516" s="231"/>
      <c r="M516" s="231"/>
      <c r="N516" s="231"/>
      <c r="AJ516" s="125">
        <v>1612407.650000006</v>
      </c>
    </row>
    <row r="517" spans="6:36" hidden="1" x14ac:dyDescent="0.2">
      <c r="F517" s="229"/>
      <c r="G517" s="217"/>
      <c r="H517" s="127">
        <v>70024208.590000004</v>
      </c>
      <c r="L517" s="230"/>
      <c r="M517" s="230"/>
      <c r="N517" s="230"/>
      <c r="AJ517" s="125">
        <v>70024208.590000004</v>
      </c>
    </row>
    <row r="518" spans="6:36" hidden="1" x14ac:dyDescent="0.2">
      <c r="F518" s="229">
        <v>45279</v>
      </c>
      <c r="G518" s="227" t="s">
        <v>337</v>
      </c>
      <c r="H518" s="135">
        <f>H519-H517</f>
        <v>94671.70000000298</v>
      </c>
      <c r="K518" s="135"/>
      <c r="L518" s="231"/>
      <c r="M518" s="231"/>
      <c r="N518" s="230"/>
      <c r="AJ518" s="125">
        <v>94671.70000000298</v>
      </c>
    </row>
    <row r="519" spans="6:36" hidden="1" x14ac:dyDescent="0.2">
      <c r="F519" s="229"/>
      <c r="G519" s="217"/>
      <c r="H519" s="127">
        <v>70118880.290000007</v>
      </c>
      <c r="K519" s="230"/>
      <c r="L519" s="230"/>
      <c r="M519" s="230"/>
      <c r="N519" s="230"/>
      <c r="AJ519" s="125">
        <v>70118880.290000007</v>
      </c>
    </row>
    <row r="520" spans="6:36" hidden="1" x14ac:dyDescent="0.2">
      <c r="F520" s="229">
        <v>45280</v>
      </c>
      <c r="G520" s="227" t="s">
        <v>338</v>
      </c>
      <c r="H520" s="135">
        <f>H521-H519</f>
        <v>2216432.9699999988</v>
      </c>
      <c r="K520" s="135"/>
      <c r="L520" s="230"/>
      <c r="M520" s="230"/>
      <c r="N520" s="230"/>
      <c r="AJ520" s="125">
        <v>2216432.9699999988</v>
      </c>
    </row>
    <row r="521" spans="6:36" hidden="1" x14ac:dyDescent="0.2">
      <c r="F521" s="229"/>
      <c r="G521" s="217"/>
      <c r="H521" s="127">
        <v>72335313.260000005</v>
      </c>
      <c r="K521" s="137"/>
      <c r="AJ521" s="125">
        <v>72335313.260000005</v>
      </c>
    </row>
    <row r="522" spans="6:36" hidden="1" x14ac:dyDescent="0.2">
      <c r="F522" s="229">
        <v>44935</v>
      </c>
      <c r="G522" s="227" t="s">
        <v>339</v>
      </c>
      <c r="H522" s="135">
        <f>H523-H521</f>
        <v>23535.630000010133</v>
      </c>
      <c r="K522" s="135"/>
      <c r="L522" s="216"/>
      <c r="M522" s="216"/>
      <c r="N522" s="216"/>
      <c r="AJ522" s="125">
        <v>23535.630000010133</v>
      </c>
    </row>
    <row r="523" spans="6:36" hidden="1" x14ac:dyDescent="0.2">
      <c r="F523" s="229"/>
      <c r="G523" s="217"/>
      <c r="H523" s="127">
        <v>72358848.890000015</v>
      </c>
      <c r="AJ523" s="125">
        <v>72358848.890000015</v>
      </c>
    </row>
    <row r="524" spans="6:36" hidden="1" x14ac:dyDescent="0.2">
      <c r="F524" s="229">
        <v>44943</v>
      </c>
      <c r="G524" s="227" t="s">
        <v>340</v>
      </c>
      <c r="H524" s="135">
        <f>H525-H523</f>
        <v>201212.43999999762</v>
      </c>
      <c r="K524" s="135"/>
      <c r="L524" s="216"/>
      <c r="M524" s="216"/>
      <c r="N524" s="216"/>
      <c r="AJ524" s="125">
        <v>201212.43999999762</v>
      </c>
    </row>
    <row r="525" spans="6:36" hidden="1" x14ac:dyDescent="0.2">
      <c r="F525" s="229"/>
      <c r="G525" s="217"/>
      <c r="H525" s="127">
        <v>72560061.330000013</v>
      </c>
      <c r="AJ525" s="125">
        <v>72560061.330000013</v>
      </c>
    </row>
    <row r="526" spans="6:36" hidden="1" x14ac:dyDescent="0.2">
      <c r="F526" s="229">
        <v>44951</v>
      </c>
      <c r="G526" s="227" t="s">
        <v>341</v>
      </c>
      <c r="H526" s="135">
        <f>H527-H525</f>
        <v>637606.39999999106</v>
      </c>
      <c r="K526" s="135"/>
      <c r="L526" s="216"/>
      <c r="M526" s="216"/>
      <c r="N526" s="216"/>
      <c r="AJ526" s="125">
        <v>637606.39999999106</v>
      </c>
    </row>
    <row r="527" spans="6:36" hidden="1" x14ac:dyDescent="0.2">
      <c r="F527" s="229"/>
      <c r="G527" s="217"/>
      <c r="H527" s="127">
        <v>73197667.730000004</v>
      </c>
      <c r="AJ527" s="125">
        <v>73197667.730000004</v>
      </c>
    </row>
    <row r="528" spans="6:36" hidden="1" x14ac:dyDescent="0.2">
      <c r="F528" s="229">
        <v>44956</v>
      </c>
      <c r="G528" s="227" t="s">
        <v>342</v>
      </c>
      <c r="H528" s="135">
        <f>H529-H527</f>
        <v>2576</v>
      </c>
      <c r="AJ528" s="125">
        <v>2576</v>
      </c>
    </row>
    <row r="529" spans="6:36" hidden="1" x14ac:dyDescent="0.2">
      <c r="F529" s="229"/>
      <c r="G529" s="217"/>
      <c r="H529" s="127">
        <v>73200243.730000004</v>
      </c>
      <c r="AJ529" s="125">
        <v>73200243.730000004</v>
      </c>
    </row>
    <row r="530" spans="6:36" hidden="1" x14ac:dyDescent="0.2">
      <c r="F530" s="229">
        <v>44963</v>
      </c>
      <c r="G530" s="227" t="s">
        <v>343</v>
      </c>
      <c r="H530" s="135">
        <f>H531-H529</f>
        <v>191564.38000001013</v>
      </c>
      <c r="AJ530" s="125">
        <v>191564.38000001013</v>
      </c>
    </row>
    <row r="531" spans="6:36" hidden="1" x14ac:dyDescent="0.2">
      <c r="F531" s="229"/>
      <c r="G531" s="217"/>
      <c r="H531" s="127">
        <v>73391808.110000014</v>
      </c>
      <c r="AJ531" s="125">
        <v>73391808.110000014</v>
      </c>
    </row>
    <row r="532" spans="6:36" hidden="1" x14ac:dyDescent="0.2">
      <c r="F532" s="229">
        <v>44970</v>
      </c>
      <c r="G532" s="227" t="s">
        <v>344</v>
      </c>
      <c r="H532" s="135">
        <f>H533-H531</f>
        <v>221824.82999999821</v>
      </c>
      <c r="K532" s="135"/>
      <c r="L532" s="216"/>
      <c r="M532" s="216"/>
      <c r="N532" s="216"/>
      <c r="AJ532" s="125">
        <v>221824.82999999821</v>
      </c>
    </row>
    <row r="533" spans="6:36" hidden="1" x14ac:dyDescent="0.2">
      <c r="G533" s="227"/>
      <c r="H533" s="127">
        <v>73613632.940000013</v>
      </c>
      <c r="K533" s="135"/>
      <c r="L533" s="216"/>
      <c r="M533" s="216"/>
      <c r="N533" s="216"/>
      <c r="AJ533" s="125">
        <v>73613632.940000013</v>
      </c>
    </row>
    <row r="534" spans="6:36" hidden="1" x14ac:dyDescent="0.2">
      <c r="F534" s="229">
        <v>44974</v>
      </c>
      <c r="G534" s="227" t="s">
        <v>345</v>
      </c>
      <c r="H534" s="135">
        <f>H535-H533</f>
        <v>158213.20000000298</v>
      </c>
      <c r="K534" s="135"/>
      <c r="L534" s="216"/>
      <c r="M534" s="216"/>
      <c r="N534" s="216"/>
      <c r="AJ534" s="125">
        <v>158213.20000000298</v>
      </c>
    </row>
    <row r="535" spans="6:36" hidden="1" x14ac:dyDescent="0.2">
      <c r="G535" s="227"/>
      <c r="H535" s="127">
        <v>73771846.140000015</v>
      </c>
      <c r="K535" s="135"/>
      <c r="L535" s="216"/>
      <c r="M535" s="216"/>
      <c r="N535" s="216"/>
      <c r="AJ535" s="125">
        <v>73771846.140000015</v>
      </c>
    </row>
    <row r="536" spans="6:36" hidden="1" x14ac:dyDescent="0.2">
      <c r="F536" s="229">
        <v>44981</v>
      </c>
      <c r="G536" s="227" t="s">
        <v>346</v>
      </c>
      <c r="H536" s="135">
        <f>H537-H535</f>
        <v>123059.37999999523</v>
      </c>
      <c r="K536" s="135"/>
      <c r="L536" s="216"/>
      <c r="M536" s="216"/>
      <c r="N536" s="216"/>
      <c r="AJ536" s="125">
        <v>123059.37999999523</v>
      </c>
    </row>
    <row r="537" spans="6:36" hidden="1" x14ac:dyDescent="0.2">
      <c r="G537" s="227"/>
      <c r="H537" s="127">
        <v>73894905.520000011</v>
      </c>
      <c r="K537" s="135"/>
      <c r="L537" s="216"/>
      <c r="M537" s="216"/>
      <c r="N537" s="216"/>
      <c r="AJ537" s="125">
        <v>73894905.520000011</v>
      </c>
    </row>
    <row r="538" spans="6:36" hidden="1" x14ac:dyDescent="0.2">
      <c r="F538" s="229">
        <v>44985</v>
      </c>
      <c r="G538" s="227" t="s">
        <v>347</v>
      </c>
      <c r="H538" s="135">
        <f>H539-H537</f>
        <v>1372104.7599999905</v>
      </c>
      <c r="K538" s="135"/>
      <c r="L538" s="216"/>
      <c r="M538" s="216"/>
      <c r="N538" s="216"/>
      <c r="AJ538" s="125">
        <v>1372104.7599999905</v>
      </c>
    </row>
    <row r="539" spans="6:36" hidden="1" x14ac:dyDescent="0.2">
      <c r="G539" s="227"/>
      <c r="H539" s="127">
        <v>75267010.280000001</v>
      </c>
      <c r="K539" s="135"/>
      <c r="L539" s="216"/>
      <c r="M539" s="216"/>
      <c r="N539" s="216"/>
      <c r="AJ539" s="125">
        <v>75267010.280000001</v>
      </c>
    </row>
    <row r="540" spans="6:36" hidden="1" x14ac:dyDescent="0.2">
      <c r="F540" s="229">
        <v>44985</v>
      </c>
      <c r="G540" s="216" t="s">
        <v>348</v>
      </c>
      <c r="H540" s="135">
        <f>H541-H539</f>
        <v>-6100</v>
      </c>
      <c r="K540" s="135"/>
      <c r="L540" s="216"/>
      <c r="M540" s="216"/>
      <c r="N540" s="216"/>
      <c r="AJ540" s="125">
        <v>-6100</v>
      </c>
    </row>
    <row r="541" spans="6:36" hidden="1" x14ac:dyDescent="0.2">
      <c r="G541" s="232"/>
      <c r="H541" s="131">
        <v>75260910.280000001</v>
      </c>
      <c r="AJ541" s="125">
        <v>75260910.280000001</v>
      </c>
    </row>
    <row r="542" spans="6:36" hidden="1" x14ac:dyDescent="0.2">
      <c r="F542" s="229">
        <v>44991</v>
      </c>
      <c r="G542" s="227" t="s">
        <v>349</v>
      </c>
      <c r="H542" s="135">
        <f>H543-H541</f>
        <v>156097.46000000834</v>
      </c>
      <c r="AJ542" s="125">
        <v>156097.46000000834</v>
      </c>
    </row>
    <row r="543" spans="6:36" hidden="1" x14ac:dyDescent="0.2">
      <c r="G543" s="232"/>
      <c r="H543" s="131">
        <v>75417007.74000001</v>
      </c>
      <c r="AJ543" s="125">
        <v>75417007.74000001</v>
      </c>
    </row>
    <row r="544" spans="6:36" hidden="1" x14ac:dyDescent="0.2">
      <c r="F544" s="229">
        <v>44992</v>
      </c>
      <c r="G544" s="232" t="s">
        <v>350</v>
      </c>
      <c r="H544" s="135">
        <f>H545-H543</f>
        <v>-1012.0300000011921</v>
      </c>
      <c r="AJ544" s="125">
        <v>-1012.0300000011921</v>
      </c>
    </row>
    <row r="545" spans="6:36" x14ac:dyDescent="0.2">
      <c r="G545" s="232"/>
      <c r="H545" s="131">
        <v>75415995.710000008</v>
      </c>
      <c r="AJ545" s="125">
        <v>75415995.710000008</v>
      </c>
    </row>
    <row r="546" spans="6:36" x14ac:dyDescent="0.2">
      <c r="F546" s="229">
        <v>44992</v>
      </c>
      <c r="G546" s="227" t="s">
        <v>351</v>
      </c>
      <c r="H546" s="135">
        <f>H547-H545</f>
        <v>1012.0300000011921</v>
      </c>
      <c r="AJ546" s="125">
        <v>1012.0300000011921</v>
      </c>
    </row>
    <row r="547" spans="6:36" x14ac:dyDescent="0.2">
      <c r="F547" s="229"/>
      <c r="G547" s="227"/>
      <c r="H547" s="131">
        <v>75417007.74000001</v>
      </c>
      <c r="AJ547" s="125">
        <v>75417007.74000001</v>
      </c>
    </row>
    <row r="548" spans="6:36" x14ac:dyDescent="0.2">
      <c r="F548" s="229">
        <v>44998</v>
      </c>
      <c r="G548" s="227" t="s">
        <v>352</v>
      </c>
      <c r="H548" s="135">
        <f>H549-H547</f>
        <v>485387.75</v>
      </c>
      <c r="AJ548" s="125">
        <v>485384.75</v>
      </c>
    </row>
    <row r="549" spans="6:36" x14ac:dyDescent="0.2">
      <c r="F549" s="229"/>
      <c r="G549" s="227"/>
      <c r="H549" s="131">
        <v>75902395.49000001</v>
      </c>
      <c r="AJ549" s="125">
        <v>75902392.49000001</v>
      </c>
    </row>
    <row r="550" spans="6:36" x14ac:dyDescent="0.2">
      <c r="F550" s="229">
        <v>45002</v>
      </c>
      <c r="G550" s="227" t="s">
        <v>353</v>
      </c>
      <c r="H550" s="135">
        <f>H551-H549</f>
        <v>32475.95000000298</v>
      </c>
    </row>
    <row r="551" spans="6:36" x14ac:dyDescent="0.2">
      <c r="F551" s="229"/>
      <c r="G551" s="227"/>
      <c r="H551" s="131">
        <v>75934871.440000013</v>
      </c>
    </row>
    <row r="552" spans="6:36" x14ac:dyDescent="0.2">
      <c r="F552" s="229">
        <v>45012</v>
      </c>
      <c r="G552" s="227" t="s">
        <v>354</v>
      </c>
      <c r="H552" s="135">
        <f>H553-H551</f>
        <v>1046761.7499999851</v>
      </c>
    </row>
    <row r="553" spans="6:36" x14ac:dyDescent="0.2">
      <c r="F553" s="229"/>
      <c r="G553" s="227"/>
      <c r="H553" s="131">
        <v>76981633.189999998</v>
      </c>
    </row>
    <row r="554" spans="6:36" x14ac:dyDescent="0.2">
      <c r="F554" s="229">
        <v>45036</v>
      </c>
      <c r="G554" s="227" t="s">
        <v>355</v>
      </c>
      <c r="H554" s="135">
        <f>H555-H553</f>
        <v>104233.43000000715</v>
      </c>
    </row>
    <row r="555" spans="6:36" x14ac:dyDescent="0.2">
      <c r="G555" s="232"/>
      <c r="H555" s="131">
        <v>77085866.620000005</v>
      </c>
    </row>
    <row r="556" spans="6:36" x14ac:dyDescent="0.2">
      <c r="F556" s="229">
        <v>45064</v>
      </c>
      <c r="G556" s="227" t="s">
        <v>356</v>
      </c>
      <c r="H556" s="135">
        <f>H557-H555</f>
        <v>1287764.2600000054</v>
      </c>
      <c r="K556" s="135"/>
      <c r="L556" s="216"/>
      <c r="M556" s="216"/>
      <c r="N556" s="216"/>
      <c r="AJ556" s="125">
        <v>1079240.6999999955</v>
      </c>
    </row>
    <row r="557" spans="6:36" x14ac:dyDescent="0.2">
      <c r="G557" s="125"/>
      <c r="H557" s="130">
        <v>78373630.88000001</v>
      </c>
      <c r="I557" s="132"/>
      <c r="J557" s="132"/>
      <c r="K557" s="132"/>
    </row>
    <row r="558" spans="6:36" x14ac:dyDescent="0.2">
      <c r="F558" s="229">
        <v>45071</v>
      </c>
      <c r="G558" s="227" t="s">
        <v>357</v>
      </c>
      <c r="H558" s="135">
        <f>H559-H557</f>
        <v>51221.820000007749</v>
      </c>
      <c r="I558" s="132"/>
      <c r="J558" s="132"/>
      <c r="K558" s="135"/>
      <c r="L558" s="216"/>
      <c r="M558" s="216"/>
      <c r="N558" s="216"/>
    </row>
    <row r="559" spans="6:36" x14ac:dyDescent="0.2">
      <c r="H559" s="233">
        <v>78424852.700000018</v>
      </c>
      <c r="I559" s="132"/>
      <c r="J559" s="132"/>
      <c r="K559" s="132"/>
    </row>
    <row r="560" spans="6:36" x14ac:dyDescent="0.2">
      <c r="F560" s="229">
        <v>45083</v>
      </c>
      <c r="G560" s="227" t="s">
        <v>358</v>
      </c>
      <c r="H560" s="135">
        <f>H561-H559</f>
        <v>3261405.4099999964</v>
      </c>
      <c r="K560" s="135"/>
      <c r="L560" s="216"/>
      <c r="M560" s="216"/>
      <c r="N560" s="216"/>
    </row>
    <row r="561" spans="6:14" x14ac:dyDescent="0.2">
      <c r="G561" s="234"/>
      <c r="H561" s="135">
        <v>81686258.110000014</v>
      </c>
    </row>
    <row r="562" spans="6:14" x14ac:dyDescent="0.2">
      <c r="F562" s="229">
        <v>45089</v>
      </c>
      <c r="G562" s="227" t="s">
        <v>359</v>
      </c>
      <c r="H562" s="135">
        <f>H563-H561</f>
        <v>2023124.599999994</v>
      </c>
    </row>
    <row r="563" spans="6:14" x14ac:dyDescent="0.2">
      <c r="G563" s="234"/>
      <c r="H563" s="135">
        <v>83709382.710000008</v>
      </c>
    </row>
    <row r="564" spans="6:14" x14ac:dyDescent="0.2">
      <c r="F564" s="229">
        <v>45099</v>
      </c>
      <c r="G564" s="227" t="s">
        <v>360</v>
      </c>
      <c r="H564" s="135">
        <f>H565-H563</f>
        <v>1487245.1300000101</v>
      </c>
    </row>
    <row r="565" spans="6:14" x14ac:dyDescent="0.2">
      <c r="G565" s="234"/>
      <c r="H565" s="135">
        <v>85196627.840000018</v>
      </c>
    </row>
    <row r="566" spans="6:14" x14ac:dyDescent="0.2">
      <c r="F566" s="229">
        <v>45114</v>
      </c>
      <c r="G566" s="227" t="s">
        <v>361</v>
      </c>
      <c r="H566" s="135">
        <f>H567-H565</f>
        <v>1327161.0199999958</v>
      </c>
    </row>
    <row r="567" spans="6:14" x14ac:dyDescent="0.2">
      <c r="G567" s="234"/>
      <c r="H567" s="135">
        <v>86523788.860000014</v>
      </c>
    </row>
    <row r="568" spans="6:14" x14ac:dyDescent="0.2">
      <c r="F568" s="229">
        <v>45125</v>
      </c>
      <c r="G568" s="234" t="s">
        <v>362</v>
      </c>
      <c r="H568" s="135">
        <f>H569-H567</f>
        <v>950516.68000000715</v>
      </c>
    </row>
    <row r="569" spans="6:14" x14ac:dyDescent="0.2">
      <c r="G569" s="235"/>
      <c r="H569" s="126">
        <v>87474305.540000021</v>
      </c>
      <c r="K569" s="135"/>
      <c r="L569" s="216"/>
      <c r="M569" s="216"/>
      <c r="N569" s="216"/>
    </row>
    <row r="570" spans="6:14" x14ac:dyDescent="0.2">
      <c r="F570" s="229">
        <v>45127</v>
      </c>
      <c r="G570" s="234" t="s">
        <v>363</v>
      </c>
      <c r="H570" s="135">
        <f>H571-H569</f>
        <v>25155.279999986291</v>
      </c>
      <c r="J570" s="236"/>
      <c r="K570" s="135"/>
      <c r="L570" s="216"/>
      <c r="M570" s="216"/>
      <c r="N570" s="216"/>
    </row>
    <row r="571" spans="6:14" x14ac:dyDescent="0.2">
      <c r="G571" s="235"/>
      <c r="H571" s="237">
        <v>87499460.820000008</v>
      </c>
      <c r="J571" s="237"/>
      <c r="K571" s="135"/>
      <c r="L571" s="216"/>
      <c r="M571" s="216"/>
      <c r="N571" s="216"/>
    </row>
    <row r="572" spans="6:14" x14ac:dyDescent="0.2">
      <c r="F572" s="229">
        <v>45142</v>
      </c>
      <c r="G572" s="234" t="s">
        <v>377</v>
      </c>
      <c r="H572" s="135">
        <f>H573-H571</f>
        <v>2177558.8700000048</v>
      </c>
      <c r="J572" s="238"/>
      <c r="K572" s="135"/>
      <c r="L572" s="216"/>
      <c r="M572" s="216"/>
      <c r="N572" s="216"/>
    </row>
    <row r="573" spans="6:14" x14ac:dyDescent="0.2">
      <c r="G573" s="235"/>
      <c r="H573" s="135">
        <v>89677019.690000013</v>
      </c>
      <c r="K573" s="135"/>
      <c r="L573" s="216"/>
      <c r="M573" s="216"/>
      <c r="N573" s="216"/>
    </row>
    <row r="574" spans="6:14" x14ac:dyDescent="0.2">
      <c r="F574" s="229">
        <v>45149</v>
      </c>
      <c r="G574" s="255" t="s">
        <v>378</v>
      </c>
      <c r="H574" s="135">
        <f>H575-H573</f>
        <v>-48507.869999989867</v>
      </c>
      <c r="J574" s="127" t="s">
        <v>379</v>
      </c>
      <c r="K574" s="135"/>
      <c r="L574" s="216"/>
      <c r="M574" s="216"/>
      <c r="N574" s="216"/>
    </row>
    <row r="575" spans="6:14" x14ac:dyDescent="0.2">
      <c r="G575" s="235"/>
      <c r="H575" s="135">
        <v>89628511.820000023</v>
      </c>
      <c r="K575" s="135"/>
      <c r="L575" s="216"/>
      <c r="M575" s="216"/>
      <c r="N575" s="216"/>
    </row>
    <row r="576" spans="6:14" x14ac:dyDescent="0.2">
      <c r="F576" s="229">
        <v>45152</v>
      </c>
      <c r="G576" s="234" t="s">
        <v>380</v>
      </c>
      <c r="H576" s="135">
        <f>H577-H575</f>
        <v>48507.869999989867</v>
      </c>
      <c r="J576" s="126" t="s">
        <v>381</v>
      </c>
    </row>
    <row r="577" spans="2:14" x14ac:dyDescent="0.2">
      <c r="H577" s="127">
        <v>89677019.690000013</v>
      </c>
      <c r="K577" s="135"/>
      <c r="L577" s="216"/>
      <c r="M577" s="216"/>
      <c r="N577" s="216"/>
    </row>
    <row r="578" spans="2:14" x14ac:dyDescent="0.2">
      <c r="F578" s="229">
        <v>45152</v>
      </c>
      <c r="G578" s="234" t="s">
        <v>382</v>
      </c>
      <c r="H578" s="135">
        <f>H579-H577</f>
        <v>806749.12000000477</v>
      </c>
    </row>
    <row r="579" spans="2:14" x14ac:dyDescent="0.2">
      <c r="H579" s="127">
        <v>90483768.810000017</v>
      </c>
      <c r="K579" s="135"/>
      <c r="L579" s="228"/>
      <c r="M579" s="228"/>
      <c r="N579" s="228"/>
    </row>
    <row r="581" spans="2:14" x14ac:dyDescent="0.2">
      <c r="K581" s="135"/>
      <c r="L581" s="216"/>
      <c r="M581" s="216"/>
      <c r="N581" s="216"/>
    </row>
    <row r="582" spans="2:14" x14ac:dyDescent="0.2">
      <c r="F582" s="240"/>
      <c r="G582" s="217"/>
    </row>
    <row r="583" spans="2:14" hidden="1" x14ac:dyDescent="0.2">
      <c r="B583" s="241" t="s">
        <v>368</v>
      </c>
      <c r="C583" s="242"/>
      <c r="F583" s="240"/>
      <c r="G583" s="217"/>
      <c r="K583" s="135"/>
      <c r="L583" s="216"/>
      <c r="M583" s="216"/>
      <c r="N583" s="216"/>
    </row>
    <row r="584" spans="2:14" hidden="1" x14ac:dyDescent="0.2">
      <c r="B584" s="243" t="s">
        <v>369</v>
      </c>
      <c r="C584" s="244">
        <f>L438</f>
        <v>257575175.34699994</v>
      </c>
      <c r="F584" s="240"/>
      <c r="G584" s="217"/>
    </row>
    <row r="585" spans="2:14" hidden="1" x14ac:dyDescent="0.2">
      <c r="B585" s="243" t="s">
        <v>370</v>
      </c>
      <c r="C585" s="245">
        <v>222960077.53999999</v>
      </c>
      <c r="G585" s="217"/>
      <c r="K585" s="135"/>
      <c r="L585" s="216"/>
      <c r="M585" s="216"/>
      <c r="N585" s="216"/>
    </row>
    <row r="586" spans="2:14" hidden="1" x14ac:dyDescent="0.2">
      <c r="B586" s="243" t="s">
        <v>371</v>
      </c>
      <c r="C586" s="246">
        <f>H556+H558</f>
        <v>1338986.0800000131</v>
      </c>
      <c r="G586" s="217"/>
    </row>
    <row r="587" spans="2:14" hidden="1" x14ac:dyDescent="0.2">
      <c r="B587" s="243" t="s">
        <v>372</v>
      </c>
      <c r="C587" s="126">
        <f>C585-C586-C584</f>
        <v>-35954083.886999965</v>
      </c>
      <c r="G587" s="217"/>
      <c r="K587" s="135"/>
      <c r="L587" s="216"/>
      <c r="M587" s="216"/>
      <c r="N587" s="216"/>
    </row>
    <row r="588" spans="2:14" hidden="1" x14ac:dyDescent="0.2">
      <c r="B588" s="247"/>
      <c r="C588" s="248"/>
      <c r="G588" s="217"/>
      <c r="K588" s="166"/>
    </row>
    <row r="589" spans="2:14" hidden="1" x14ac:dyDescent="0.2">
      <c r="B589" s="247"/>
      <c r="C589" s="246"/>
      <c r="G589" s="217"/>
      <c r="K589" s="135"/>
      <c r="L589" s="216"/>
      <c r="M589" s="216"/>
      <c r="N589" s="216"/>
    </row>
    <row r="590" spans="2:14" hidden="1" x14ac:dyDescent="0.2">
      <c r="B590" s="247"/>
      <c r="C590" s="246"/>
      <c r="L590" s="228"/>
      <c r="M590" s="228"/>
      <c r="N590" s="228"/>
    </row>
    <row r="591" spans="2:14" hidden="1" x14ac:dyDescent="0.2">
      <c r="B591" s="247" t="s">
        <v>373</v>
      </c>
      <c r="C591" s="246">
        <f>78424852.7-324504.25</f>
        <v>78100348.450000003</v>
      </c>
      <c r="K591" s="135"/>
      <c r="L591" s="216"/>
      <c r="M591" s="216"/>
      <c r="N591" s="216"/>
    </row>
    <row r="592" spans="2:14" hidden="1" x14ac:dyDescent="0.2">
      <c r="B592" s="247" t="s">
        <v>374</v>
      </c>
      <c r="C592" s="246">
        <f>34060851.92+42700510.45</f>
        <v>76761362.370000005</v>
      </c>
      <c r="L592" s="228"/>
      <c r="M592" s="228"/>
      <c r="N592" s="228"/>
    </row>
    <row r="593" spans="2:15" hidden="1" x14ac:dyDescent="0.2">
      <c r="B593" s="247" t="s">
        <v>375</v>
      </c>
      <c r="C593" s="246">
        <f>C591-C592</f>
        <v>1338986.0799999982</v>
      </c>
      <c r="K593" s="135"/>
      <c r="L593" s="216"/>
      <c r="M593" s="216"/>
      <c r="N593" s="216"/>
    </row>
    <row r="594" spans="2:15" ht="13.5" hidden="1" thickBot="1" x14ac:dyDescent="0.25">
      <c r="B594" s="249" t="s">
        <v>376</v>
      </c>
      <c r="C594" s="250">
        <f>C593-C586</f>
        <v>-1.4901161193847656E-8</v>
      </c>
      <c r="L594" s="228"/>
      <c r="M594" s="228"/>
      <c r="N594" s="228"/>
    </row>
    <row r="595" spans="2:15" x14ac:dyDescent="0.2">
      <c r="K595" s="135"/>
      <c r="L595" s="216"/>
      <c r="M595" s="216"/>
      <c r="N595" s="216"/>
    </row>
    <row r="596" spans="2:15" x14ac:dyDescent="0.2">
      <c r="L596" s="228"/>
      <c r="M596" s="228"/>
      <c r="N596" s="228"/>
    </row>
    <row r="597" spans="2:15" x14ac:dyDescent="0.2">
      <c r="K597" s="135"/>
      <c r="L597" s="216"/>
      <c r="M597" s="216"/>
      <c r="N597" s="216"/>
    </row>
    <row r="598" spans="2:15" x14ac:dyDescent="0.2">
      <c r="F598" s="227" t="s">
        <v>364</v>
      </c>
      <c r="G598" s="126"/>
      <c r="H598" s="228"/>
      <c r="L598" s="228"/>
      <c r="M598" s="228"/>
      <c r="N598" s="228"/>
    </row>
    <row r="599" spans="2:15" x14ac:dyDescent="0.2">
      <c r="F599" s="126">
        <f>C440</f>
        <v>24993238.439999998</v>
      </c>
      <c r="G599" s="126"/>
      <c r="H599" s="228"/>
      <c r="K599" s="135"/>
      <c r="L599" s="216"/>
      <c r="M599" s="216"/>
      <c r="N599" s="216"/>
    </row>
    <row r="600" spans="2:15" x14ac:dyDescent="0.2">
      <c r="F600" s="126"/>
      <c r="G600" s="126"/>
      <c r="H600" s="228"/>
      <c r="L600" s="228"/>
      <c r="M600" s="228"/>
      <c r="N600" s="228"/>
    </row>
    <row r="601" spans="2:15" x14ac:dyDescent="0.2">
      <c r="F601" s="239" t="s">
        <v>365</v>
      </c>
      <c r="G601" s="217"/>
      <c r="K601" s="135"/>
      <c r="L601" s="216"/>
      <c r="M601" s="216"/>
      <c r="N601" s="216"/>
    </row>
    <row r="602" spans="2:15" x14ac:dyDescent="0.2">
      <c r="F602" s="240" t="s">
        <v>366</v>
      </c>
      <c r="G602" s="217"/>
      <c r="L602" s="228"/>
      <c r="M602" s="228"/>
      <c r="N602" s="228"/>
    </row>
    <row r="603" spans="2:15" x14ac:dyDescent="0.2">
      <c r="F603" s="240" t="s">
        <v>367</v>
      </c>
      <c r="G603" s="217"/>
      <c r="K603" s="135"/>
      <c r="L603" s="216"/>
      <c r="M603" s="216"/>
      <c r="N603" s="216"/>
    </row>
    <row r="604" spans="2:15" x14ac:dyDescent="0.2">
      <c r="J604" s="127"/>
      <c r="L604" s="228"/>
      <c r="M604" s="228"/>
      <c r="N604" s="228"/>
    </row>
    <row r="605" spans="2:15" x14ac:dyDescent="0.2">
      <c r="J605" s="127"/>
      <c r="K605" s="135"/>
      <c r="L605" s="216"/>
      <c r="M605" s="216"/>
      <c r="N605" s="216"/>
      <c r="O605" s="228"/>
    </row>
    <row r="606" spans="2:15" x14ac:dyDescent="0.2">
      <c r="J606" s="127"/>
      <c r="L606" s="228"/>
      <c r="M606" s="228"/>
      <c r="N606" s="228"/>
      <c r="O606" s="228"/>
    </row>
    <row r="607" spans="2:15" x14ac:dyDescent="0.2">
      <c r="K607" s="127"/>
      <c r="L607" s="216"/>
      <c r="M607" s="216"/>
      <c r="N607" s="216"/>
      <c r="O607" s="228"/>
    </row>
    <row r="608" spans="2:15" x14ac:dyDescent="0.2">
      <c r="J608" s="127"/>
      <c r="K608" s="127"/>
      <c r="L608" s="228"/>
      <c r="M608" s="228"/>
      <c r="N608" s="228"/>
      <c r="O608" s="228"/>
    </row>
    <row r="609" spans="10:15" x14ac:dyDescent="0.2">
      <c r="J609" s="127"/>
      <c r="K609" s="135"/>
      <c r="L609" s="216"/>
      <c r="M609" s="216"/>
      <c r="N609" s="216"/>
      <c r="O609" s="228"/>
    </row>
    <row r="610" spans="10:15" x14ac:dyDescent="0.2">
      <c r="L610" s="228"/>
      <c r="M610" s="228"/>
      <c r="N610" s="228"/>
      <c r="O610" s="228"/>
    </row>
    <row r="611" spans="10:15" x14ac:dyDescent="0.2">
      <c r="L611" s="228"/>
      <c r="M611" s="228"/>
      <c r="N611" s="228"/>
      <c r="O611" s="228"/>
    </row>
    <row r="612" spans="10:15" x14ac:dyDescent="0.2">
      <c r="L612" s="228"/>
      <c r="M612" s="228"/>
      <c r="N612" s="228"/>
      <c r="O612" s="228"/>
    </row>
    <row r="613" spans="10:15" x14ac:dyDescent="0.2">
      <c r="J613" s="127"/>
      <c r="L613" s="228"/>
      <c r="M613" s="228"/>
      <c r="N613" s="228"/>
      <c r="O613" s="228"/>
    </row>
    <row r="614" spans="10:15" x14ac:dyDescent="0.2">
      <c r="L614" s="228"/>
      <c r="M614" s="228"/>
      <c r="N614" s="228"/>
      <c r="O614" s="228"/>
    </row>
    <row r="615" spans="10:15" x14ac:dyDescent="0.2">
      <c r="L615" s="228"/>
      <c r="M615" s="228"/>
      <c r="N615" s="228"/>
      <c r="O615" s="228"/>
    </row>
    <row r="616" spans="10:15" x14ac:dyDescent="0.2">
      <c r="K616" s="135"/>
      <c r="L616" s="228"/>
      <c r="M616" s="228"/>
      <c r="N616" s="228"/>
      <c r="O616" s="228"/>
    </row>
    <row r="617" spans="10:15" x14ac:dyDescent="0.2">
      <c r="L617" s="228"/>
      <c r="M617" s="228"/>
      <c r="N617" s="228"/>
    </row>
    <row r="618" spans="10:15" x14ac:dyDescent="0.2">
      <c r="K618" s="135"/>
      <c r="L618" s="228"/>
      <c r="M618" s="228"/>
      <c r="N618" s="228"/>
      <c r="O618" s="228"/>
    </row>
    <row r="619" spans="10:15" x14ac:dyDescent="0.2">
      <c r="L619" s="228"/>
      <c r="M619" s="228"/>
      <c r="N619" s="228"/>
    </row>
    <row r="620" spans="10:15" x14ac:dyDescent="0.2">
      <c r="K620" s="135"/>
      <c r="L620" s="228"/>
      <c r="M620" s="228"/>
      <c r="N620" s="228"/>
      <c r="O620" s="217"/>
    </row>
    <row r="621" spans="10:15" x14ac:dyDescent="0.2">
      <c r="L621" s="228"/>
      <c r="M621" s="228"/>
      <c r="N621" s="228"/>
    </row>
    <row r="622" spans="10:15" x14ac:dyDescent="0.2">
      <c r="K622" s="135"/>
      <c r="L622" s="216"/>
      <c r="M622" s="216"/>
      <c r="N622" s="216"/>
      <c r="O622" s="217"/>
    </row>
    <row r="623" spans="10:15" x14ac:dyDescent="0.2">
      <c r="L623" s="228"/>
      <c r="M623" s="228"/>
      <c r="N623" s="228"/>
    </row>
    <row r="624" spans="10:15" x14ac:dyDescent="0.2">
      <c r="K624" s="135"/>
      <c r="L624" s="228"/>
      <c r="M624" s="228"/>
      <c r="N624" s="228"/>
      <c r="O624" s="217"/>
    </row>
    <row r="625" spans="11:15" x14ac:dyDescent="0.2">
      <c r="L625" s="228"/>
      <c r="M625" s="228"/>
      <c r="N625" s="228"/>
    </row>
    <row r="626" spans="11:15" x14ac:dyDescent="0.2">
      <c r="K626" s="135"/>
      <c r="L626" s="216"/>
      <c r="M626" s="216"/>
      <c r="N626" s="216"/>
      <c r="O626" s="217"/>
    </row>
    <row r="627" spans="11:15" x14ac:dyDescent="0.2">
      <c r="L627" s="228"/>
      <c r="M627" s="228"/>
      <c r="N627" s="228"/>
    </row>
    <row r="628" spans="11:15" x14ac:dyDescent="0.2">
      <c r="K628" s="135"/>
      <c r="L628" s="228"/>
      <c r="M628" s="228"/>
      <c r="N628" s="228"/>
    </row>
    <row r="629" spans="11:15" x14ac:dyDescent="0.2">
      <c r="L629" s="228"/>
      <c r="M629" s="228"/>
      <c r="N629" s="228"/>
    </row>
    <row r="630" spans="11:15" x14ac:dyDescent="0.2">
      <c r="K630" s="135"/>
      <c r="L630" s="228"/>
      <c r="M630" s="228"/>
      <c r="N630" s="228"/>
    </row>
    <row r="631" spans="11:15" x14ac:dyDescent="0.2">
      <c r="L631" s="228"/>
      <c r="M631" s="228"/>
      <c r="N631" s="228"/>
    </row>
    <row r="632" spans="11:15" x14ac:dyDescent="0.2">
      <c r="K632" s="135"/>
      <c r="L632" s="228"/>
      <c r="M632" s="228"/>
      <c r="N632" s="228"/>
      <c r="O632" s="210"/>
    </row>
    <row r="633" spans="11:15" x14ac:dyDescent="0.2">
      <c r="L633" s="228"/>
      <c r="M633" s="228"/>
      <c r="N633" s="228"/>
    </row>
    <row r="634" spans="11:15" x14ac:dyDescent="0.2">
      <c r="K634" s="135"/>
      <c r="L634" s="216"/>
      <c r="M634" s="216"/>
      <c r="N634" s="216"/>
      <c r="O634" s="135"/>
    </row>
    <row r="635" spans="11:15" x14ac:dyDescent="0.2">
      <c r="L635" s="228"/>
      <c r="M635" s="228"/>
      <c r="N635" s="228"/>
      <c r="O635" s="126"/>
    </row>
    <row r="636" spans="11:15" x14ac:dyDescent="0.2">
      <c r="K636" s="135"/>
      <c r="L636" s="216"/>
      <c r="M636" s="216"/>
      <c r="N636" s="216"/>
      <c r="O636" s="135"/>
    </row>
    <row r="637" spans="11:15" x14ac:dyDescent="0.2">
      <c r="L637" s="228"/>
      <c r="M637" s="228"/>
      <c r="N637" s="228"/>
      <c r="O637" s="126"/>
    </row>
    <row r="638" spans="11:15" x14ac:dyDescent="0.2">
      <c r="K638" s="135"/>
      <c r="L638" s="216"/>
      <c r="M638" s="216"/>
      <c r="N638" s="216"/>
      <c r="O638" s="135"/>
    </row>
    <row r="639" spans="11:15" x14ac:dyDescent="0.2">
      <c r="O639" s="126"/>
    </row>
    <row r="640" spans="11:15" x14ac:dyDescent="0.2">
      <c r="L640" s="228"/>
      <c r="M640" s="228"/>
      <c r="N640" s="228"/>
    </row>
    <row r="641" spans="12:14" x14ac:dyDescent="0.2">
      <c r="L641" s="228"/>
      <c r="M641" s="228"/>
      <c r="N641" s="228"/>
    </row>
    <row r="642" spans="12:14" x14ac:dyDescent="0.2">
      <c r="L642" s="228"/>
      <c r="M642" s="228"/>
      <c r="N642" s="228"/>
    </row>
    <row r="643" spans="12:14" x14ac:dyDescent="0.2">
      <c r="L643" s="228"/>
      <c r="M643" s="228"/>
      <c r="N643" s="228"/>
    </row>
    <row r="644" spans="12:14" x14ac:dyDescent="0.2">
      <c r="L644" s="228"/>
      <c r="M644" s="228"/>
      <c r="N644" s="228"/>
    </row>
    <row r="645" spans="12:14" x14ac:dyDescent="0.2">
      <c r="L645" s="228"/>
      <c r="M645" s="228"/>
      <c r="N645" s="228"/>
    </row>
    <row r="646" spans="12:14" x14ac:dyDescent="0.2">
      <c r="L646" s="228"/>
      <c r="M646" s="228"/>
      <c r="N646" s="228"/>
    </row>
    <row r="647" spans="12:14" x14ac:dyDescent="0.2">
      <c r="L647" s="228"/>
      <c r="M647" s="228"/>
      <c r="N647" s="228"/>
    </row>
    <row r="648" spans="12:14" x14ac:dyDescent="0.2">
      <c r="L648" s="228"/>
      <c r="M648" s="228"/>
      <c r="N648" s="228"/>
    </row>
    <row r="649" spans="12:14" x14ac:dyDescent="0.2">
      <c r="L649" s="228"/>
      <c r="M649" s="228"/>
      <c r="N649" s="228"/>
    </row>
    <row r="650" spans="12:14" x14ac:dyDescent="0.2">
      <c r="L650" s="228"/>
      <c r="M650" s="228"/>
      <c r="N650" s="228"/>
    </row>
    <row r="651" spans="12:14" x14ac:dyDescent="0.2">
      <c r="L651" s="228"/>
      <c r="M651" s="228"/>
      <c r="N651" s="228"/>
    </row>
    <row r="652" spans="12:14" x14ac:dyDescent="0.2">
      <c r="L652" s="228"/>
      <c r="M652" s="228"/>
      <c r="N652" s="228"/>
    </row>
    <row r="653" spans="12:14" x14ac:dyDescent="0.2">
      <c r="L653" s="228"/>
      <c r="M653" s="228"/>
      <c r="N653" s="228"/>
    </row>
    <row r="654" spans="12:14" x14ac:dyDescent="0.2">
      <c r="L654" s="228"/>
      <c r="M654" s="228"/>
      <c r="N654" s="228"/>
    </row>
    <row r="655" spans="12:14" x14ac:dyDescent="0.2">
      <c r="L655" s="228"/>
      <c r="M655" s="228"/>
      <c r="N655" s="228"/>
    </row>
    <row r="656" spans="12:14" x14ac:dyDescent="0.2">
      <c r="L656" s="228"/>
      <c r="M656" s="228"/>
      <c r="N656" s="228"/>
    </row>
    <row r="657" spans="12:14" x14ac:dyDescent="0.2">
      <c r="L657" s="228"/>
      <c r="M657" s="228"/>
      <c r="N657" s="228"/>
    </row>
    <row r="658" spans="12:14" x14ac:dyDescent="0.2">
      <c r="L658" s="228"/>
      <c r="M658" s="228"/>
      <c r="N658" s="228"/>
    </row>
    <row r="659" spans="12:14" x14ac:dyDescent="0.2">
      <c r="L659" s="228"/>
      <c r="M659" s="228"/>
      <c r="N659" s="228"/>
    </row>
    <row r="660" spans="12:14" x14ac:dyDescent="0.2">
      <c r="L660" s="228"/>
      <c r="M660" s="228"/>
      <c r="N660" s="228"/>
    </row>
    <row r="661" spans="12:14" x14ac:dyDescent="0.2">
      <c r="L661" s="228"/>
      <c r="M661" s="228"/>
      <c r="N661" s="228"/>
    </row>
    <row r="662" spans="12:14" x14ac:dyDescent="0.2">
      <c r="L662" s="228"/>
      <c r="M662" s="228"/>
      <c r="N662" s="228"/>
    </row>
    <row r="663" spans="12:14" x14ac:dyDescent="0.2">
      <c r="L663" s="228"/>
      <c r="M663" s="228"/>
      <c r="N663" s="228"/>
    </row>
    <row r="664" spans="12:14" x14ac:dyDescent="0.2">
      <c r="L664" s="228"/>
      <c r="M664" s="228"/>
      <c r="N664" s="228"/>
    </row>
    <row r="665" spans="12:14" x14ac:dyDescent="0.2">
      <c r="L665" s="228"/>
      <c r="M665" s="228"/>
      <c r="N665" s="228"/>
    </row>
    <row r="666" spans="12:14" x14ac:dyDescent="0.2">
      <c r="L666" s="228"/>
      <c r="M666" s="228"/>
      <c r="N666" s="228"/>
    </row>
    <row r="667" spans="12:14" x14ac:dyDescent="0.2">
      <c r="L667" s="228"/>
      <c r="M667" s="228"/>
      <c r="N667" s="228"/>
    </row>
    <row r="668" spans="12:14" x14ac:dyDescent="0.2">
      <c r="L668" s="228"/>
      <c r="M668" s="228"/>
      <c r="N668" s="228"/>
    </row>
    <row r="669" spans="12:14" x14ac:dyDescent="0.2">
      <c r="L669" s="228"/>
      <c r="M669" s="228"/>
      <c r="N669" s="228"/>
    </row>
    <row r="670" spans="12:14" x14ac:dyDescent="0.2">
      <c r="L670" s="228"/>
      <c r="M670" s="228"/>
      <c r="N670" s="228"/>
    </row>
    <row r="671" spans="12:14" x14ac:dyDescent="0.2">
      <c r="L671" s="228"/>
      <c r="M671" s="228"/>
      <c r="N671" s="228"/>
    </row>
    <row r="672" spans="12:14" x14ac:dyDescent="0.2">
      <c r="L672" s="228"/>
      <c r="M672" s="228"/>
      <c r="N672" s="228"/>
    </row>
    <row r="673" spans="12:14" x14ac:dyDescent="0.2">
      <c r="L673" s="228"/>
      <c r="M673" s="228"/>
      <c r="N673" s="228"/>
    </row>
    <row r="674" spans="12:14" x14ac:dyDescent="0.2">
      <c r="L674" s="228"/>
      <c r="M674" s="228"/>
      <c r="N674" s="228"/>
    </row>
    <row r="675" spans="12:14" x14ac:dyDescent="0.2">
      <c r="L675" s="228"/>
      <c r="M675" s="228"/>
      <c r="N675" s="228"/>
    </row>
    <row r="676" spans="12:14" x14ac:dyDescent="0.2">
      <c r="L676" s="228"/>
      <c r="M676" s="228"/>
      <c r="N676" s="228"/>
    </row>
    <row r="677" spans="12:14" x14ac:dyDescent="0.2">
      <c r="L677" s="228"/>
      <c r="M677" s="228"/>
      <c r="N677" s="228"/>
    </row>
    <row r="678" spans="12:14" x14ac:dyDescent="0.2">
      <c r="L678" s="228"/>
      <c r="M678" s="228"/>
      <c r="N678" s="228"/>
    </row>
    <row r="679" spans="12:14" x14ac:dyDescent="0.2">
      <c r="L679" s="228"/>
      <c r="M679" s="228"/>
      <c r="N679" s="228"/>
    </row>
    <row r="680" spans="12:14" x14ac:dyDescent="0.2">
      <c r="L680" s="228"/>
      <c r="M680" s="228"/>
      <c r="N680" s="228"/>
    </row>
    <row r="681" spans="12:14" x14ac:dyDescent="0.2">
      <c r="L681" s="228"/>
      <c r="M681" s="228"/>
      <c r="N681" s="228"/>
    </row>
    <row r="682" spans="12:14" x14ac:dyDescent="0.2">
      <c r="L682" s="228"/>
      <c r="M682" s="228"/>
      <c r="N682" s="228"/>
    </row>
    <row r="683" spans="12:14" x14ac:dyDescent="0.2">
      <c r="L683" s="228"/>
      <c r="M683" s="228"/>
      <c r="N683" s="228"/>
    </row>
    <row r="684" spans="12:14" x14ac:dyDescent="0.2">
      <c r="L684" s="228"/>
      <c r="M684" s="228"/>
      <c r="N684" s="228"/>
    </row>
    <row r="685" spans="12:14" x14ac:dyDescent="0.2">
      <c r="L685" s="228"/>
      <c r="M685" s="228"/>
      <c r="N685" s="228"/>
    </row>
    <row r="686" spans="12:14" x14ac:dyDescent="0.2">
      <c r="L686" s="228"/>
      <c r="M686" s="228"/>
      <c r="N686" s="228"/>
    </row>
    <row r="687" spans="12:14" x14ac:dyDescent="0.2">
      <c r="L687" s="228"/>
      <c r="M687" s="228"/>
      <c r="N687" s="228"/>
    </row>
    <row r="688" spans="12:14" x14ac:dyDescent="0.2">
      <c r="L688" s="228"/>
      <c r="M688" s="228"/>
      <c r="N688" s="228"/>
    </row>
    <row r="689" spans="12:14" x14ac:dyDescent="0.2">
      <c r="L689" s="228"/>
      <c r="M689" s="228"/>
      <c r="N689" s="228"/>
    </row>
    <row r="690" spans="12:14" x14ac:dyDescent="0.2">
      <c r="L690" s="228"/>
      <c r="M690" s="228"/>
      <c r="N690" s="228"/>
    </row>
    <row r="691" spans="12:14" x14ac:dyDescent="0.2">
      <c r="L691" s="228"/>
      <c r="M691" s="228"/>
      <c r="N691" s="228"/>
    </row>
    <row r="692" spans="12:14" x14ac:dyDescent="0.2">
      <c r="L692" s="228"/>
      <c r="M692" s="228"/>
      <c r="N692" s="228"/>
    </row>
    <row r="693" spans="12:14" x14ac:dyDescent="0.2">
      <c r="L693" s="228"/>
      <c r="M693" s="228"/>
      <c r="N693" s="228"/>
    </row>
    <row r="694" spans="12:14" x14ac:dyDescent="0.2">
      <c r="L694" s="228"/>
      <c r="M694" s="228"/>
      <c r="N694" s="228"/>
    </row>
    <row r="695" spans="12:14" x14ac:dyDescent="0.2">
      <c r="L695" s="228"/>
      <c r="M695" s="228"/>
      <c r="N695" s="228"/>
    </row>
    <row r="696" spans="12:14" x14ac:dyDescent="0.2">
      <c r="L696" s="228"/>
      <c r="M696" s="228"/>
      <c r="N696" s="228"/>
    </row>
    <row r="697" spans="12:14" x14ac:dyDescent="0.2">
      <c r="L697" s="228"/>
      <c r="M697" s="228"/>
      <c r="N697" s="228"/>
    </row>
    <row r="698" spans="12:14" x14ac:dyDescent="0.2">
      <c r="L698" s="228"/>
      <c r="M698" s="228"/>
      <c r="N698" s="228"/>
    </row>
    <row r="699" spans="12:14" x14ac:dyDescent="0.2">
      <c r="L699" s="228"/>
      <c r="M699" s="228"/>
      <c r="N699" s="228"/>
    </row>
    <row r="700" spans="12:14" x14ac:dyDescent="0.2">
      <c r="L700" s="228"/>
      <c r="M700" s="228"/>
      <c r="N700" s="228"/>
    </row>
    <row r="701" spans="12:14" x14ac:dyDescent="0.2">
      <c r="L701" s="228"/>
      <c r="M701" s="228"/>
      <c r="N701" s="228"/>
    </row>
    <row r="702" spans="12:14" x14ac:dyDescent="0.2">
      <c r="L702" s="228"/>
      <c r="M702" s="228"/>
      <c r="N702" s="228"/>
    </row>
    <row r="703" spans="12:14" x14ac:dyDescent="0.2">
      <c r="L703" s="228"/>
      <c r="M703" s="228"/>
      <c r="N703" s="228"/>
    </row>
    <row r="704" spans="12:14" x14ac:dyDescent="0.2">
      <c r="L704" s="228"/>
      <c r="M704" s="228"/>
      <c r="N704" s="228"/>
    </row>
    <row r="705" spans="12:14" x14ac:dyDescent="0.2">
      <c r="L705" s="228"/>
      <c r="M705" s="228"/>
      <c r="N705" s="228"/>
    </row>
  </sheetData>
  <mergeCells count="4">
    <mergeCell ref="P1:R1"/>
    <mergeCell ref="P2:R2"/>
    <mergeCell ref="P3:R3"/>
    <mergeCell ref="P4:R4"/>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0675B-4385-4E06-A51E-4021B417A212}">
  <dimension ref="A1:O794"/>
  <sheetViews>
    <sheetView topLeftCell="B411" workbookViewId="0">
      <selection activeCell="F674" sqref="F674"/>
    </sheetView>
  </sheetViews>
  <sheetFormatPr defaultColWidth="8.85546875" defaultRowHeight="12.75" x14ac:dyDescent="0.2"/>
  <cols>
    <col min="1" max="1" width="3.7109375" style="125" customWidth="1"/>
    <col min="2" max="2" width="40.7109375" style="125" customWidth="1"/>
    <col min="3" max="5" width="15.7109375" style="126" customWidth="1"/>
    <col min="6" max="6" width="19.42578125" style="137" customWidth="1"/>
    <col min="7" max="7" width="15.7109375" style="137" customWidth="1"/>
    <col min="8" max="8" width="15.7109375" style="127" customWidth="1"/>
    <col min="9" max="11" width="15.7109375" style="126" customWidth="1"/>
    <col min="12" max="12" width="14.42578125" style="137" bestFit="1" customWidth="1"/>
    <col min="13" max="15" width="14.42578125" style="137" customWidth="1"/>
    <col min="16" max="16384" width="8.85546875" style="125"/>
  </cols>
  <sheetData>
    <row r="1" spans="1:15" x14ac:dyDescent="0.2">
      <c r="D1" s="127"/>
      <c r="E1" s="128"/>
      <c r="F1" s="129" t="s">
        <v>50</v>
      </c>
      <c r="G1" s="130"/>
      <c r="H1" s="131"/>
      <c r="I1" s="132"/>
      <c r="J1" s="132"/>
      <c r="K1" s="130"/>
      <c r="L1" s="130"/>
      <c r="M1" s="130"/>
      <c r="N1" s="130"/>
      <c r="O1" s="130"/>
    </row>
    <row r="2" spans="1:15" ht="13.5" thickBot="1" x14ac:dyDescent="0.25">
      <c r="F2" s="129"/>
    </row>
    <row r="3" spans="1:15" x14ac:dyDescent="0.2">
      <c r="B3" s="138" t="s">
        <v>84</v>
      </c>
      <c r="C3" s="139" t="s">
        <v>85</v>
      </c>
      <c r="D3" s="139" t="s">
        <v>86</v>
      </c>
      <c r="E3" s="139" t="s">
        <v>87</v>
      </c>
      <c r="F3" s="140" t="s">
        <v>88</v>
      </c>
      <c r="G3" s="139" t="s">
        <v>89</v>
      </c>
      <c r="H3" s="141" t="s">
        <v>0</v>
      </c>
      <c r="I3" s="139" t="s">
        <v>90</v>
      </c>
      <c r="J3" s="139" t="s">
        <v>90</v>
      </c>
      <c r="K3" s="139" t="s">
        <v>90</v>
      </c>
      <c r="L3" s="142" t="s">
        <v>91</v>
      </c>
      <c r="M3" s="143" t="s">
        <v>92</v>
      </c>
      <c r="N3" s="143" t="s">
        <v>93</v>
      </c>
      <c r="O3" s="142" t="s">
        <v>94</v>
      </c>
    </row>
    <row r="4" spans="1:15" ht="13.5" thickBot="1" x14ac:dyDescent="0.25">
      <c r="B4" s="145"/>
      <c r="C4" s="146"/>
      <c r="D4" s="147" t="s">
        <v>89</v>
      </c>
      <c r="E4" s="147" t="s">
        <v>97</v>
      </c>
      <c r="F4" s="148" t="s">
        <v>98</v>
      </c>
      <c r="G4" s="149"/>
      <c r="H4" s="150" t="s">
        <v>99</v>
      </c>
      <c r="I4" s="147" t="s">
        <v>100</v>
      </c>
      <c r="J4" s="151" t="s">
        <v>101</v>
      </c>
      <c r="K4" s="151" t="s">
        <v>102</v>
      </c>
      <c r="L4" s="147" t="s">
        <v>103</v>
      </c>
      <c r="M4" s="147" t="s">
        <v>104</v>
      </c>
      <c r="N4" s="147" t="s">
        <v>104</v>
      </c>
      <c r="O4" s="147" t="s">
        <v>104</v>
      </c>
    </row>
    <row r="5" spans="1:15" x14ac:dyDescent="0.2">
      <c r="C5" s="153"/>
      <c r="D5" s="154"/>
      <c r="E5" s="154"/>
      <c r="F5" s="155"/>
      <c r="G5" s="156"/>
      <c r="H5" s="157"/>
      <c r="I5" s="154"/>
      <c r="J5" s="158"/>
      <c r="K5" s="158"/>
      <c r="L5" s="154"/>
      <c r="M5" s="154"/>
      <c r="N5" s="154"/>
      <c r="O5" s="154"/>
    </row>
    <row r="6" spans="1:15" x14ac:dyDescent="0.2">
      <c r="A6" s="160" t="s">
        <v>108</v>
      </c>
      <c r="B6" s="161"/>
      <c r="C6" s="153"/>
      <c r="D6" s="154"/>
      <c r="E6" s="154"/>
      <c r="F6" s="162"/>
      <c r="G6" s="163"/>
      <c r="H6" s="164"/>
      <c r="I6" s="163"/>
      <c r="J6" s="163"/>
      <c r="K6" s="163"/>
      <c r="L6" s="162"/>
      <c r="M6" s="162"/>
      <c r="N6" s="162"/>
      <c r="O6" s="162"/>
    </row>
    <row r="7" spans="1:15" x14ac:dyDescent="0.2">
      <c r="B7" s="125" t="s">
        <v>110</v>
      </c>
      <c r="C7" s="153">
        <v>5000000</v>
      </c>
      <c r="D7" s="154"/>
      <c r="E7" s="154"/>
      <c r="F7" s="166"/>
      <c r="G7" s="163">
        <v>5000000</v>
      </c>
      <c r="H7" s="164">
        <v>83059.860000000015</v>
      </c>
      <c r="I7" s="162"/>
      <c r="J7" s="167"/>
      <c r="K7" s="167"/>
      <c r="L7" s="162">
        <f t="shared" ref="L7:L23" si="0">G7-H7-I7-J7-K7</f>
        <v>4916940.1399999997</v>
      </c>
      <c r="M7" s="162">
        <f>H7-N7-O7</f>
        <v>83059.860000000015</v>
      </c>
      <c r="N7" s="162">
        <v>0</v>
      </c>
      <c r="O7" s="162">
        <v>0</v>
      </c>
    </row>
    <row r="8" spans="1:15" x14ac:dyDescent="0.2">
      <c r="B8" s="165" t="s">
        <v>112</v>
      </c>
      <c r="C8" s="153"/>
      <c r="D8" s="154"/>
      <c r="E8" s="154"/>
      <c r="F8" s="155"/>
      <c r="G8" s="163"/>
      <c r="H8" s="164"/>
      <c r="I8" s="162"/>
      <c r="J8" s="167"/>
      <c r="K8" s="167"/>
      <c r="L8" s="162"/>
      <c r="M8" s="162"/>
      <c r="N8" s="162"/>
      <c r="O8" s="162"/>
    </row>
    <row r="9" spans="1:15" x14ac:dyDescent="0.2">
      <c r="B9" s="125" t="s">
        <v>113</v>
      </c>
      <c r="C9" s="153">
        <f>300000+3000000+1400000+500000+1200000+300000+150000+750000+800000+500000+491988</f>
        <v>9391988</v>
      </c>
      <c r="D9" s="154"/>
      <c r="E9" s="154"/>
      <c r="F9" s="54"/>
      <c r="G9" s="163">
        <v>9391988</v>
      </c>
      <c r="H9" s="164">
        <f>4480983.78-2253426.81</f>
        <v>2227556.9700000002</v>
      </c>
      <c r="I9" s="162">
        <v>2253426.81</v>
      </c>
      <c r="J9" s="167"/>
      <c r="K9" s="167"/>
      <c r="L9" s="162">
        <f t="shared" si="0"/>
        <v>4911004.2199999988</v>
      </c>
      <c r="M9" s="162">
        <f>H9-N9-O9+I9</f>
        <v>4480983.78</v>
      </c>
      <c r="N9" s="162">
        <v>0</v>
      </c>
      <c r="O9" s="162">
        <v>0</v>
      </c>
    </row>
    <row r="10" spans="1:15" x14ac:dyDescent="0.2">
      <c r="B10" s="125" t="s">
        <v>114</v>
      </c>
      <c r="C10" s="153">
        <f>990000+990000+990000+800000+1142729</f>
        <v>4912729</v>
      </c>
      <c r="D10" s="154"/>
      <c r="E10" s="154"/>
      <c r="F10" s="155"/>
      <c r="G10" s="163">
        <v>4912729</v>
      </c>
      <c r="H10" s="164">
        <v>87876.76</v>
      </c>
      <c r="I10" s="162"/>
      <c r="J10" s="167"/>
      <c r="K10" s="167"/>
      <c r="L10" s="162">
        <f t="shared" si="0"/>
        <v>4824852.24</v>
      </c>
      <c r="M10" s="162">
        <f t="shared" ref="M10:M23" si="1">H10-N10-O10</f>
        <v>87876.76</v>
      </c>
      <c r="N10" s="162">
        <v>0</v>
      </c>
      <c r="O10" s="162">
        <v>0</v>
      </c>
    </row>
    <row r="11" spans="1:15" x14ac:dyDescent="0.2">
      <c r="B11" s="125" t="s">
        <v>115</v>
      </c>
      <c r="C11" s="153">
        <v>1244579</v>
      </c>
      <c r="D11" s="154"/>
      <c r="E11" s="154"/>
      <c r="F11" s="54"/>
      <c r="G11" s="163">
        <v>1244579</v>
      </c>
      <c r="H11" s="164">
        <v>0</v>
      </c>
      <c r="I11" s="162"/>
      <c r="J11" s="167"/>
      <c r="K11" s="167"/>
      <c r="L11" s="162">
        <f t="shared" si="0"/>
        <v>1244579</v>
      </c>
      <c r="M11" s="162">
        <f t="shared" si="1"/>
        <v>0</v>
      </c>
      <c r="N11" s="162">
        <v>0</v>
      </c>
      <c r="O11" s="162">
        <v>0</v>
      </c>
    </row>
    <row r="12" spans="1:15" x14ac:dyDescent="0.2">
      <c r="B12" s="125" t="s">
        <v>116</v>
      </c>
      <c r="C12" s="153">
        <v>2283810</v>
      </c>
      <c r="D12" s="154"/>
      <c r="E12" s="154"/>
      <c r="F12" s="155"/>
      <c r="G12" s="163">
        <v>2283810</v>
      </c>
      <c r="H12" s="164">
        <v>60394.39</v>
      </c>
      <c r="I12" s="162"/>
      <c r="J12" s="167"/>
      <c r="K12" s="167"/>
      <c r="L12" s="162">
        <f t="shared" si="0"/>
        <v>2223415.61</v>
      </c>
      <c r="M12" s="162">
        <f t="shared" si="1"/>
        <v>60394.39</v>
      </c>
      <c r="N12" s="162">
        <v>0</v>
      </c>
      <c r="O12" s="162">
        <v>0</v>
      </c>
    </row>
    <row r="13" spans="1:15" x14ac:dyDescent="0.2">
      <c r="B13" s="125" t="s">
        <v>117</v>
      </c>
      <c r="C13" s="153">
        <v>284107</v>
      </c>
      <c r="D13" s="154"/>
      <c r="E13" s="154"/>
      <c r="F13" s="155"/>
      <c r="G13" s="163">
        <v>284107</v>
      </c>
      <c r="H13" s="164">
        <v>0</v>
      </c>
      <c r="I13" s="162"/>
      <c r="J13" s="167"/>
      <c r="K13" s="167"/>
      <c r="L13" s="162">
        <f t="shared" si="0"/>
        <v>284107</v>
      </c>
      <c r="M13" s="162">
        <f t="shared" si="1"/>
        <v>0</v>
      </c>
      <c r="N13" s="162">
        <v>0</v>
      </c>
      <c r="O13" s="162">
        <v>0</v>
      </c>
    </row>
    <row r="14" spans="1:15" x14ac:dyDescent="0.2">
      <c r="B14" s="125" t="s">
        <v>118</v>
      </c>
      <c r="C14" s="153">
        <v>936895</v>
      </c>
      <c r="D14" s="154"/>
      <c r="E14" s="154"/>
      <c r="F14" s="155"/>
      <c r="G14" s="163">
        <v>936895</v>
      </c>
      <c r="H14" s="164">
        <v>0</v>
      </c>
      <c r="I14" s="162"/>
      <c r="J14" s="167"/>
      <c r="K14" s="167"/>
      <c r="L14" s="162">
        <f t="shared" si="0"/>
        <v>936895</v>
      </c>
      <c r="M14" s="162">
        <f t="shared" si="1"/>
        <v>0</v>
      </c>
      <c r="N14" s="162">
        <v>0</v>
      </c>
      <c r="O14" s="162">
        <v>0</v>
      </c>
    </row>
    <row r="15" spans="1:15" x14ac:dyDescent="0.2">
      <c r="B15" s="125" t="s">
        <v>119</v>
      </c>
      <c r="C15" s="153">
        <v>664609</v>
      </c>
      <c r="D15" s="154"/>
      <c r="E15" s="154"/>
      <c r="F15" s="155"/>
      <c r="G15" s="163">
        <v>664609</v>
      </c>
      <c r="H15" s="164">
        <v>0</v>
      </c>
      <c r="I15" s="162"/>
      <c r="J15" s="167"/>
      <c r="K15" s="167"/>
      <c r="L15" s="162">
        <f t="shared" si="0"/>
        <v>664609</v>
      </c>
      <c r="M15" s="162">
        <f t="shared" si="1"/>
        <v>0</v>
      </c>
      <c r="N15" s="162">
        <v>0</v>
      </c>
      <c r="O15" s="162">
        <v>0</v>
      </c>
    </row>
    <row r="16" spans="1:15" x14ac:dyDescent="0.2">
      <c r="B16" s="125" t="s">
        <v>120</v>
      </c>
      <c r="C16" s="153">
        <v>551730</v>
      </c>
      <c r="D16" s="154"/>
      <c r="E16" s="154"/>
      <c r="F16" s="54"/>
      <c r="G16" s="163">
        <v>551730</v>
      </c>
      <c r="H16" s="164">
        <v>36353.839999999997</v>
      </c>
      <c r="I16" s="162"/>
      <c r="J16" s="167"/>
      <c r="K16" s="167"/>
      <c r="L16" s="162">
        <f t="shared" si="0"/>
        <v>515376.16000000003</v>
      </c>
      <c r="M16" s="162">
        <f t="shared" si="1"/>
        <v>36353.839999999997</v>
      </c>
      <c r="N16" s="162">
        <v>0</v>
      </c>
      <c r="O16" s="162">
        <v>0</v>
      </c>
    </row>
    <row r="17" spans="1:15" x14ac:dyDescent="0.2">
      <c r="B17" s="125" t="s">
        <v>121</v>
      </c>
      <c r="C17" s="153">
        <v>961364</v>
      </c>
      <c r="D17" s="154"/>
      <c r="E17" s="154"/>
      <c r="F17" s="155"/>
      <c r="G17" s="163">
        <v>961364</v>
      </c>
      <c r="H17" s="164">
        <v>0</v>
      </c>
      <c r="I17" s="162"/>
      <c r="J17" s="167"/>
      <c r="K17" s="167"/>
      <c r="L17" s="162">
        <f t="shared" si="0"/>
        <v>961364</v>
      </c>
      <c r="M17" s="162">
        <f t="shared" si="1"/>
        <v>0</v>
      </c>
      <c r="N17" s="162">
        <v>0</v>
      </c>
      <c r="O17" s="162">
        <v>0</v>
      </c>
    </row>
    <row r="18" spans="1:15" x14ac:dyDescent="0.2">
      <c r="B18" s="125" t="s">
        <v>122</v>
      </c>
      <c r="C18" s="153">
        <f>1250000+425791+400000</f>
        <v>2075791</v>
      </c>
      <c r="D18" s="154"/>
      <c r="E18" s="154"/>
      <c r="F18" s="155"/>
      <c r="G18" s="163">
        <v>2075791</v>
      </c>
      <c r="H18" s="164">
        <v>0</v>
      </c>
      <c r="I18" s="162"/>
      <c r="J18" s="167"/>
      <c r="K18" s="167"/>
      <c r="L18" s="162">
        <f t="shared" si="0"/>
        <v>2075791</v>
      </c>
      <c r="M18" s="162">
        <f t="shared" si="1"/>
        <v>0</v>
      </c>
      <c r="N18" s="162">
        <v>0</v>
      </c>
      <c r="O18" s="162">
        <v>0</v>
      </c>
    </row>
    <row r="19" spans="1:15" x14ac:dyDescent="0.2">
      <c r="B19" s="125" t="s">
        <v>123</v>
      </c>
      <c r="C19" s="153">
        <v>654937</v>
      </c>
      <c r="D19" s="154"/>
      <c r="E19" s="154"/>
      <c r="F19" s="155"/>
      <c r="G19" s="163">
        <v>654937</v>
      </c>
      <c r="H19" s="164">
        <v>0</v>
      </c>
      <c r="I19" s="162"/>
      <c r="J19" s="167"/>
      <c r="K19" s="167"/>
      <c r="L19" s="162">
        <f t="shared" si="0"/>
        <v>654937</v>
      </c>
      <c r="M19" s="162">
        <f t="shared" si="1"/>
        <v>0</v>
      </c>
      <c r="N19" s="162">
        <v>0</v>
      </c>
      <c r="O19" s="162">
        <v>0</v>
      </c>
    </row>
    <row r="20" spans="1:15" x14ac:dyDescent="0.2">
      <c r="B20" s="125" t="s">
        <v>124</v>
      </c>
      <c r="C20" s="153">
        <v>431976</v>
      </c>
      <c r="D20" s="154"/>
      <c r="E20" s="154"/>
      <c r="F20" s="155"/>
      <c r="G20" s="163">
        <v>431976</v>
      </c>
      <c r="H20" s="164">
        <v>0</v>
      </c>
      <c r="I20" s="162"/>
      <c r="J20" s="167"/>
      <c r="K20" s="167"/>
      <c r="L20" s="162">
        <f t="shared" si="0"/>
        <v>431976</v>
      </c>
      <c r="M20" s="162">
        <f t="shared" si="1"/>
        <v>0</v>
      </c>
      <c r="N20" s="162">
        <v>0</v>
      </c>
      <c r="O20" s="162">
        <v>0</v>
      </c>
    </row>
    <row r="21" spans="1:15" x14ac:dyDescent="0.2">
      <c r="B21" s="125" t="s">
        <v>125</v>
      </c>
      <c r="C21" s="153">
        <v>45627</v>
      </c>
      <c r="D21" s="154"/>
      <c r="E21" s="154"/>
      <c r="F21" s="155"/>
      <c r="G21" s="163">
        <v>45627</v>
      </c>
      <c r="H21" s="164">
        <v>0</v>
      </c>
      <c r="I21" s="162"/>
      <c r="J21" s="167"/>
      <c r="K21" s="167"/>
      <c r="L21" s="162">
        <f t="shared" si="0"/>
        <v>45627</v>
      </c>
      <c r="M21" s="162">
        <f t="shared" si="1"/>
        <v>0</v>
      </c>
      <c r="N21" s="162">
        <v>0</v>
      </c>
      <c r="O21" s="162">
        <v>0</v>
      </c>
    </row>
    <row r="22" spans="1:15" x14ac:dyDescent="0.2">
      <c r="B22" s="125" t="s">
        <v>126</v>
      </c>
      <c r="C22" s="153">
        <v>59858</v>
      </c>
      <c r="D22" s="154"/>
      <c r="E22" s="154"/>
      <c r="F22" s="155"/>
      <c r="G22" s="163">
        <v>59858</v>
      </c>
      <c r="H22" s="164">
        <v>0</v>
      </c>
      <c r="I22" s="162"/>
      <c r="J22" s="167"/>
      <c r="K22" s="167"/>
      <c r="L22" s="162">
        <f t="shared" si="0"/>
        <v>59858</v>
      </c>
      <c r="M22" s="162">
        <f t="shared" si="1"/>
        <v>0</v>
      </c>
      <c r="N22" s="162">
        <v>0</v>
      </c>
      <c r="O22" s="162">
        <v>0</v>
      </c>
    </row>
    <row r="23" spans="1:15" x14ac:dyDescent="0.2">
      <c r="B23" s="165" t="s">
        <v>127</v>
      </c>
      <c r="C23" s="153">
        <f>500000</f>
        <v>500000</v>
      </c>
      <c r="D23" s="154"/>
      <c r="E23" s="162"/>
      <c r="F23" s="155"/>
      <c r="G23" s="163">
        <v>500000</v>
      </c>
      <c r="H23" s="164">
        <v>0</v>
      </c>
      <c r="I23" s="162"/>
      <c r="J23" s="167"/>
      <c r="K23" s="167"/>
      <c r="L23" s="162">
        <f t="shared" si="0"/>
        <v>500000</v>
      </c>
      <c r="M23" s="162">
        <f t="shared" si="1"/>
        <v>0</v>
      </c>
      <c r="N23" s="162">
        <v>0</v>
      </c>
      <c r="O23" s="162">
        <v>0</v>
      </c>
    </row>
    <row r="24" spans="1:15" x14ac:dyDescent="0.2">
      <c r="C24" s="153"/>
      <c r="D24" s="154"/>
      <c r="E24" s="154"/>
      <c r="F24" s="155"/>
      <c r="G24" s="156"/>
      <c r="H24" s="157"/>
      <c r="I24" s="154"/>
      <c r="J24" s="158"/>
      <c r="K24" s="158"/>
      <c r="L24" s="154"/>
      <c r="M24" s="154"/>
      <c r="N24" s="154"/>
      <c r="O24" s="154"/>
    </row>
    <row r="25" spans="1:15" ht="13.5" thickBot="1" x14ac:dyDescent="0.25">
      <c r="B25" s="168" t="s">
        <v>128</v>
      </c>
      <c r="C25" s="169">
        <f t="shared" ref="C25:O25" si="2">SUM(C7:C24)</f>
        <v>30000000</v>
      </c>
      <c r="D25" s="169">
        <f t="shared" si="2"/>
        <v>0</v>
      </c>
      <c r="E25" s="169">
        <f t="shared" si="2"/>
        <v>0</v>
      </c>
      <c r="F25" s="169">
        <f t="shared" si="2"/>
        <v>0</v>
      </c>
      <c r="G25" s="169">
        <f t="shared" si="2"/>
        <v>30000000</v>
      </c>
      <c r="H25" s="169">
        <f t="shared" si="2"/>
        <v>2495241.8199999998</v>
      </c>
      <c r="I25" s="169">
        <f t="shared" si="2"/>
        <v>2253426.81</v>
      </c>
      <c r="J25" s="169">
        <f t="shared" si="2"/>
        <v>0</v>
      </c>
      <c r="K25" s="169">
        <f t="shared" si="2"/>
        <v>0</v>
      </c>
      <c r="L25" s="169">
        <f t="shared" si="2"/>
        <v>25251331.370000001</v>
      </c>
      <c r="M25" s="169">
        <f t="shared" si="2"/>
        <v>4748668.63</v>
      </c>
      <c r="N25" s="169">
        <f t="shared" si="2"/>
        <v>0</v>
      </c>
      <c r="O25" s="169">
        <f t="shared" si="2"/>
        <v>0</v>
      </c>
    </row>
    <row r="26" spans="1:15" ht="13.5" thickTop="1" x14ac:dyDescent="0.2">
      <c r="C26" s="153"/>
      <c r="D26" s="154"/>
      <c r="E26" s="154"/>
      <c r="F26" s="155"/>
      <c r="G26" s="156"/>
      <c r="H26" s="157"/>
      <c r="I26" s="154"/>
      <c r="J26" s="158"/>
      <c r="K26" s="158"/>
      <c r="L26" s="154"/>
      <c r="M26" s="154"/>
      <c r="N26" s="154"/>
      <c r="O26" s="154"/>
    </row>
    <row r="27" spans="1:15" x14ac:dyDescent="0.2">
      <c r="A27" s="160" t="s">
        <v>130</v>
      </c>
      <c r="B27" s="161"/>
      <c r="C27" s="153"/>
      <c r="D27" s="154"/>
      <c r="E27" s="154"/>
      <c r="F27" s="162"/>
      <c r="G27" s="163"/>
      <c r="H27" s="164"/>
      <c r="I27" s="163"/>
      <c r="J27" s="163"/>
      <c r="K27" s="163"/>
      <c r="L27" s="162"/>
      <c r="M27" s="162"/>
      <c r="N27" s="162"/>
      <c r="O27" s="162"/>
    </row>
    <row r="28" spans="1:15" x14ac:dyDescent="0.2">
      <c r="B28" s="125" t="s">
        <v>110</v>
      </c>
      <c r="C28" s="153">
        <v>2500000</v>
      </c>
      <c r="D28" s="154"/>
      <c r="E28" s="154"/>
      <c r="F28" s="166">
        <f>293257.32+54612.37</f>
        <v>347869.69</v>
      </c>
      <c r="G28" s="163">
        <v>2152130.31</v>
      </c>
      <c r="H28" s="164">
        <v>723771.39000000013</v>
      </c>
      <c r="I28" s="162"/>
      <c r="J28" s="167">
        <f>[2]UMCP!J471</f>
        <v>0</v>
      </c>
      <c r="K28" s="167">
        <f>[2]UMCP!K471</f>
        <v>0</v>
      </c>
      <c r="L28" s="162">
        <f t="shared" ref="L28:L45" si="3">G28-H28-I28-J28-K28</f>
        <v>1428358.92</v>
      </c>
      <c r="M28" s="162">
        <f t="shared" ref="M28:M45" si="4">H28-N28-O28</f>
        <v>555998.76000000013</v>
      </c>
      <c r="N28" s="162">
        <v>167772.63</v>
      </c>
      <c r="O28" s="162">
        <v>0</v>
      </c>
    </row>
    <row r="29" spans="1:15" x14ac:dyDescent="0.2">
      <c r="B29" s="125" t="s">
        <v>131</v>
      </c>
      <c r="C29" s="153">
        <v>2192000</v>
      </c>
      <c r="D29" s="154"/>
      <c r="E29" s="154"/>
      <c r="F29" s="155"/>
      <c r="G29" s="163">
        <v>2192000</v>
      </c>
      <c r="H29" s="164">
        <v>0</v>
      </c>
      <c r="I29" s="162"/>
      <c r="J29" s="167">
        <f>[2]UMES!J242</f>
        <v>0</v>
      </c>
      <c r="K29" s="167">
        <f>[2]UMES!K242</f>
        <v>0</v>
      </c>
      <c r="L29" s="162">
        <f t="shared" si="3"/>
        <v>2192000</v>
      </c>
      <c r="M29" s="162">
        <f t="shared" si="4"/>
        <v>0</v>
      </c>
      <c r="N29" s="162">
        <v>0</v>
      </c>
      <c r="O29" s="162">
        <v>0</v>
      </c>
    </row>
    <row r="30" spans="1:15" x14ac:dyDescent="0.2">
      <c r="B30" s="165" t="s">
        <v>112</v>
      </c>
      <c r="C30" s="153"/>
      <c r="D30" s="154"/>
      <c r="E30" s="154"/>
      <c r="F30" s="155"/>
      <c r="G30" s="163"/>
      <c r="H30" s="164"/>
      <c r="I30" s="162"/>
      <c r="J30" s="167"/>
      <c r="K30" s="167"/>
      <c r="L30" s="162">
        <f t="shared" si="3"/>
        <v>0</v>
      </c>
      <c r="M30" s="162"/>
      <c r="N30" s="162"/>
      <c r="O30" s="162"/>
    </row>
    <row r="31" spans="1:15" x14ac:dyDescent="0.2">
      <c r="B31" s="125" t="s">
        <v>113</v>
      </c>
      <c r="C31" s="153">
        <f>300000+2652191+1000000+700000+1300000+290000+150000+510000+975000+900000+700000</f>
        <v>9477191</v>
      </c>
      <c r="D31" s="154"/>
      <c r="E31" s="154"/>
      <c r="F31" s="54">
        <f>2200211.31+1345.5+9664</f>
        <v>2211220.81</v>
      </c>
      <c r="G31" s="163">
        <v>7265970.1899999995</v>
      </c>
      <c r="H31" s="164">
        <v>6568144.7800000012</v>
      </c>
      <c r="I31" s="162"/>
      <c r="J31" s="167">
        <f>[2]UMCP!J65</f>
        <v>0</v>
      </c>
      <c r="K31" s="167">
        <f>[2]UMCP!K65</f>
        <v>0</v>
      </c>
      <c r="L31" s="162">
        <f t="shared" si="3"/>
        <v>697825.40999999829</v>
      </c>
      <c r="M31" s="162">
        <f t="shared" si="4"/>
        <v>1557313.8900000006</v>
      </c>
      <c r="N31" s="162">
        <v>5010830.8900000006</v>
      </c>
      <c r="O31" s="162">
        <v>0</v>
      </c>
    </row>
    <row r="32" spans="1:15" x14ac:dyDescent="0.2">
      <c r="B32" s="125" t="s">
        <v>114</v>
      </c>
      <c r="C32" s="153">
        <f>990000+990000+990000+827264+1199136</f>
        <v>4996400</v>
      </c>
      <c r="D32" s="154"/>
      <c r="E32" s="154"/>
      <c r="F32" s="155"/>
      <c r="G32" s="163">
        <v>4996400</v>
      </c>
      <c r="H32" s="164">
        <v>1069121.96</v>
      </c>
      <c r="I32" s="162"/>
      <c r="J32" s="167">
        <f>[2]UMB!J88</f>
        <v>0</v>
      </c>
      <c r="K32" s="167">
        <f>[2]UMB!K88</f>
        <v>0</v>
      </c>
      <c r="L32" s="162">
        <f t="shared" si="3"/>
        <v>3927278.04</v>
      </c>
      <c r="M32" s="162">
        <f t="shared" si="4"/>
        <v>1069121.96</v>
      </c>
      <c r="N32" s="162">
        <v>0</v>
      </c>
      <c r="O32" s="162">
        <v>0</v>
      </c>
    </row>
    <row r="33" spans="2:15" x14ac:dyDescent="0.2">
      <c r="B33" s="125" t="s">
        <v>115</v>
      </c>
      <c r="C33" s="153">
        <v>1301342</v>
      </c>
      <c r="D33" s="154"/>
      <c r="E33" s="154"/>
      <c r="F33" s="54">
        <f>277763+130204</f>
        <v>407967</v>
      </c>
      <c r="G33" s="163">
        <v>893375</v>
      </c>
      <c r="H33" s="164">
        <v>752227</v>
      </c>
      <c r="I33" s="162"/>
      <c r="J33" s="167">
        <f>[2]UMES!J58</f>
        <v>0</v>
      </c>
      <c r="K33" s="167">
        <f>[2]UMES!K58</f>
        <v>0</v>
      </c>
      <c r="L33" s="162">
        <f t="shared" si="3"/>
        <v>141148</v>
      </c>
      <c r="M33" s="162">
        <f t="shared" si="4"/>
        <v>617547</v>
      </c>
      <c r="N33" s="162">
        <v>134680</v>
      </c>
      <c r="O33" s="162">
        <v>0</v>
      </c>
    </row>
    <row r="34" spans="2:15" x14ac:dyDescent="0.2">
      <c r="B34" s="125" t="s">
        <v>116</v>
      </c>
      <c r="C34" s="153">
        <v>2341242</v>
      </c>
      <c r="D34" s="154"/>
      <c r="E34" s="154"/>
      <c r="F34" s="155"/>
      <c r="G34" s="163">
        <v>2341242</v>
      </c>
      <c r="H34" s="164">
        <v>908.17</v>
      </c>
      <c r="I34" s="162"/>
      <c r="J34" s="167">
        <f>[2]UMBC!J27</f>
        <v>0</v>
      </c>
      <c r="K34" s="167">
        <f>[2]UMBC!K27</f>
        <v>0</v>
      </c>
      <c r="L34" s="162">
        <f t="shared" si="3"/>
        <v>2340333.83</v>
      </c>
      <c r="M34" s="162">
        <f t="shared" si="4"/>
        <v>908.17</v>
      </c>
      <c r="N34" s="162">
        <v>0</v>
      </c>
      <c r="O34" s="162">
        <v>0</v>
      </c>
    </row>
    <row r="35" spans="2:15" x14ac:dyDescent="0.2">
      <c r="B35" s="125" t="s">
        <v>117</v>
      </c>
      <c r="C35" s="153">
        <v>358037</v>
      </c>
      <c r="D35" s="154"/>
      <c r="E35" s="154"/>
      <c r="F35" s="155"/>
      <c r="G35" s="163">
        <v>358037</v>
      </c>
      <c r="H35" s="164">
        <v>0</v>
      </c>
      <c r="I35" s="162"/>
      <c r="J35" s="167">
        <f>[2]UMCES!J67</f>
        <v>0</v>
      </c>
      <c r="K35" s="167">
        <f>[2]UMCES!K67</f>
        <v>0</v>
      </c>
      <c r="L35" s="162">
        <f t="shared" si="3"/>
        <v>358037</v>
      </c>
      <c r="M35" s="162">
        <f t="shared" si="4"/>
        <v>0</v>
      </c>
      <c r="N35" s="162">
        <v>0</v>
      </c>
      <c r="O35" s="162">
        <v>0</v>
      </c>
    </row>
    <row r="36" spans="2:15" x14ac:dyDescent="0.2">
      <c r="B36" s="125" t="s">
        <v>118</v>
      </c>
      <c r="C36" s="153">
        <v>857383</v>
      </c>
      <c r="D36" s="154"/>
      <c r="E36" s="154"/>
      <c r="F36" s="155"/>
      <c r="G36" s="163">
        <v>857383</v>
      </c>
      <c r="H36" s="164">
        <v>476136.22</v>
      </c>
      <c r="I36" s="162"/>
      <c r="J36" s="167">
        <f>[2]BSU!J30</f>
        <v>0</v>
      </c>
      <c r="K36" s="167">
        <f>[2]BSU!K30</f>
        <v>0</v>
      </c>
      <c r="L36" s="162">
        <f t="shared" si="3"/>
        <v>381246.78</v>
      </c>
      <c r="M36" s="162">
        <f t="shared" si="4"/>
        <v>476136.22</v>
      </c>
      <c r="N36" s="162">
        <v>0</v>
      </c>
      <c r="O36" s="162">
        <v>0</v>
      </c>
    </row>
    <row r="37" spans="2:15" x14ac:dyDescent="0.2">
      <c r="B37" s="125" t="s">
        <v>119</v>
      </c>
      <c r="C37" s="153">
        <v>564649</v>
      </c>
      <c r="D37" s="154"/>
      <c r="E37" s="154"/>
      <c r="F37" s="155"/>
      <c r="G37" s="163">
        <v>564649</v>
      </c>
      <c r="H37" s="164">
        <v>200625.08000000002</v>
      </c>
      <c r="I37" s="162"/>
      <c r="J37" s="167">
        <f>[2]CSU!J74</f>
        <v>0</v>
      </c>
      <c r="K37" s="167">
        <f>[2]CSU!K74</f>
        <v>0</v>
      </c>
      <c r="L37" s="162">
        <f t="shared" si="3"/>
        <v>364023.92</v>
      </c>
      <c r="M37" s="162">
        <f t="shared" si="4"/>
        <v>39253.880000000005</v>
      </c>
      <c r="N37" s="162">
        <v>161371.20000000001</v>
      </c>
      <c r="O37" s="162">
        <v>0</v>
      </c>
    </row>
    <row r="38" spans="2:15" x14ac:dyDescent="0.2">
      <c r="B38" s="125" t="s">
        <v>120</v>
      </c>
      <c r="C38" s="153">
        <v>515190</v>
      </c>
      <c r="D38" s="154"/>
      <c r="E38" s="154"/>
      <c r="F38" s="54">
        <f>2480</f>
        <v>2480</v>
      </c>
      <c r="G38" s="163">
        <v>512710</v>
      </c>
      <c r="H38" s="164">
        <v>512710</v>
      </c>
      <c r="I38" s="162"/>
      <c r="J38" s="167">
        <f>[2]FSU!J40</f>
        <v>0</v>
      </c>
      <c r="K38" s="167">
        <f>[2]FSU!K40</f>
        <v>0</v>
      </c>
      <c r="L38" s="162">
        <f t="shared" si="3"/>
        <v>0</v>
      </c>
      <c r="M38" s="162">
        <f t="shared" si="4"/>
        <v>183780.01000000007</v>
      </c>
      <c r="N38" s="162">
        <v>328929.98999999993</v>
      </c>
      <c r="O38" s="162">
        <v>0</v>
      </c>
    </row>
    <row r="39" spans="2:15" x14ac:dyDescent="0.2">
      <c r="B39" s="125" t="s">
        <v>121</v>
      </c>
      <c r="C39" s="153">
        <v>943287</v>
      </c>
      <c r="D39" s="154"/>
      <c r="E39" s="154"/>
      <c r="F39" s="155"/>
      <c r="G39" s="163">
        <v>943287</v>
      </c>
      <c r="H39" s="164">
        <v>0</v>
      </c>
      <c r="I39" s="162"/>
      <c r="J39" s="167">
        <f>[2]SU!J25</f>
        <v>0</v>
      </c>
      <c r="K39" s="167">
        <f>[2]SU!K25</f>
        <v>0</v>
      </c>
      <c r="L39" s="162">
        <f t="shared" si="3"/>
        <v>943287</v>
      </c>
      <c r="M39" s="162">
        <f t="shared" si="4"/>
        <v>0</v>
      </c>
      <c r="N39" s="162">
        <v>0</v>
      </c>
      <c r="O39" s="162">
        <v>0</v>
      </c>
    </row>
    <row r="40" spans="2:15" x14ac:dyDescent="0.2">
      <c r="B40" s="125" t="s">
        <v>122</v>
      </c>
      <c r="C40" s="153">
        <v>2337131</v>
      </c>
      <c r="D40" s="154"/>
      <c r="E40" s="154"/>
      <c r="F40" s="155"/>
      <c r="G40" s="163">
        <v>2337131</v>
      </c>
      <c r="H40" s="164">
        <v>0</v>
      </c>
      <c r="I40" s="162"/>
      <c r="J40" s="167">
        <f>[2]TU!J47+[2]TU!J52+[2]TU!J57</f>
        <v>0</v>
      </c>
      <c r="K40" s="167">
        <f>[2]TU!K47+[2]TU!K52+[2]TU!K57</f>
        <v>0</v>
      </c>
      <c r="L40" s="162">
        <f t="shared" si="3"/>
        <v>2337131</v>
      </c>
      <c r="M40" s="162">
        <f t="shared" si="4"/>
        <v>0</v>
      </c>
      <c r="N40" s="162">
        <v>0</v>
      </c>
      <c r="O40" s="162">
        <v>0</v>
      </c>
    </row>
    <row r="41" spans="2:15" x14ac:dyDescent="0.2">
      <c r="B41" s="125" t="s">
        <v>123</v>
      </c>
      <c r="C41" s="153">
        <v>890113</v>
      </c>
      <c r="D41" s="154"/>
      <c r="E41" s="154"/>
      <c r="F41" s="155"/>
      <c r="G41" s="163">
        <v>890113</v>
      </c>
      <c r="H41" s="164">
        <v>79691.070000000007</v>
      </c>
      <c r="I41" s="162"/>
      <c r="J41" s="167">
        <f>[2]UB!J42</f>
        <v>0</v>
      </c>
      <c r="K41" s="167">
        <f>[2]UB!K42</f>
        <v>0</v>
      </c>
      <c r="L41" s="162">
        <f t="shared" si="3"/>
        <v>810421.92999999993</v>
      </c>
      <c r="M41" s="162">
        <f t="shared" si="4"/>
        <v>30212.500000000007</v>
      </c>
      <c r="N41" s="162">
        <v>49478.57</v>
      </c>
      <c r="O41" s="162">
        <v>0</v>
      </c>
    </row>
    <row r="42" spans="2:15" x14ac:dyDescent="0.2">
      <c r="B42" s="165" t="s">
        <v>127</v>
      </c>
      <c r="C42" s="153">
        <v>726035</v>
      </c>
      <c r="D42" s="154"/>
      <c r="E42" s="162">
        <f>-418037</f>
        <v>-418037</v>
      </c>
      <c r="F42" s="155"/>
      <c r="G42" s="163">
        <v>307998</v>
      </c>
      <c r="H42" s="164">
        <v>0</v>
      </c>
      <c r="I42" s="162"/>
      <c r="J42" s="167"/>
      <c r="K42" s="167"/>
      <c r="L42" s="162">
        <f t="shared" si="3"/>
        <v>307998</v>
      </c>
      <c r="M42" s="162">
        <f t="shared" si="4"/>
        <v>0</v>
      </c>
      <c r="N42" s="162">
        <v>0</v>
      </c>
      <c r="O42" s="162">
        <v>0</v>
      </c>
    </row>
    <row r="43" spans="2:15" x14ac:dyDescent="0.2">
      <c r="B43" s="125" t="s">
        <v>132</v>
      </c>
      <c r="C43" s="153"/>
      <c r="D43" s="154"/>
      <c r="E43" s="170">
        <v>335990</v>
      </c>
      <c r="F43" s="155"/>
      <c r="G43" s="163">
        <v>335990</v>
      </c>
      <c r="H43" s="164">
        <v>0</v>
      </c>
      <c r="I43" s="162"/>
      <c r="J43" s="167"/>
      <c r="K43" s="167"/>
      <c r="L43" s="162">
        <f t="shared" si="3"/>
        <v>335990</v>
      </c>
      <c r="M43" s="162">
        <f t="shared" si="4"/>
        <v>0</v>
      </c>
      <c r="N43" s="162">
        <v>0</v>
      </c>
      <c r="O43" s="162">
        <v>0</v>
      </c>
    </row>
    <row r="44" spans="2:15" x14ac:dyDescent="0.2">
      <c r="B44" s="125" t="s">
        <v>133</v>
      </c>
      <c r="C44" s="153"/>
      <c r="D44" s="154"/>
      <c r="E44" s="170">
        <v>35489</v>
      </c>
      <c r="F44" s="155"/>
      <c r="G44" s="163">
        <v>35489</v>
      </c>
      <c r="H44" s="164">
        <v>0</v>
      </c>
      <c r="I44" s="162"/>
      <c r="J44" s="167"/>
      <c r="K44" s="167"/>
      <c r="L44" s="162">
        <f t="shared" si="3"/>
        <v>35489</v>
      </c>
      <c r="M44" s="162">
        <f t="shared" si="4"/>
        <v>0</v>
      </c>
      <c r="N44" s="162">
        <v>0</v>
      </c>
      <c r="O44" s="162">
        <v>0</v>
      </c>
    </row>
    <row r="45" spans="2:15" x14ac:dyDescent="0.2">
      <c r="B45" s="125" t="s">
        <v>134</v>
      </c>
      <c r="C45" s="153"/>
      <c r="D45" s="154"/>
      <c r="E45" s="170">
        <v>46558</v>
      </c>
      <c r="F45" s="155"/>
      <c r="G45" s="163">
        <f>'[4]USM &amp; COI'!G15</f>
        <v>46558</v>
      </c>
      <c r="H45" s="164">
        <v>0</v>
      </c>
      <c r="I45" s="162"/>
      <c r="J45" s="167"/>
      <c r="K45" s="167"/>
      <c r="L45" s="162">
        <f t="shared" si="3"/>
        <v>46558</v>
      </c>
      <c r="M45" s="162">
        <f t="shared" si="4"/>
        <v>0</v>
      </c>
      <c r="N45" s="162">
        <v>0</v>
      </c>
      <c r="O45" s="162">
        <v>0</v>
      </c>
    </row>
    <row r="46" spans="2:15" x14ac:dyDescent="0.2">
      <c r="C46" s="153"/>
      <c r="D46" s="154"/>
      <c r="E46" s="154"/>
      <c r="F46" s="155"/>
      <c r="G46" s="156"/>
      <c r="H46" s="157"/>
      <c r="I46" s="154"/>
      <c r="J46" s="158"/>
      <c r="K46" s="158"/>
      <c r="L46" s="154"/>
      <c r="M46" s="154"/>
      <c r="N46" s="154"/>
      <c r="O46" s="154"/>
    </row>
    <row r="47" spans="2:15" ht="13.5" thickBot="1" x14ac:dyDescent="0.25">
      <c r="B47" s="168" t="s">
        <v>135</v>
      </c>
      <c r="C47" s="169">
        <f t="shared" ref="C47:O47" si="5">SUM(C28:C46)</f>
        <v>30000000</v>
      </c>
      <c r="D47" s="169">
        <f t="shared" si="5"/>
        <v>0</v>
      </c>
      <c r="E47" s="169">
        <f t="shared" si="5"/>
        <v>0</v>
      </c>
      <c r="F47" s="169">
        <f t="shared" si="5"/>
        <v>2969537.5</v>
      </c>
      <c r="G47" s="169">
        <f t="shared" si="5"/>
        <v>27030462.5</v>
      </c>
      <c r="H47" s="169">
        <f t="shared" si="5"/>
        <v>10383335.670000004</v>
      </c>
      <c r="I47" s="169">
        <f t="shared" si="5"/>
        <v>0</v>
      </c>
      <c r="J47" s="169">
        <f t="shared" si="5"/>
        <v>0</v>
      </c>
      <c r="K47" s="169">
        <f t="shared" si="5"/>
        <v>0</v>
      </c>
      <c r="L47" s="169">
        <f t="shared" si="5"/>
        <v>16647126.829999998</v>
      </c>
      <c r="M47" s="169">
        <f t="shared" si="5"/>
        <v>4530272.3900000006</v>
      </c>
      <c r="N47" s="169">
        <f t="shared" si="5"/>
        <v>5853063.2800000012</v>
      </c>
      <c r="O47" s="169">
        <f t="shared" si="5"/>
        <v>0</v>
      </c>
    </row>
    <row r="48" spans="2:15" ht="13.5" thickTop="1" x14ac:dyDescent="0.2">
      <c r="B48" s="165"/>
      <c r="C48" s="153"/>
      <c r="D48" s="153"/>
      <c r="E48" s="153"/>
      <c r="F48" s="153"/>
      <c r="G48" s="153"/>
      <c r="H48" s="153"/>
      <c r="I48" s="153"/>
      <c r="J48" s="153"/>
      <c r="K48" s="153"/>
      <c r="L48" s="153"/>
      <c r="M48" s="153"/>
      <c r="N48" s="153"/>
      <c r="O48" s="153"/>
    </row>
    <row r="49" spans="1:15" x14ac:dyDescent="0.2">
      <c r="A49" s="165" t="s">
        <v>136</v>
      </c>
      <c r="C49" s="153"/>
      <c r="D49" s="154"/>
      <c r="E49" s="154"/>
      <c r="F49" s="162"/>
      <c r="G49" s="163"/>
      <c r="H49" s="164"/>
      <c r="I49" s="163"/>
      <c r="J49" s="163"/>
      <c r="K49" s="163"/>
      <c r="L49" s="162"/>
      <c r="M49" s="162"/>
      <c r="N49" s="162"/>
      <c r="O49" s="162"/>
    </row>
    <row r="50" spans="1:15" x14ac:dyDescent="0.2">
      <c r="A50" s="165"/>
      <c r="B50" s="125" t="s">
        <v>110</v>
      </c>
      <c r="C50" s="153">
        <v>5000000</v>
      </c>
      <c r="D50" s="154"/>
      <c r="E50" s="154"/>
      <c r="F50" s="162">
        <f>622650.15+104.49</f>
        <v>622754.64</v>
      </c>
      <c r="G50" s="163">
        <v>4377245.3600000003</v>
      </c>
      <c r="H50" s="164">
        <v>2086432.8499999994</v>
      </c>
      <c r="I50" s="163"/>
      <c r="J50" s="163">
        <f>[4]UMCP!J247</f>
        <v>0</v>
      </c>
      <c r="K50" s="163">
        <f>[4]UMCP!K247</f>
        <v>0</v>
      </c>
      <c r="L50" s="162">
        <f t="shared" ref="L50:L64" si="6">G50-H50-I50-J50-K50</f>
        <v>2290812.5100000007</v>
      </c>
      <c r="M50" s="162">
        <f>H50-N50-O50</f>
        <v>1049756.9099999992</v>
      </c>
      <c r="N50" s="162">
        <v>1036675.9400000001</v>
      </c>
      <c r="O50" s="162">
        <v>0</v>
      </c>
    </row>
    <row r="51" spans="1:15" x14ac:dyDescent="0.2">
      <c r="A51" s="165"/>
      <c r="B51" s="165" t="s">
        <v>112</v>
      </c>
      <c r="C51" s="153"/>
      <c r="D51" s="154"/>
      <c r="E51" s="154"/>
      <c r="F51" s="162"/>
      <c r="G51" s="163"/>
      <c r="H51" s="164"/>
      <c r="I51" s="163"/>
      <c r="J51" s="163"/>
      <c r="K51" s="163"/>
      <c r="L51" s="162"/>
      <c r="M51" s="162"/>
      <c r="N51" s="162"/>
      <c r="O51" s="162"/>
    </row>
    <row r="52" spans="1:15" x14ac:dyDescent="0.2">
      <c r="A52" s="165"/>
      <c r="B52" s="125" t="s">
        <v>113</v>
      </c>
      <c r="C52" s="153">
        <v>7300000</v>
      </c>
      <c r="D52" s="154"/>
      <c r="E52" s="154"/>
      <c r="F52" s="162"/>
      <c r="G52" s="163">
        <v>7300000</v>
      </c>
      <c r="H52" s="164">
        <v>7300000</v>
      </c>
      <c r="I52" s="163"/>
      <c r="J52" s="163">
        <f>[4]UMCP!J118</f>
        <v>0</v>
      </c>
      <c r="K52" s="163">
        <f>[4]UMCP!K118</f>
        <v>0</v>
      </c>
      <c r="L52" s="162">
        <f t="shared" si="6"/>
        <v>0</v>
      </c>
      <c r="M52" s="162">
        <f t="shared" ref="M52:M63" si="7">H52-N52-O52</f>
        <v>0</v>
      </c>
      <c r="N52" s="162">
        <v>3644690.17</v>
      </c>
      <c r="O52" s="162">
        <v>3655309.83</v>
      </c>
    </row>
    <row r="53" spans="1:15" x14ac:dyDescent="0.2">
      <c r="A53" s="165"/>
      <c r="B53" s="125" t="s">
        <v>114</v>
      </c>
      <c r="C53" s="153">
        <v>3797264</v>
      </c>
      <c r="D53" s="154"/>
      <c r="E53" s="154"/>
      <c r="F53" s="54">
        <v>7630.07</v>
      </c>
      <c r="G53" s="163">
        <v>3789633.93</v>
      </c>
      <c r="H53" s="164">
        <v>1703406.93</v>
      </c>
      <c r="I53" s="163"/>
      <c r="J53" s="163">
        <f>[4]UMB!J60</f>
        <v>0</v>
      </c>
      <c r="K53" s="163">
        <f>[4]UMB!K60</f>
        <v>0</v>
      </c>
      <c r="L53" s="162">
        <f t="shared" si="6"/>
        <v>2086227.0000000002</v>
      </c>
      <c r="M53" s="162">
        <f t="shared" si="7"/>
        <v>730162.60000000009</v>
      </c>
      <c r="N53" s="162">
        <v>938643.05999999982</v>
      </c>
      <c r="O53" s="162">
        <v>34601.269999999997</v>
      </c>
    </row>
    <row r="54" spans="1:15" x14ac:dyDescent="0.2">
      <c r="A54" s="165"/>
      <c r="B54" s="125" t="s">
        <v>115</v>
      </c>
      <c r="C54" s="153">
        <v>989020</v>
      </c>
      <c r="D54" s="154"/>
      <c r="E54" s="154"/>
      <c r="F54" s="171">
        <v>856.96</v>
      </c>
      <c r="G54" s="163">
        <v>988163.04</v>
      </c>
      <c r="H54" s="164">
        <v>21886.49</v>
      </c>
      <c r="I54" s="163"/>
      <c r="J54" s="163">
        <f>[4]UMES!J78</f>
        <v>0</v>
      </c>
      <c r="K54" s="163">
        <f>[4]UMES!K78</f>
        <v>0</v>
      </c>
      <c r="L54" s="162">
        <f t="shared" si="6"/>
        <v>966276.55</v>
      </c>
      <c r="M54" s="162">
        <f t="shared" si="7"/>
        <v>0</v>
      </c>
      <c r="N54" s="162">
        <v>21886.49</v>
      </c>
      <c r="O54" s="162">
        <v>0</v>
      </c>
    </row>
    <row r="55" spans="1:15" x14ac:dyDescent="0.2">
      <c r="A55" s="165"/>
      <c r="B55" s="125" t="s">
        <v>116</v>
      </c>
      <c r="C55" s="153">
        <v>1779344</v>
      </c>
      <c r="D55" s="154"/>
      <c r="E55" s="154"/>
      <c r="F55" s="171">
        <f>15518.52+5022.6</f>
        <v>20541.120000000003</v>
      </c>
      <c r="G55" s="163">
        <v>1758802.88</v>
      </c>
      <c r="H55" s="164">
        <v>684583.58</v>
      </c>
      <c r="I55" s="163"/>
      <c r="J55" s="163">
        <f>[4]UMBC!J53</f>
        <v>0</v>
      </c>
      <c r="K55" s="163">
        <f>[4]UMBC!K53</f>
        <v>0</v>
      </c>
      <c r="L55" s="162">
        <f t="shared" si="6"/>
        <v>1074219.2999999998</v>
      </c>
      <c r="M55" s="162">
        <f t="shared" si="7"/>
        <v>417793.57999999996</v>
      </c>
      <c r="N55" s="162">
        <v>266790</v>
      </c>
      <c r="O55" s="162">
        <v>0</v>
      </c>
    </row>
    <row r="56" spans="1:15" x14ac:dyDescent="0.2">
      <c r="A56" s="165"/>
      <c r="B56" s="125" t="s">
        <v>117</v>
      </c>
      <c r="C56" s="153">
        <v>317000</v>
      </c>
      <c r="D56" s="154"/>
      <c r="E56" s="154"/>
      <c r="F56" s="171"/>
      <c r="G56" s="163">
        <v>317000</v>
      </c>
      <c r="H56" s="164">
        <v>216168.12</v>
      </c>
      <c r="I56" s="163"/>
      <c r="J56" s="163">
        <f>[4]UMCES!J20</f>
        <v>0</v>
      </c>
      <c r="K56" s="163">
        <f>[4]UMCES!K20</f>
        <v>0</v>
      </c>
      <c r="L56" s="162">
        <f t="shared" si="6"/>
        <v>100831.88</v>
      </c>
      <c r="M56" s="162">
        <f t="shared" si="7"/>
        <v>0</v>
      </c>
      <c r="N56" s="162">
        <v>216168.12</v>
      </c>
      <c r="O56" s="162">
        <v>0</v>
      </c>
    </row>
    <row r="57" spans="1:15" x14ac:dyDescent="0.2">
      <c r="B57" s="125" t="s">
        <v>118</v>
      </c>
      <c r="C57" s="153">
        <v>1508994</v>
      </c>
      <c r="D57" s="154"/>
      <c r="E57" s="154"/>
      <c r="F57" s="171"/>
      <c r="G57" s="172">
        <v>1508994</v>
      </c>
      <c r="H57" s="173">
        <v>1508994</v>
      </c>
      <c r="I57" s="170"/>
      <c r="J57" s="171">
        <f>[4]BSU!J40</f>
        <v>0</v>
      </c>
      <c r="K57" s="171">
        <f>[4]BSU!K40</f>
        <v>0</v>
      </c>
      <c r="L57" s="162">
        <f t="shared" si="6"/>
        <v>0</v>
      </c>
      <c r="M57" s="162">
        <f t="shared" si="7"/>
        <v>8514.6599999999162</v>
      </c>
      <c r="N57" s="162">
        <v>62500</v>
      </c>
      <c r="O57" s="162">
        <v>1437979.34</v>
      </c>
    </row>
    <row r="58" spans="1:15" x14ac:dyDescent="0.2">
      <c r="B58" s="125" t="s">
        <v>119</v>
      </c>
      <c r="C58" s="153">
        <v>429133</v>
      </c>
      <c r="D58" s="154"/>
      <c r="E58" s="154"/>
      <c r="F58" s="171"/>
      <c r="G58" s="172">
        <v>429133</v>
      </c>
      <c r="H58" s="173">
        <v>429133</v>
      </c>
      <c r="I58" s="170"/>
      <c r="J58" s="171">
        <f>[4]CSU!J34</f>
        <v>0</v>
      </c>
      <c r="K58" s="171">
        <f>[4]CSU!K34</f>
        <v>0</v>
      </c>
      <c r="L58" s="162">
        <f t="shared" si="6"/>
        <v>0</v>
      </c>
      <c r="M58" s="162">
        <f t="shared" si="7"/>
        <v>23206.119999999995</v>
      </c>
      <c r="N58" s="162">
        <v>405926.88</v>
      </c>
      <c r="O58" s="162">
        <v>0</v>
      </c>
    </row>
    <row r="59" spans="1:15" x14ac:dyDescent="0.2">
      <c r="B59" s="125" t="s">
        <v>120</v>
      </c>
      <c r="C59" s="153">
        <v>645000</v>
      </c>
      <c r="D59" s="154"/>
      <c r="E59" s="154"/>
      <c r="F59" s="171">
        <f>1700+19385</f>
        <v>21085</v>
      </c>
      <c r="G59" s="172">
        <v>623915</v>
      </c>
      <c r="H59" s="173">
        <v>623915.00000000012</v>
      </c>
      <c r="I59" s="170"/>
      <c r="J59" s="171">
        <f>[4]FSU!J74</f>
        <v>0</v>
      </c>
      <c r="K59" s="171">
        <f>[4]FSU!K74</f>
        <v>0</v>
      </c>
      <c r="L59" s="162">
        <f t="shared" si="6"/>
        <v>-1.1641532182693481E-10</v>
      </c>
      <c r="M59" s="162">
        <f t="shared" si="7"/>
        <v>20426.119999999952</v>
      </c>
      <c r="N59" s="162">
        <v>551667.05000000016</v>
      </c>
      <c r="O59" s="162">
        <v>51821.83</v>
      </c>
    </row>
    <row r="60" spans="1:15" x14ac:dyDescent="0.2">
      <c r="B60" s="125" t="s">
        <v>137</v>
      </c>
      <c r="C60" s="153">
        <v>1660185</v>
      </c>
      <c r="D60" s="154"/>
      <c r="E60" s="154"/>
      <c r="F60" s="171">
        <f>137991.19+5662</f>
        <v>143653.19</v>
      </c>
      <c r="G60" s="172">
        <v>1516531.81</v>
      </c>
      <c r="H60" s="173">
        <v>656104.77999999991</v>
      </c>
      <c r="I60" s="170"/>
      <c r="J60" s="171">
        <f>[4]SU!J39</f>
        <v>0</v>
      </c>
      <c r="K60" s="171">
        <f>[4]SU!K39</f>
        <v>0</v>
      </c>
      <c r="L60" s="162">
        <f t="shared" si="6"/>
        <v>860427.03000000014</v>
      </c>
      <c r="M60" s="162">
        <f t="shared" si="7"/>
        <v>300776.08999999997</v>
      </c>
      <c r="N60" s="162">
        <v>267411.58999999997</v>
      </c>
      <c r="O60" s="162">
        <v>87917.1</v>
      </c>
    </row>
    <row r="61" spans="1:15" x14ac:dyDescent="0.2">
      <c r="B61" s="125" t="s">
        <v>122</v>
      </c>
      <c r="C61" s="153">
        <v>1776220</v>
      </c>
      <c r="D61" s="154"/>
      <c r="E61" s="154"/>
      <c r="F61" s="171">
        <f>30764.52+7301.55</f>
        <v>38066.07</v>
      </c>
      <c r="G61" s="163">
        <v>1738153.9300000002</v>
      </c>
      <c r="H61" s="164">
        <v>1017548.6599999999</v>
      </c>
      <c r="I61" s="162"/>
      <c r="J61" s="167">
        <f>[4]TU!J43+[4]TU!J48+[4]TU!J76</f>
        <v>0</v>
      </c>
      <c r="K61" s="167">
        <f>[4]TU!K43+[4]TU!K48+[4]TU!K76</f>
        <v>0</v>
      </c>
      <c r="L61" s="162">
        <f t="shared" si="6"/>
        <v>720605.27000000025</v>
      </c>
      <c r="M61" s="162">
        <f t="shared" si="7"/>
        <v>736992.83</v>
      </c>
      <c r="N61" s="162">
        <v>61603.979999999952</v>
      </c>
      <c r="O61" s="162">
        <v>218951.85</v>
      </c>
    </row>
    <row r="62" spans="1:15" x14ac:dyDescent="0.2">
      <c r="B62" s="125" t="s">
        <v>123</v>
      </c>
      <c r="C62" s="153">
        <v>676486</v>
      </c>
      <c r="D62" s="154"/>
      <c r="E62" s="154"/>
      <c r="F62" s="174">
        <v>42465.599999999999</v>
      </c>
      <c r="G62" s="163">
        <v>634020.4</v>
      </c>
      <c r="H62" s="164">
        <v>10462.950000000001</v>
      </c>
      <c r="I62" s="162"/>
      <c r="J62" s="167">
        <f>[4]UB!J60</f>
        <v>0</v>
      </c>
      <c r="K62" s="167">
        <f>[4]UB!K60</f>
        <v>0</v>
      </c>
      <c r="L62" s="162">
        <f t="shared" si="6"/>
        <v>623557.45000000007</v>
      </c>
      <c r="M62" s="162">
        <f t="shared" si="7"/>
        <v>4801.4000000000005</v>
      </c>
      <c r="N62" s="162">
        <v>5661.55</v>
      </c>
      <c r="O62" s="162">
        <v>0</v>
      </c>
    </row>
    <row r="63" spans="1:15" x14ac:dyDescent="0.2">
      <c r="B63" s="165" t="s">
        <v>127</v>
      </c>
      <c r="C63" s="153">
        <v>4121354</v>
      </c>
      <c r="D63" s="154"/>
      <c r="E63" s="162">
        <f>63620.75-700000-600000</f>
        <v>-1236379.25</v>
      </c>
      <c r="F63" s="171"/>
      <c r="G63" s="163">
        <v>2884974.75</v>
      </c>
      <c r="H63" s="164">
        <v>0</v>
      </c>
      <c r="I63" s="162"/>
      <c r="J63" s="167"/>
      <c r="K63" s="167"/>
      <c r="L63" s="162">
        <f t="shared" si="6"/>
        <v>2884974.75</v>
      </c>
      <c r="M63" s="162">
        <f t="shared" si="7"/>
        <v>0</v>
      </c>
      <c r="N63" s="162">
        <v>0</v>
      </c>
      <c r="O63" s="162">
        <v>0</v>
      </c>
    </row>
    <row r="64" spans="1:15" x14ac:dyDescent="0.2">
      <c r="B64" s="125" t="s">
        <v>155</v>
      </c>
      <c r="C64" s="153"/>
      <c r="D64" s="154"/>
      <c r="E64" s="162">
        <v>700000</v>
      </c>
      <c r="F64" s="171"/>
      <c r="G64" s="163">
        <v>700000</v>
      </c>
      <c r="H64" s="164">
        <v>700000</v>
      </c>
      <c r="I64" s="162"/>
      <c r="J64" s="167">
        <f>[4]UMES!J47</f>
        <v>0</v>
      </c>
      <c r="K64" s="167">
        <f>[4]UMES!K47</f>
        <v>0</v>
      </c>
      <c r="L64" s="162">
        <f t="shared" si="6"/>
        <v>0</v>
      </c>
      <c r="M64" s="162">
        <f>H64-N64-O64</f>
        <v>700000</v>
      </c>
      <c r="N64" s="162">
        <v>0</v>
      </c>
      <c r="O64" s="162">
        <v>0</v>
      </c>
    </row>
    <row r="65" spans="1:15" x14ac:dyDescent="0.2">
      <c r="B65" s="175" t="s">
        <v>383</v>
      </c>
      <c r="C65" s="153"/>
      <c r="D65" s="154"/>
      <c r="E65" s="162">
        <v>600000</v>
      </c>
      <c r="F65" s="171"/>
      <c r="G65" s="163">
        <v>600000</v>
      </c>
      <c r="H65" s="164">
        <v>0</v>
      </c>
      <c r="I65" s="162"/>
      <c r="J65" s="167">
        <f>'[4]USM &amp; COI'!J19</f>
        <v>0</v>
      </c>
      <c r="K65" s="167">
        <f>'[4]USM &amp; COI'!K19</f>
        <v>0</v>
      </c>
      <c r="L65" s="162">
        <f>'[4]USM &amp; COI'!L19</f>
        <v>600000</v>
      </c>
      <c r="M65" s="162">
        <f>H65-N65-O65</f>
        <v>0</v>
      </c>
      <c r="N65" s="162">
        <v>0</v>
      </c>
      <c r="O65" s="162">
        <v>0</v>
      </c>
    </row>
    <row r="66" spans="1:15" x14ac:dyDescent="0.2">
      <c r="B66" s="165"/>
      <c r="C66" s="153"/>
      <c r="D66" s="154"/>
      <c r="E66" s="154"/>
      <c r="F66" s="155"/>
      <c r="G66" s="156"/>
      <c r="H66" s="157"/>
      <c r="I66" s="154"/>
      <c r="J66" s="158"/>
      <c r="K66" s="158"/>
      <c r="L66" s="154"/>
      <c r="M66" s="154"/>
      <c r="N66" s="154"/>
      <c r="O66" s="154"/>
    </row>
    <row r="67" spans="1:15" ht="13.5" thickBot="1" x14ac:dyDescent="0.25">
      <c r="B67" s="168" t="s">
        <v>138</v>
      </c>
      <c r="C67" s="169">
        <f t="shared" ref="C67:H67" si="8">SUM(C50:C66)</f>
        <v>30000000</v>
      </c>
      <c r="D67" s="169">
        <f t="shared" si="8"/>
        <v>0</v>
      </c>
      <c r="E67" s="169">
        <f t="shared" si="8"/>
        <v>63620.75</v>
      </c>
      <c r="F67" s="169">
        <f t="shared" si="8"/>
        <v>897052.64999999991</v>
      </c>
      <c r="G67" s="169">
        <f t="shared" si="8"/>
        <v>29166568.099999994</v>
      </c>
      <c r="H67" s="169">
        <f t="shared" si="8"/>
        <v>16958636.359999999</v>
      </c>
      <c r="I67" s="169">
        <f>SUM(I50:I63)</f>
        <v>0</v>
      </c>
      <c r="J67" s="169">
        <f t="shared" ref="J67:O67" si="9">SUM(J50:J66)</f>
        <v>0</v>
      </c>
      <c r="K67" s="169">
        <f t="shared" si="9"/>
        <v>0</v>
      </c>
      <c r="L67" s="169">
        <f t="shared" si="9"/>
        <v>12207931.74</v>
      </c>
      <c r="M67" s="169">
        <f t="shared" si="9"/>
        <v>3992430.3099999991</v>
      </c>
      <c r="N67" s="169">
        <f t="shared" si="9"/>
        <v>7479624.8299999991</v>
      </c>
      <c r="O67" s="169">
        <f t="shared" si="9"/>
        <v>5486581.2199999997</v>
      </c>
    </row>
    <row r="68" spans="1:15" ht="13.5" thickTop="1" x14ac:dyDescent="0.2">
      <c r="C68" s="153"/>
      <c r="D68" s="154"/>
      <c r="E68" s="154"/>
      <c r="F68" s="155"/>
      <c r="G68" s="156"/>
      <c r="H68" s="157"/>
      <c r="I68" s="154"/>
      <c r="J68" s="158"/>
      <c r="K68" s="158"/>
      <c r="L68" s="154"/>
      <c r="M68" s="154"/>
      <c r="N68" s="154"/>
      <c r="O68" s="154"/>
    </row>
    <row r="69" spans="1:15" x14ac:dyDescent="0.2">
      <c r="A69" s="165" t="s">
        <v>139</v>
      </c>
      <c r="C69" s="153"/>
      <c r="D69" s="154"/>
      <c r="E69" s="154"/>
      <c r="F69" s="155"/>
      <c r="G69" s="156"/>
      <c r="H69" s="157"/>
      <c r="I69" s="154"/>
      <c r="J69" s="158"/>
      <c r="K69" s="158"/>
      <c r="L69" s="154"/>
      <c r="M69" s="154"/>
      <c r="N69" s="154"/>
      <c r="O69" s="154"/>
    </row>
    <row r="70" spans="1:15" x14ac:dyDescent="0.2">
      <c r="A70" s="165"/>
      <c r="B70" s="125" t="s">
        <v>140</v>
      </c>
      <c r="C70" s="153">
        <v>7760000</v>
      </c>
      <c r="D70" s="154"/>
      <c r="E70" s="154"/>
      <c r="F70" s="167">
        <f>7760000</f>
        <v>7760000</v>
      </c>
      <c r="G70" s="163">
        <v>0</v>
      </c>
      <c r="H70" s="164">
        <v>0</v>
      </c>
      <c r="I70" s="162"/>
      <c r="J70" s="167">
        <f>[4]UMCP!J293</f>
        <v>0</v>
      </c>
      <c r="K70" s="167">
        <f>[4]UMCP!K293</f>
        <v>0</v>
      </c>
      <c r="L70" s="162">
        <f>G70-H70-I70-J70-K70</f>
        <v>0</v>
      </c>
      <c r="M70" s="162">
        <f>H70-N70-O70</f>
        <v>0</v>
      </c>
      <c r="N70" s="162">
        <v>0</v>
      </c>
      <c r="O70" s="162">
        <v>0</v>
      </c>
    </row>
    <row r="71" spans="1:15" x14ac:dyDescent="0.2">
      <c r="A71" s="165"/>
      <c r="B71" s="125" t="s">
        <v>141</v>
      </c>
      <c r="C71" s="153">
        <v>23550000</v>
      </c>
      <c r="D71" s="154"/>
      <c r="E71" s="154"/>
      <c r="F71" s="167">
        <v>23550000</v>
      </c>
      <c r="G71" s="163">
        <v>0</v>
      </c>
      <c r="H71" s="164">
        <v>0</v>
      </c>
      <c r="I71" s="162"/>
      <c r="J71" s="167">
        <f>[4]UMCP!J298</f>
        <v>0</v>
      </c>
      <c r="K71" s="167">
        <f>[4]UMCP!K298</f>
        <v>0</v>
      </c>
      <c r="L71" s="162">
        <f>G71-H71-I71-J71-K71</f>
        <v>0</v>
      </c>
      <c r="M71" s="162">
        <f>H71-N71-O71</f>
        <v>0</v>
      </c>
      <c r="N71" s="162">
        <v>0</v>
      </c>
      <c r="O71" s="162">
        <v>0</v>
      </c>
    </row>
    <row r="72" spans="1:15" x14ac:dyDescent="0.2">
      <c r="A72" s="165"/>
      <c r="B72" s="125" t="s">
        <v>142</v>
      </c>
      <c r="C72" s="153">
        <v>3360000</v>
      </c>
      <c r="D72" s="162">
        <v>-377822.1</v>
      </c>
      <c r="E72" s="154"/>
      <c r="F72" s="54">
        <v>2982177.9</v>
      </c>
      <c r="G72" s="163">
        <v>0</v>
      </c>
      <c r="H72" s="164">
        <v>0</v>
      </c>
      <c r="I72" s="162"/>
      <c r="J72" s="167">
        <f>[4]UMCP!J306</f>
        <v>0</v>
      </c>
      <c r="K72" s="167">
        <f>[4]UMCP!K306</f>
        <v>0</v>
      </c>
      <c r="L72" s="162">
        <f>G72-H72-I72-J72-K72</f>
        <v>0</v>
      </c>
      <c r="M72" s="162">
        <f>H72-N72-O72</f>
        <v>0</v>
      </c>
      <c r="N72" s="162">
        <v>0</v>
      </c>
      <c r="O72" s="162">
        <v>0</v>
      </c>
    </row>
    <row r="73" spans="1:15" x14ac:dyDescent="0.2">
      <c r="B73" s="125" t="s">
        <v>114</v>
      </c>
      <c r="C73" s="153">
        <v>10268103</v>
      </c>
      <c r="D73" s="162">
        <v>-2315004.67</v>
      </c>
      <c r="E73" s="154"/>
      <c r="F73" s="54">
        <f>3074614.24+2436804.38+487.26</f>
        <v>5511905.8799999999</v>
      </c>
      <c r="G73" s="163">
        <v>2441192.4500000002</v>
      </c>
      <c r="H73" s="164">
        <v>2441192.4499999997</v>
      </c>
      <c r="I73" s="162"/>
      <c r="J73" s="167">
        <f>[4]UMB!J117</f>
        <v>0</v>
      </c>
      <c r="K73" s="167">
        <f>[4]UMB!K117</f>
        <v>0</v>
      </c>
      <c r="L73" s="162">
        <f>G73-H73-I73-J73-K73</f>
        <v>4.6566128730773926E-10</v>
      </c>
      <c r="M73" s="162">
        <f>H73-N73-O73</f>
        <v>314778.49999999953</v>
      </c>
      <c r="N73" s="162">
        <v>561372.7200000002</v>
      </c>
      <c r="O73" s="162">
        <v>1565041.23</v>
      </c>
    </row>
    <row r="74" spans="1:15" x14ac:dyDescent="0.2">
      <c r="B74" s="125" t="s">
        <v>143</v>
      </c>
      <c r="C74" s="153">
        <v>3230000</v>
      </c>
      <c r="D74" s="162">
        <f>-1000000-2230000</f>
        <v>-3230000</v>
      </c>
      <c r="E74" s="154"/>
      <c r="F74" s="128"/>
      <c r="G74" s="163">
        <v>0</v>
      </c>
      <c r="H74" s="164">
        <v>0</v>
      </c>
      <c r="I74" s="162"/>
      <c r="J74" s="167">
        <f>'[4]USM &amp; COI'!J104</f>
        <v>0</v>
      </c>
      <c r="K74" s="167">
        <f>'[4]USM &amp; COI'!K104</f>
        <v>0</v>
      </c>
      <c r="L74" s="162">
        <f>G74-H74-I74-J74-K74</f>
        <v>0</v>
      </c>
      <c r="M74" s="162">
        <f>H74-N74-O74</f>
        <v>0</v>
      </c>
      <c r="N74" s="162">
        <v>0</v>
      </c>
      <c r="O74" s="162">
        <v>0</v>
      </c>
    </row>
    <row r="75" spans="1:15" x14ac:dyDescent="0.2">
      <c r="C75" s="153"/>
      <c r="D75" s="154"/>
      <c r="E75" s="154"/>
      <c r="F75" s="155"/>
      <c r="G75" s="156"/>
      <c r="H75" s="157"/>
      <c r="I75" s="154"/>
      <c r="J75" s="158"/>
      <c r="K75" s="158"/>
      <c r="L75" s="154"/>
      <c r="M75" s="154"/>
      <c r="N75" s="154"/>
      <c r="O75" s="154"/>
    </row>
    <row r="76" spans="1:15" ht="13.5" thickBot="1" x14ac:dyDescent="0.25">
      <c r="B76" s="168" t="s">
        <v>144</v>
      </c>
      <c r="C76" s="169">
        <f>SUM(C70:C75)</f>
        <v>48168103</v>
      </c>
      <c r="D76" s="169">
        <f t="shared" ref="D76:O76" si="10">SUM(D70:D75)</f>
        <v>-5922826.7699999996</v>
      </c>
      <c r="E76" s="169">
        <f t="shared" si="10"/>
        <v>0</v>
      </c>
      <c r="F76" s="169">
        <f t="shared" si="10"/>
        <v>39804083.780000001</v>
      </c>
      <c r="G76" s="169">
        <f t="shared" si="10"/>
        <v>2441192.4500000002</v>
      </c>
      <c r="H76" s="169">
        <f t="shared" si="10"/>
        <v>2441192.4499999997</v>
      </c>
      <c r="I76" s="169">
        <f t="shared" si="10"/>
        <v>0</v>
      </c>
      <c r="J76" s="169">
        <f t="shared" si="10"/>
        <v>0</v>
      </c>
      <c r="K76" s="169">
        <f t="shared" si="10"/>
        <v>0</v>
      </c>
      <c r="L76" s="169">
        <f t="shared" si="10"/>
        <v>4.6566128730773926E-10</v>
      </c>
      <c r="M76" s="169">
        <f t="shared" si="10"/>
        <v>314778.49999999953</v>
      </c>
      <c r="N76" s="169">
        <f t="shared" si="10"/>
        <v>561372.7200000002</v>
      </c>
      <c r="O76" s="169">
        <f t="shared" si="10"/>
        <v>1565041.23</v>
      </c>
    </row>
    <row r="77" spans="1:15" ht="13.5" thickTop="1" x14ac:dyDescent="0.2">
      <c r="C77" s="153"/>
      <c r="D77" s="154"/>
      <c r="E77" s="154"/>
      <c r="F77" s="155"/>
      <c r="G77" s="156"/>
      <c r="H77" s="157"/>
      <c r="I77" s="154"/>
      <c r="J77" s="158"/>
      <c r="K77" s="158"/>
      <c r="L77" s="154"/>
      <c r="M77" s="154"/>
      <c r="N77" s="154"/>
      <c r="O77" s="154"/>
    </row>
    <row r="78" spans="1:15" x14ac:dyDescent="0.2">
      <c r="A78" s="165" t="s">
        <v>145</v>
      </c>
      <c r="C78" s="153"/>
      <c r="D78" s="154"/>
      <c r="E78" s="154"/>
      <c r="F78" s="128"/>
      <c r="G78" s="163"/>
      <c r="H78" s="164"/>
      <c r="I78" s="163"/>
      <c r="J78" s="163"/>
      <c r="K78" s="163"/>
      <c r="L78" s="162"/>
      <c r="M78" s="162"/>
      <c r="N78" s="162"/>
      <c r="O78" s="162"/>
    </row>
    <row r="79" spans="1:15" x14ac:dyDescent="0.2">
      <c r="B79" s="125" t="s">
        <v>146</v>
      </c>
      <c r="C79" s="153">
        <v>5000000</v>
      </c>
      <c r="D79" s="154"/>
      <c r="E79" s="154"/>
      <c r="F79" s="167">
        <f>187966.72+1357440.43</f>
        <v>1545407.15</v>
      </c>
      <c r="G79" s="163">
        <v>3454592.8500000006</v>
      </c>
      <c r="H79" s="164">
        <v>222521.52000000002</v>
      </c>
      <c r="I79" s="154"/>
      <c r="J79" s="158"/>
      <c r="K79" s="167">
        <f>[4]UMCP!K274</f>
        <v>0</v>
      </c>
      <c r="L79" s="162">
        <f>G79-H79-I79-J79-K79</f>
        <v>3232071.3300000005</v>
      </c>
      <c r="M79" s="162">
        <f t="shared" ref="M79:M93" si="11">H79-N79-O79</f>
        <v>215871.52000000002</v>
      </c>
      <c r="N79" s="162">
        <v>6650</v>
      </c>
      <c r="O79" s="162">
        <v>0</v>
      </c>
    </row>
    <row r="80" spans="1:15" x14ac:dyDescent="0.2">
      <c r="B80" s="125" t="s">
        <v>147</v>
      </c>
      <c r="C80" s="153">
        <v>10000000</v>
      </c>
      <c r="D80" s="154"/>
      <c r="E80" s="154"/>
      <c r="F80" s="167">
        <f>4026.61+2117361.09+420341.95</f>
        <v>2541729.65</v>
      </c>
      <c r="G80" s="163">
        <v>7458270.3500000006</v>
      </c>
      <c r="H80" s="164">
        <v>1753596.6299999994</v>
      </c>
      <c r="I80" s="154"/>
      <c r="J80" s="158"/>
      <c r="K80" s="158"/>
      <c r="L80" s="162">
        <f t="shared" ref="L80:L93" si="12">G80-H80-I80-J80-K80</f>
        <v>5704673.7200000007</v>
      </c>
      <c r="M80" s="162">
        <f t="shared" si="11"/>
        <v>425617.23999999953</v>
      </c>
      <c r="N80" s="162">
        <v>1327979.3899999999</v>
      </c>
      <c r="O80" s="162">
        <v>0</v>
      </c>
    </row>
    <row r="81" spans="2:15" x14ac:dyDescent="0.2">
      <c r="B81" s="125" t="s">
        <v>148</v>
      </c>
      <c r="C81" s="153">
        <v>5000000</v>
      </c>
      <c r="D81" s="154"/>
      <c r="E81" s="154"/>
      <c r="F81" s="167">
        <f>60956.13+1036219.92+6874.52</f>
        <v>1104050.57</v>
      </c>
      <c r="G81" s="163">
        <v>3895949.43</v>
      </c>
      <c r="H81" s="164">
        <v>478072</v>
      </c>
      <c r="I81" s="154"/>
      <c r="J81" s="158"/>
      <c r="K81" s="158"/>
      <c r="L81" s="162">
        <f t="shared" si="12"/>
        <v>3417877.43</v>
      </c>
      <c r="M81" s="162">
        <f t="shared" si="11"/>
        <v>359203.77</v>
      </c>
      <c r="N81" s="162">
        <v>118868.23</v>
      </c>
      <c r="O81" s="162">
        <v>0</v>
      </c>
    </row>
    <row r="82" spans="2:15" x14ac:dyDescent="0.2">
      <c r="B82" s="165" t="s">
        <v>112</v>
      </c>
      <c r="C82" s="153"/>
      <c r="D82" s="154"/>
      <c r="E82" s="154"/>
      <c r="F82" s="155"/>
      <c r="G82" s="163"/>
      <c r="H82" s="157"/>
      <c r="I82" s="154"/>
      <c r="J82" s="158"/>
      <c r="K82" s="158"/>
      <c r="L82" s="162"/>
      <c r="M82" s="162">
        <f t="shared" si="11"/>
        <v>0</v>
      </c>
      <c r="N82" s="162"/>
      <c r="O82" s="162"/>
    </row>
    <row r="83" spans="2:15" x14ac:dyDescent="0.2">
      <c r="B83" s="125" t="s">
        <v>113</v>
      </c>
      <c r="C83" s="153">
        <v>4744551</v>
      </c>
      <c r="D83" s="154"/>
      <c r="E83" s="154"/>
      <c r="F83" s="167">
        <f>723026.82+4021524.18</f>
        <v>4744551</v>
      </c>
      <c r="G83" s="163">
        <v>0</v>
      </c>
      <c r="H83" s="164">
        <v>0</v>
      </c>
      <c r="I83" s="154"/>
      <c r="J83" s="158"/>
      <c r="K83" s="167">
        <f>[4]UMCP!K136</f>
        <v>0</v>
      </c>
      <c r="L83" s="162">
        <f t="shared" si="12"/>
        <v>0</v>
      </c>
      <c r="M83" s="162">
        <f t="shared" si="11"/>
        <v>0</v>
      </c>
      <c r="N83" s="162">
        <v>0</v>
      </c>
      <c r="O83" s="162">
        <v>0</v>
      </c>
    </row>
    <row r="84" spans="2:15" x14ac:dyDescent="0.2">
      <c r="B84" s="125" t="s">
        <v>114</v>
      </c>
      <c r="C84" s="153">
        <v>1926995</v>
      </c>
      <c r="D84" s="154"/>
      <c r="E84" s="154"/>
      <c r="F84" s="167">
        <f>500000+26189+40850.54</f>
        <v>567039.54</v>
      </c>
      <c r="G84" s="163">
        <v>1359955.46</v>
      </c>
      <c r="H84" s="164">
        <v>1184648.29</v>
      </c>
      <c r="I84" s="154"/>
      <c r="J84" s="158"/>
      <c r="K84" s="158"/>
      <c r="L84" s="162">
        <f>G84-H84-I84-J84-K84</f>
        <v>175307.16999999993</v>
      </c>
      <c r="M84" s="162">
        <f t="shared" si="11"/>
        <v>654322.92999999993</v>
      </c>
      <c r="N84" s="162">
        <v>185189.8600000001</v>
      </c>
      <c r="O84" s="162">
        <v>345135.5</v>
      </c>
    </row>
    <row r="85" spans="2:15" x14ac:dyDescent="0.2">
      <c r="B85" s="125" t="s">
        <v>115</v>
      </c>
      <c r="C85" s="153">
        <v>563795</v>
      </c>
      <c r="D85" s="154"/>
      <c r="E85" s="154"/>
      <c r="F85" s="167">
        <v>0</v>
      </c>
      <c r="G85" s="163">
        <v>563795</v>
      </c>
      <c r="H85" s="164">
        <v>424374.56</v>
      </c>
      <c r="I85" s="154"/>
      <c r="J85" s="158"/>
      <c r="K85" s="167">
        <f>[4]UMES!K88</f>
        <v>0</v>
      </c>
      <c r="L85" s="162">
        <f t="shared" si="12"/>
        <v>139420.44</v>
      </c>
      <c r="M85" s="162">
        <f t="shared" si="11"/>
        <v>0</v>
      </c>
      <c r="N85" s="162">
        <v>4385.5599999999977</v>
      </c>
      <c r="O85" s="162">
        <v>419989</v>
      </c>
    </row>
    <row r="86" spans="2:15" x14ac:dyDescent="0.2">
      <c r="B86" s="125" t="s">
        <v>116</v>
      </c>
      <c r="C86" s="153">
        <v>1081882</v>
      </c>
      <c r="D86" s="154"/>
      <c r="E86" s="154"/>
      <c r="F86" s="167"/>
      <c r="G86" s="163">
        <v>1081882</v>
      </c>
      <c r="H86" s="164">
        <v>568853.37</v>
      </c>
      <c r="I86" s="154"/>
      <c r="J86" s="158"/>
      <c r="K86" s="158"/>
      <c r="L86" s="162">
        <f t="shared" si="12"/>
        <v>513028.63</v>
      </c>
      <c r="M86" s="162">
        <f t="shared" si="11"/>
        <v>568853.37</v>
      </c>
      <c r="N86" s="162">
        <v>0</v>
      </c>
      <c r="O86" s="162">
        <v>0</v>
      </c>
    </row>
    <row r="87" spans="2:15" x14ac:dyDescent="0.2">
      <c r="B87" s="125" t="s">
        <v>117</v>
      </c>
      <c r="C87" s="153">
        <v>206031</v>
      </c>
      <c r="D87" s="154"/>
      <c r="E87" s="154"/>
      <c r="F87" s="167"/>
      <c r="G87" s="163">
        <v>206031</v>
      </c>
      <c r="H87" s="164">
        <v>0</v>
      </c>
      <c r="I87" s="154"/>
      <c r="J87" s="158"/>
      <c r="K87" s="158"/>
      <c r="L87" s="162">
        <f t="shared" si="12"/>
        <v>206031</v>
      </c>
      <c r="M87" s="162">
        <f t="shared" si="11"/>
        <v>0</v>
      </c>
      <c r="N87" s="162">
        <v>-141453.12</v>
      </c>
      <c r="O87" s="162">
        <v>141453.12</v>
      </c>
    </row>
    <row r="88" spans="2:15" x14ac:dyDescent="0.2">
      <c r="B88" s="125" t="s">
        <v>118</v>
      </c>
      <c r="C88" s="153">
        <v>490197</v>
      </c>
      <c r="D88" s="154"/>
      <c r="E88" s="154"/>
      <c r="F88" s="167">
        <f>23144.51+447527.34</f>
        <v>470671.85000000003</v>
      </c>
      <c r="G88" s="163">
        <v>19525.149999999965</v>
      </c>
      <c r="H88" s="164">
        <v>19525.150000000001</v>
      </c>
      <c r="I88" s="154"/>
      <c r="J88" s="158"/>
      <c r="K88" s="167">
        <f>[4]BSU!K55</f>
        <v>0</v>
      </c>
      <c r="L88" s="162">
        <f t="shared" si="12"/>
        <v>-3.637978807091713E-11</v>
      </c>
      <c r="M88" s="162">
        <f t="shared" si="11"/>
        <v>1274.0999999999979</v>
      </c>
      <c r="N88" s="162">
        <v>17041.660000000003</v>
      </c>
      <c r="O88" s="162">
        <v>1209.3900000000001</v>
      </c>
    </row>
    <row r="89" spans="2:15" x14ac:dyDescent="0.2">
      <c r="B89" s="125" t="s">
        <v>119</v>
      </c>
      <c r="C89" s="153">
        <v>457081</v>
      </c>
      <c r="D89" s="154"/>
      <c r="E89" s="154"/>
      <c r="F89" s="167">
        <f>198994.71</f>
        <v>198994.71</v>
      </c>
      <c r="G89" s="163">
        <v>258086.28999999998</v>
      </c>
      <c r="H89" s="164">
        <v>258086.28999999998</v>
      </c>
      <c r="I89" s="154"/>
      <c r="J89" s="158"/>
      <c r="K89" s="167">
        <f>[4]CSU!K49</f>
        <v>0</v>
      </c>
      <c r="L89" s="162">
        <f t="shared" si="12"/>
        <v>0</v>
      </c>
      <c r="M89" s="162">
        <f t="shared" si="11"/>
        <v>0</v>
      </c>
      <c r="N89" s="162">
        <v>123479.23999999999</v>
      </c>
      <c r="O89" s="162">
        <v>134607.04999999999</v>
      </c>
    </row>
    <row r="90" spans="2:15" x14ac:dyDescent="0.2">
      <c r="B90" s="125" t="s">
        <v>120</v>
      </c>
      <c r="C90" s="153">
        <v>419210</v>
      </c>
      <c r="D90" s="154"/>
      <c r="E90" s="154"/>
      <c r="F90" s="167">
        <f>41693.17+94557.56</f>
        <v>136250.72999999998</v>
      </c>
      <c r="G90" s="163">
        <v>282959.27</v>
      </c>
      <c r="H90" s="164">
        <v>282959.26999999996</v>
      </c>
      <c r="I90" s="154"/>
      <c r="J90" s="158"/>
      <c r="K90" s="167">
        <f>[4]FSU!K92</f>
        <v>0</v>
      </c>
      <c r="L90" s="162">
        <f t="shared" si="12"/>
        <v>5.8207660913467407E-11</v>
      </c>
      <c r="M90" s="162">
        <f t="shared" si="11"/>
        <v>0</v>
      </c>
      <c r="N90" s="162">
        <v>39094.699999999953</v>
      </c>
      <c r="O90" s="162">
        <v>243864.57</v>
      </c>
    </row>
    <row r="91" spans="2:15" x14ac:dyDescent="0.2">
      <c r="B91" s="125" t="s">
        <v>137</v>
      </c>
      <c r="C91" s="153">
        <v>612726</v>
      </c>
      <c r="D91" s="154"/>
      <c r="E91" s="154"/>
      <c r="F91" s="167">
        <f>238902.37</f>
        <v>238902.37</v>
      </c>
      <c r="G91" s="163">
        <v>373823.63</v>
      </c>
      <c r="H91" s="164">
        <v>338653.17000000004</v>
      </c>
      <c r="I91" s="154"/>
      <c r="J91" s="158"/>
      <c r="K91" s="167">
        <f>[4]SU!K54</f>
        <v>0</v>
      </c>
      <c r="L91" s="162">
        <f t="shared" si="12"/>
        <v>35170.459999999963</v>
      </c>
      <c r="M91" s="162">
        <f t="shared" si="11"/>
        <v>0</v>
      </c>
      <c r="N91" s="162">
        <v>248100.00000000006</v>
      </c>
      <c r="O91" s="162">
        <v>90553.17</v>
      </c>
    </row>
    <row r="92" spans="2:15" x14ac:dyDescent="0.2">
      <c r="B92" s="125" t="s">
        <v>122</v>
      </c>
      <c r="C92" s="153">
        <v>1044456</v>
      </c>
      <c r="D92" s="154"/>
      <c r="E92" s="154"/>
      <c r="F92" s="155"/>
      <c r="G92" s="163">
        <v>1044456</v>
      </c>
      <c r="H92" s="164">
        <v>504670.47</v>
      </c>
      <c r="I92" s="154"/>
      <c r="J92" s="158"/>
      <c r="K92" s="158"/>
      <c r="L92" s="162">
        <f t="shared" si="12"/>
        <v>539785.53</v>
      </c>
      <c r="M92" s="162">
        <f t="shared" si="11"/>
        <v>487932.87</v>
      </c>
      <c r="N92" s="162">
        <v>16737.599999999999</v>
      </c>
      <c r="O92" s="162">
        <v>0</v>
      </c>
    </row>
    <row r="93" spans="2:15" x14ac:dyDescent="0.2">
      <c r="B93" s="125" t="s">
        <v>123</v>
      </c>
      <c r="C93" s="153">
        <v>453076</v>
      </c>
      <c r="D93" s="154"/>
      <c r="E93" s="154"/>
      <c r="F93" s="155"/>
      <c r="G93" s="163">
        <v>453076</v>
      </c>
      <c r="H93" s="164">
        <v>77122.069999999992</v>
      </c>
      <c r="I93" s="154"/>
      <c r="J93" s="158"/>
      <c r="K93" s="158"/>
      <c r="L93" s="162">
        <f t="shared" si="12"/>
        <v>375953.93</v>
      </c>
      <c r="M93" s="162">
        <f t="shared" si="11"/>
        <v>77122.069999999992</v>
      </c>
      <c r="N93" s="162">
        <v>0</v>
      </c>
      <c r="O93" s="162">
        <v>0</v>
      </c>
    </row>
    <row r="94" spans="2:15" x14ac:dyDescent="0.2">
      <c r="C94" s="153"/>
      <c r="D94" s="154"/>
      <c r="E94" s="154"/>
      <c r="F94" s="155"/>
      <c r="G94" s="156"/>
      <c r="H94" s="157"/>
      <c r="I94" s="154"/>
      <c r="J94" s="158"/>
      <c r="K94" s="158"/>
      <c r="L94" s="154"/>
      <c r="M94" s="154"/>
      <c r="N94" s="154"/>
      <c r="O94" s="154"/>
    </row>
    <row r="95" spans="2:15" ht="13.5" thickBot="1" x14ac:dyDescent="0.25">
      <c r="B95" s="168" t="s">
        <v>149</v>
      </c>
      <c r="C95" s="169">
        <f t="shared" ref="C95:H95" si="13">SUM(C79:C94)</f>
        <v>32000000</v>
      </c>
      <c r="D95" s="169">
        <f t="shared" si="13"/>
        <v>0</v>
      </c>
      <c r="E95" s="169">
        <f t="shared" si="13"/>
        <v>0</v>
      </c>
      <c r="F95" s="169">
        <f t="shared" si="13"/>
        <v>11547597.57</v>
      </c>
      <c r="G95" s="169">
        <f t="shared" si="13"/>
        <v>20452402.429999996</v>
      </c>
      <c r="H95" s="169">
        <f t="shared" si="13"/>
        <v>6113082.7899999991</v>
      </c>
      <c r="I95" s="169">
        <f>SUM(I4:I94)</f>
        <v>4506853.62</v>
      </c>
      <c r="J95" s="169">
        <f t="shared" ref="J95:O95" si="14">SUM(J79:J94)</f>
        <v>0</v>
      </c>
      <c r="K95" s="169">
        <f t="shared" si="14"/>
        <v>0</v>
      </c>
      <c r="L95" s="169">
        <f t="shared" si="14"/>
        <v>14339319.639999999</v>
      </c>
      <c r="M95" s="169">
        <f t="shared" si="14"/>
        <v>2790197.8699999996</v>
      </c>
      <c r="N95" s="169">
        <f t="shared" si="14"/>
        <v>1946073.1199999999</v>
      </c>
      <c r="O95" s="169">
        <f t="shared" si="14"/>
        <v>1376811.8</v>
      </c>
    </row>
    <row r="96" spans="2:15" ht="13.5" thickTop="1" x14ac:dyDescent="0.2">
      <c r="C96" s="153"/>
      <c r="D96" s="154"/>
      <c r="E96" s="154"/>
      <c r="F96" s="155"/>
      <c r="G96" s="156"/>
      <c r="H96" s="157"/>
      <c r="I96" s="154"/>
      <c r="J96" s="158"/>
      <c r="K96" s="158"/>
      <c r="L96" s="154"/>
      <c r="M96" s="154"/>
      <c r="N96" s="154"/>
      <c r="O96" s="154"/>
    </row>
    <row r="97" spans="1:15" x14ac:dyDescent="0.2">
      <c r="A97" s="165" t="s">
        <v>150</v>
      </c>
      <c r="C97" s="153"/>
      <c r="D97" s="154"/>
      <c r="E97" s="154"/>
      <c r="F97" s="128"/>
      <c r="G97" s="163"/>
      <c r="H97" s="164"/>
      <c r="I97" s="163"/>
      <c r="J97" s="163"/>
      <c r="K97" s="163"/>
      <c r="L97" s="162"/>
      <c r="M97" s="162"/>
      <c r="N97" s="162"/>
      <c r="O97" s="162"/>
    </row>
    <row r="98" spans="1:15" x14ac:dyDescent="0.2">
      <c r="B98" s="125" t="s">
        <v>151</v>
      </c>
      <c r="C98" s="153">
        <v>5000000</v>
      </c>
      <c r="D98" s="154"/>
      <c r="E98" s="154"/>
      <c r="F98" s="162">
        <f>3442.39+202638.55+926670.4</f>
        <v>1132751.3400000001</v>
      </c>
      <c r="G98" s="163">
        <v>3867248.6600000006</v>
      </c>
      <c r="H98" s="164">
        <v>1058687.83</v>
      </c>
      <c r="I98" s="162">
        <f>[4]UMES!I203</f>
        <v>0</v>
      </c>
      <c r="J98" s="167">
        <f>[4]UMES!J203</f>
        <v>0</v>
      </c>
      <c r="K98" s="167">
        <f>[4]UMES!K203</f>
        <v>0</v>
      </c>
      <c r="L98" s="162">
        <f>G98-H98-I98-J98-K98</f>
        <v>2808560.8300000005</v>
      </c>
      <c r="M98" s="162">
        <f>H98-N98-O98</f>
        <v>342221.83000000007</v>
      </c>
      <c r="N98" s="162">
        <v>716466</v>
      </c>
      <c r="O98" s="162">
        <v>0</v>
      </c>
    </row>
    <row r="99" spans="1:15" x14ac:dyDescent="0.2">
      <c r="B99" s="125" t="s">
        <v>147</v>
      </c>
      <c r="C99" s="153">
        <v>1008000</v>
      </c>
      <c r="D99" s="154"/>
      <c r="E99" s="154"/>
      <c r="F99" s="162">
        <f>51347.72+344271.58+612380.7</f>
        <v>1008000</v>
      </c>
      <c r="G99" s="163">
        <v>0</v>
      </c>
      <c r="H99" s="164">
        <v>0</v>
      </c>
      <c r="I99" s="162">
        <f>[4]UMES!I184</f>
        <v>0</v>
      </c>
      <c r="J99" s="167">
        <f>[4]UMES!J184</f>
        <v>0</v>
      </c>
      <c r="K99" s="167">
        <f>[4]UMES!K184</f>
        <v>0</v>
      </c>
      <c r="L99" s="162">
        <f t="shared" ref="L99:L117" si="15">G99-H99-I99-J99-K99</f>
        <v>0</v>
      </c>
      <c r="M99" s="162">
        <f>H99-N99-O99</f>
        <v>0</v>
      </c>
      <c r="N99" s="162">
        <v>0</v>
      </c>
      <c r="O99" s="162">
        <v>0</v>
      </c>
    </row>
    <row r="100" spans="1:15" x14ac:dyDescent="0.2">
      <c r="B100" s="125" t="s">
        <v>152</v>
      </c>
      <c r="C100" s="153">
        <v>2346000</v>
      </c>
      <c r="D100" s="154"/>
      <c r="E100" s="154"/>
      <c r="F100" s="162">
        <f>146449.9+2199550.1</f>
        <v>2346000</v>
      </c>
      <c r="G100" s="163">
        <v>0</v>
      </c>
      <c r="H100" s="164">
        <v>0</v>
      </c>
      <c r="I100" s="162">
        <f>[4]UMBC!I126</f>
        <v>0</v>
      </c>
      <c r="J100" s="167">
        <f>[4]UMBC!J126</f>
        <v>0</v>
      </c>
      <c r="K100" s="167">
        <f>[4]UMBC!K126</f>
        <v>0</v>
      </c>
      <c r="L100" s="162">
        <f t="shared" si="15"/>
        <v>0</v>
      </c>
      <c r="M100" s="162">
        <f>H100-N100-O100</f>
        <v>0</v>
      </c>
      <c r="N100" s="162">
        <v>0</v>
      </c>
      <c r="O100" s="162">
        <v>0</v>
      </c>
    </row>
    <row r="101" spans="1:15" x14ac:dyDescent="0.2">
      <c r="B101" s="125" t="s">
        <v>153</v>
      </c>
      <c r="C101" s="153">
        <v>5000000</v>
      </c>
      <c r="D101" s="154"/>
      <c r="E101" s="154"/>
      <c r="F101" s="162">
        <f>1180.17+2012908.63+2985911.2</f>
        <v>5000000</v>
      </c>
      <c r="G101" s="163">
        <v>0</v>
      </c>
      <c r="H101" s="164">
        <v>0</v>
      </c>
      <c r="I101" s="162">
        <f>'[4]USM &amp; COI'!I113</f>
        <v>0</v>
      </c>
      <c r="J101" s="167">
        <f>'[4]USM &amp; COI'!J113</f>
        <v>0</v>
      </c>
      <c r="K101" s="167">
        <f>'[4]USM &amp; COI'!K113</f>
        <v>0</v>
      </c>
      <c r="L101" s="162">
        <f t="shared" si="15"/>
        <v>0</v>
      </c>
      <c r="M101" s="162">
        <f>H101-N101-O101</f>
        <v>0</v>
      </c>
      <c r="N101" s="162">
        <v>0</v>
      </c>
      <c r="O101" s="162">
        <v>0</v>
      </c>
    </row>
    <row r="102" spans="1:15" x14ac:dyDescent="0.2">
      <c r="B102" s="125" t="s">
        <v>154</v>
      </c>
      <c r="C102" s="153">
        <v>2000000</v>
      </c>
      <c r="D102" s="154"/>
      <c r="E102" s="154"/>
      <c r="F102" s="162">
        <f>2000000</f>
        <v>2000000</v>
      </c>
      <c r="G102" s="163">
        <v>0</v>
      </c>
      <c r="H102" s="164">
        <v>0</v>
      </c>
      <c r="I102" s="162">
        <v>0</v>
      </c>
      <c r="J102" s="167">
        <v>0</v>
      </c>
      <c r="K102" s="167">
        <v>0</v>
      </c>
      <c r="L102" s="162">
        <f t="shared" si="15"/>
        <v>0</v>
      </c>
      <c r="M102" s="162">
        <f>H102-N102-O102</f>
        <v>0</v>
      </c>
      <c r="N102" s="162">
        <v>0</v>
      </c>
      <c r="O102" s="162">
        <v>0</v>
      </c>
    </row>
    <row r="103" spans="1:15" x14ac:dyDescent="0.2">
      <c r="B103" s="165" t="s">
        <v>112</v>
      </c>
      <c r="C103" s="153"/>
      <c r="D103" s="154"/>
      <c r="E103" s="154"/>
      <c r="F103" s="162"/>
      <c r="G103" s="163"/>
      <c r="H103" s="164"/>
      <c r="I103" s="162"/>
      <c r="J103" s="167"/>
      <c r="K103" s="167"/>
      <c r="L103" s="162"/>
      <c r="M103" s="162"/>
      <c r="N103" s="162"/>
      <c r="O103" s="162"/>
    </row>
    <row r="104" spans="1:15" x14ac:dyDescent="0.2">
      <c r="B104" s="125" t="s">
        <v>113</v>
      </c>
      <c r="C104" s="153">
        <v>7300000</v>
      </c>
      <c r="D104" s="154"/>
      <c r="E104" s="154"/>
      <c r="F104" s="162">
        <f>194905.04+7105094.96</f>
        <v>7300000</v>
      </c>
      <c r="G104" s="163">
        <v>0</v>
      </c>
      <c r="H104" s="164">
        <v>0</v>
      </c>
      <c r="I104" s="162">
        <f>[4]UMCP!I154</f>
        <v>0</v>
      </c>
      <c r="J104" s="167">
        <f>[4]UMCP!J154</f>
        <v>0</v>
      </c>
      <c r="K104" s="167">
        <f>[4]UMCP!K154</f>
        <v>0</v>
      </c>
      <c r="L104" s="162">
        <f t="shared" si="15"/>
        <v>0</v>
      </c>
      <c r="M104" s="162">
        <f t="shared" ref="M104:M117" si="16">H104-N104-O104</f>
        <v>0</v>
      </c>
      <c r="N104" s="162">
        <v>0</v>
      </c>
      <c r="O104" s="162">
        <v>0</v>
      </c>
    </row>
    <row r="105" spans="1:15" x14ac:dyDescent="0.2">
      <c r="B105" s="125" t="s">
        <v>114</v>
      </c>
      <c r="C105" s="153">
        <v>2675000</v>
      </c>
      <c r="D105" s="154"/>
      <c r="E105" s="154"/>
      <c r="F105" s="162">
        <f>431549.85+72768.56+10256.2</f>
        <v>514574.61</v>
      </c>
      <c r="G105" s="163">
        <v>2160425.39</v>
      </c>
      <c r="H105" s="164">
        <v>2086618.8499999996</v>
      </c>
      <c r="I105" s="162">
        <f>[4]UMB!I172</f>
        <v>0</v>
      </c>
      <c r="J105" s="167">
        <f>[4]UMB!J172</f>
        <v>0</v>
      </c>
      <c r="K105" s="167">
        <f>[4]UMB!K172</f>
        <v>0</v>
      </c>
      <c r="L105" s="162">
        <f t="shared" si="15"/>
        <v>73806.540000000503</v>
      </c>
      <c r="M105" s="162">
        <f t="shared" si="16"/>
        <v>967219.99999999965</v>
      </c>
      <c r="N105" s="162">
        <v>135937.27000000014</v>
      </c>
      <c r="O105" s="162">
        <v>983461.58</v>
      </c>
    </row>
    <row r="106" spans="1:15" x14ac:dyDescent="0.2">
      <c r="B106" s="125" t="s">
        <v>115</v>
      </c>
      <c r="C106" s="153">
        <v>642000</v>
      </c>
      <c r="D106" s="154"/>
      <c r="E106" s="154"/>
      <c r="F106" s="162">
        <f>550000+89800</f>
        <v>639800</v>
      </c>
      <c r="G106" s="163">
        <v>2200</v>
      </c>
      <c r="H106" s="164">
        <v>0</v>
      </c>
      <c r="I106" s="162">
        <f>[4]UMES!I95</f>
        <v>0</v>
      </c>
      <c r="J106" s="167">
        <f>[4]UMES!J95</f>
        <v>0</v>
      </c>
      <c r="K106" s="167">
        <f>[4]UMES!K95</f>
        <v>0</v>
      </c>
      <c r="L106" s="162">
        <f t="shared" si="15"/>
        <v>2200</v>
      </c>
      <c r="M106" s="162">
        <f t="shared" si="16"/>
        <v>0</v>
      </c>
      <c r="N106" s="162">
        <v>0</v>
      </c>
      <c r="O106" s="162">
        <v>0</v>
      </c>
    </row>
    <row r="107" spans="1:15" x14ac:dyDescent="0.2">
      <c r="B107" s="125" t="s">
        <v>116</v>
      </c>
      <c r="C107" s="153">
        <v>1452000</v>
      </c>
      <c r="D107" s="154"/>
      <c r="E107" s="154"/>
      <c r="F107" s="162">
        <f>75864.25</f>
        <v>75864.25</v>
      </c>
      <c r="G107" s="163">
        <v>1376135.75</v>
      </c>
      <c r="H107" s="164">
        <v>163019.81000000003</v>
      </c>
      <c r="I107" s="162">
        <f>[4]UMBC!I82</f>
        <v>0</v>
      </c>
      <c r="J107" s="167">
        <f>[4]UMBC!J82</f>
        <v>0</v>
      </c>
      <c r="K107" s="167">
        <f>[4]UMBC!K82</f>
        <v>0</v>
      </c>
      <c r="L107" s="162">
        <f t="shared" si="15"/>
        <v>1213115.94</v>
      </c>
      <c r="M107" s="162">
        <f t="shared" si="16"/>
        <v>28513.380000000005</v>
      </c>
      <c r="N107" s="162">
        <v>79381.630000000019</v>
      </c>
      <c r="O107" s="162">
        <v>55124.800000000003</v>
      </c>
    </row>
    <row r="108" spans="1:15" x14ac:dyDescent="0.2">
      <c r="B108" s="125" t="s">
        <v>117</v>
      </c>
      <c r="C108" s="153">
        <v>317000</v>
      </c>
      <c r="D108" s="154"/>
      <c r="E108" s="154"/>
      <c r="F108" s="162">
        <f>317000</f>
        <v>317000</v>
      </c>
      <c r="G108" s="163">
        <v>0</v>
      </c>
      <c r="H108" s="164">
        <v>0</v>
      </c>
      <c r="I108" s="162">
        <v>0</v>
      </c>
      <c r="J108" s="167">
        <v>0</v>
      </c>
      <c r="K108" s="167">
        <v>0</v>
      </c>
      <c r="L108" s="162">
        <f t="shared" si="15"/>
        <v>0</v>
      </c>
      <c r="M108" s="162">
        <f t="shared" si="16"/>
        <v>0</v>
      </c>
      <c r="N108" s="162">
        <v>0</v>
      </c>
      <c r="O108" s="162">
        <v>0</v>
      </c>
    </row>
    <row r="109" spans="1:15" s="175" customFormat="1" x14ac:dyDescent="0.2">
      <c r="B109" s="175" t="s">
        <v>118</v>
      </c>
      <c r="C109" s="176">
        <v>554000</v>
      </c>
      <c r="D109" s="177"/>
      <c r="E109" s="177"/>
      <c r="F109" s="178">
        <f>385023.91+8523.63</f>
        <v>393547.54</v>
      </c>
      <c r="G109" s="179">
        <v>160452.45999999996</v>
      </c>
      <c r="H109" s="179">
        <v>160452.46</v>
      </c>
      <c r="I109" s="178">
        <f>[4]BSU!I64</f>
        <v>0</v>
      </c>
      <c r="J109" s="180">
        <f>[4]BSU!J64</f>
        <v>0</v>
      </c>
      <c r="K109" s="180">
        <f>[4]BSU!K64</f>
        <v>0</v>
      </c>
      <c r="L109" s="178">
        <f t="shared" si="15"/>
        <v>-2.9103830456733704E-11</v>
      </c>
      <c r="M109" s="178">
        <f t="shared" si="16"/>
        <v>0</v>
      </c>
      <c r="N109" s="178">
        <v>160452.46</v>
      </c>
      <c r="O109" s="178">
        <v>0</v>
      </c>
    </row>
    <row r="110" spans="1:15" x14ac:dyDescent="0.2">
      <c r="B110" s="125" t="s">
        <v>119</v>
      </c>
      <c r="C110" s="153">
        <v>309000</v>
      </c>
      <c r="D110" s="154"/>
      <c r="E110" s="154"/>
      <c r="F110" s="162">
        <f>309000</f>
        <v>309000</v>
      </c>
      <c r="G110" s="163">
        <v>0</v>
      </c>
      <c r="H110" s="164">
        <v>0</v>
      </c>
      <c r="I110" s="162">
        <f>[4]CSU!I58</f>
        <v>0</v>
      </c>
      <c r="J110" s="167">
        <f>[4]CSU!J58</f>
        <v>0</v>
      </c>
      <c r="K110" s="167">
        <f>[4]CSU!K58</f>
        <v>0</v>
      </c>
      <c r="L110" s="162">
        <f t="shared" si="15"/>
        <v>0</v>
      </c>
      <c r="M110" s="162">
        <f t="shared" si="16"/>
        <v>0</v>
      </c>
      <c r="N110" s="162">
        <v>0</v>
      </c>
      <c r="O110" s="162">
        <v>0</v>
      </c>
    </row>
    <row r="111" spans="1:15" x14ac:dyDescent="0.2">
      <c r="B111" s="125" t="s">
        <v>120</v>
      </c>
      <c r="C111" s="153">
        <v>645000</v>
      </c>
      <c r="D111" s="154"/>
      <c r="E111" s="154"/>
      <c r="F111" s="162">
        <f>36199.86+216461.22+179395.12</f>
        <v>432056.2</v>
      </c>
      <c r="G111" s="163">
        <v>212943.80000000005</v>
      </c>
      <c r="H111" s="164">
        <v>212943.8</v>
      </c>
      <c r="I111" s="162">
        <f>[4]FSU!I109</f>
        <v>0</v>
      </c>
      <c r="J111" s="167">
        <f>[4]FSU!J109</f>
        <v>0</v>
      </c>
      <c r="K111" s="167">
        <f>[4]FSU!K109</f>
        <v>0</v>
      </c>
      <c r="L111" s="162">
        <f t="shared" si="15"/>
        <v>5.8207660913467407E-11</v>
      </c>
      <c r="M111" s="162">
        <f t="shared" si="16"/>
        <v>0</v>
      </c>
      <c r="N111" s="162">
        <v>0</v>
      </c>
      <c r="O111" s="162">
        <v>212943.8</v>
      </c>
    </row>
    <row r="112" spans="1:15" x14ac:dyDescent="0.2">
      <c r="B112" s="125" t="s">
        <v>137</v>
      </c>
      <c r="C112" s="153">
        <v>536000</v>
      </c>
      <c r="D112" s="154"/>
      <c r="E112" s="154"/>
      <c r="F112" s="162">
        <f>49413.17+486586.83</f>
        <v>536000</v>
      </c>
      <c r="G112" s="163">
        <v>0</v>
      </c>
      <c r="H112" s="164">
        <v>0</v>
      </c>
      <c r="I112" s="162">
        <f>[4]SU!I61</f>
        <v>0</v>
      </c>
      <c r="J112" s="167">
        <f>[4]SU!J61</f>
        <v>0</v>
      </c>
      <c r="K112" s="167">
        <f>[4]SU!K61</f>
        <v>0</v>
      </c>
      <c r="L112" s="162">
        <f t="shared" si="15"/>
        <v>0</v>
      </c>
      <c r="M112" s="162">
        <f t="shared" si="16"/>
        <v>0</v>
      </c>
      <c r="N112" s="162">
        <v>0</v>
      </c>
      <c r="O112" s="162">
        <v>0</v>
      </c>
    </row>
    <row r="113" spans="1:15" x14ac:dyDescent="0.2">
      <c r="B113" s="125" t="s">
        <v>122</v>
      </c>
      <c r="C113" s="153">
        <f>525000+575000+489000</f>
        <v>1589000</v>
      </c>
      <c r="D113" s="154"/>
      <c r="E113" s="154"/>
      <c r="F113" s="162">
        <f>360938.78+43732.93</f>
        <v>404671.71</v>
      </c>
      <c r="G113" s="163">
        <v>1184328.29</v>
      </c>
      <c r="H113" s="164">
        <v>1180075.1099999999</v>
      </c>
      <c r="I113" s="162">
        <f>[4]TU!I96+[4]TU!I112+[4]TU!I124</f>
        <v>0</v>
      </c>
      <c r="J113" s="167">
        <f>[4]TU!J96+[4]TU!J112+[4]TU!J124</f>
        <v>0</v>
      </c>
      <c r="K113" s="167">
        <f>[4]TU!K96+[4]TU!K112+[4]TU!K124</f>
        <v>0</v>
      </c>
      <c r="L113" s="162">
        <f t="shared" si="15"/>
        <v>4253.1800000001676</v>
      </c>
      <c r="M113" s="162">
        <f t="shared" si="16"/>
        <v>534094.31999999983</v>
      </c>
      <c r="N113" s="162">
        <v>474747.43000000005</v>
      </c>
      <c r="O113" s="162">
        <v>171233.36</v>
      </c>
    </row>
    <row r="114" spans="1:15" s="175" customFormat="1" x14ac:dyDescent="0.2">
      <c r="B114" s="175" t="s">
        <v>123</v>
      </c>
      <c r="C114" s="176">
        <v>418000</v>
      </c>
      <c r="D114" s="177"/>
      <c r="E114" s="177"/>
      <c r="F114" s="178">
        <f>157585.77+164124.54+19900+15132.35+4208.6</f>
        <v>360951.25999999995</v>
      </c>
      <c r="G114" s="179">
        <v>57048.739999999991</v>
      </c>
      <c r="H114" s="186">
        <v>42434.860000000008</v>
      </c>
      <c r="I114" s="178">
        <f>[4]UB!I88</f>
        <v>0</v>
      </c>
      <c r="J114" s="180">
        <f>[4]UB!J88</f>
        <v>0</v>
      </c>
      <c r="K114" s="180">
        <f>[4]UB!K88</f>
        <v>0</v>
      </c>
      <c r="L114" s="178">
        <f t="shared" si="15"/>
        <v>14613.879999999983</v>
      </c>
      <c r="M114" s="178">
        <f t="shared" si="16"/>
        <v>5025.760000000002</v>
      </c>
      <c r="N114" s="178">
        <v>10436.270000000004</v>
      </c>
      <c r="O114" s="178">
        <v>26972.83</v>
      </c>
    </row>
    <row r="115" spans="1:15" x14ac:dyDescent="0.2">
      <c r="B115" s="165" t="s">
        <v>127</v>
      </c>
      <c r="C115" s="153">
        <v>2209000</v>
      </c>
      <c r="D115" s="125"/>
      <c r="E115" s="162">
        <f>955.58+30+236864.83+43817.68+38000+113000+563000+287627.14-24627.14-1400000-1520000</f>
        <v>-1661331.91</v>
      </c>
      <c r="F115" s="162"/>
      <c r="G115" s="163">
        <v>547668.09000000032</v>
      </c>
      <c r="H115" s="164"/>
      <c r="I115" s="162"/>
      <c r="J115" s="167"/>
      <c r="K115" s="167"/>
      <c r="L115" s="162">
        <f t="shared" si="15"/>
        <v>547668.09000000032</v>
      </c>
      <c r="M115" s="162">
        <f t="shared" si="16"/>
        <v>0</v>
      </c>
      <c r="N115" s="162"/>
      <c r="O115" s="162"/>
    </row>
    <row r="116" spans="1:15" x14ac:dyDescent="0.2">
      <c r="B116" s="125" t="s">
        <v>155</v>
      </c>
      <c r="C116" s="153"/>
      <c r="D116" s="125"/>
      <c r="E116" s="162">
        <v>1400000</v>
      </c>
      <c r="F116" s="162">
        <f>301683.5+1098316.5</f>
        <v>1400000</v>
      </c>
      <c r="G116" s="163">
        <v>0</v>
      </c>
      <c r="H116" s="164">
        <v>0</v>
      </c>
      <c r="I116" s="162"/>
      <c r="J116" s="167"/>
      <c r="K116" s="167"/>
      <c r="L116" s="162">
        <f t="shared" si="15"/>
        <v>0</v>
      </c>
      <c r="M116" s="162">
        <f t="shared" si="16"/>
        <v>0</v>
      </c>
      <c r="N116" s="162">
        <v>0</v>
      </c>
      <c r="O116" s="162">
        <v>0</v>
      </c>
    </row>
    <row r="117" spans="1:15" x14ac:dyDescent="0.2">
      <c r="B117" s="125" t="s">
        <v>156</v>
      </c>
      <c r="C117" s="153"/>
      <c r="D117" s="125"/>
      <c r="E117" s="162">
        <v>1520000</v>
      </c>
      <c r="F117" s="162">
        <f>145740.07</f>
        <v>145740.07</v>
      </c>
      <c r="G117" s="163">
        <v>1374259.93</v>
      </c>
      <c r="H117" s="164">
        <v>1374259.93</v>
      </c>
      <c r="I117" s="162"/>
      <c r="J117" s="167"/>
      <c r="K117" s="167">
        <f>'[4]USM &amp; COI'!K49</f>
        <v>0</v>
      </c>
      <c r="L117" s="162">
        <f t="shared" si="15"/>
        <v>0</v>
      </c>
      <c r="M117" s="162">
        <f t="shared" si="16"/>
        <v>0</v>
      </c>
      <c r="N117" s="162">
        <v>744416.44</v>
      </c>
      <c r="O117" s="162">
        <v>629843.49</v>
      </c>
    </row>
    <row r="118" spans="1:15" x14ac:dyDescent="0.2">
      <c r="B118" s="165"/>
      <c r="C118" s="153"/>
      <c r="D118" s="154"/>
      <c r="E118" s="154"/>
      <c r="F118" s="162"/>
      <c r="G118" s="163"/>
      <c r="H118" s="164"/>
      <c r="I118" s="162"/>
      <c r="J118" s="167"/>
      <c r="K118" s="167"/>
      <c r="L118" s="162"/>
      <c r="M118" s="162"/>
      <c r="N118" s="162"/>
      <c r="O118" s="162"/>
    </row>
    <row r="119" spans="1:15" ht="13.5" thickBot="1" x14ac:dyDescent="0.25">
      <c r="B119" s="168" t="s">
        <v>157</v>
      </c>
      <c r="C119" s="169">
        <f>SUM(C98:C118)</f>
        <v>34000000</v>
      </c>
      <c r="D119" s="169">
        <f t="shared" ref="D119:O119" si="17">SUM(D98:D118)</f>
        <v>0</v>
      </c>
      <c r="E119" s="169">
        <f t="shared" si="17"/>
        <v>1258668.0900000001</v>
      </c>
      <c r="F119" s="169">
        <f>SUM(F98:F118)</f>
        <v>24315956.98</v>
      </c>
      <c r="G119" s="169">
        <f t="shared" si="17"/>
        <v>10942711.110000001</v>
      </c>
      <c r="H119" s="169">
        <f t="shared" si="17"/>
        <v>6278492.6499999994</v>
      </c>
      <c r="I119" s="169">
        <f t="shared" si="17"/>
        <v>0</v>
      </c>
      <c r="J119" s="169">
        <f t="shared" si="17"/>
        <v>0</v>
      </c>
      <c r="K119" s="169">
        <f t="shared" si="17"/>
        <v>0</v>
      </c>
      <c r="L119" s="169">
        <f t="shared" si="17"/>
        <v>4664218.4600000009</v>
      </c>
      <c r="M119" s="169">
        <f t="shared" si="17"/>
        <v>1877075.2899999993</v>
      </c>
      <c r="N119" s="169">
        <f t="shared" si="17"/>
        <v>2321837.5</v>
      </c>
      <c r="O119" s="169">
        <f t="shared" si="17"/>
        <v>2079579.86</v>
      </c>
    </row>
    <row r="120" spans="1:15" ht="13.5" thickTop="1" x14ac:dyDescent="0.2">
      <c r="B120" s="165"/>
      <c r="C120" s="153"/>
      <c r="D120" s="154"/>
      <c r="E120" s="154"/>
      <c r="F120" s="162"/>
      <c r="G120" s="163"/>
      <c r="H120" s="164"/>
      <c r="I120" s="162"/>
      <c r="J120" s="167"/>
      <c r="K120" s="167"/>
      <c r="L120" s="162"/>
      <c r="M120" s="162"/>
      <c r="N120" s="162"/>
      <c r="O120" s="162"/>
    </row>
    <row r="121" spans="1:15" x14ac:dyDescent="0.2">
      <c r="A121" s="165" t="s">
        <v>158</v>
      </c>
      <c r="C121" s="153"/>
      <c r="D121" s="154"/>
      <c r="E121" s="154"/>
      <c r="F121" s="187"/>
      <c r="G121" s="163"/>
      <c r="H121" s="164"/>
      <c r="I121" s="163"/>
      <c r="J121" s="163"/>
      <c r="K121" s="163"/>
      <c r="L121" s="162"/>
      <c r="M121" s="162"/>
      <c r="N121" s="162"/>
      <c r="O121" s="162"/>
    </row>
    <row r="122" spans="1:15" x14ac:dyDescent="0.2">
      <c r="B122" s="125" t="s">
        <v>159</v>
      </c>
      <c r="C122" s="153">
        <v>5000000</v>
      </c>
      <c r="D122" s="154"/>
      <c r="E122" s="154"/>
      <c r="F122" s="188">
        <f>1519594.09+758267.97+1278318.07</f>
        <v>3556180.13</v>
      </c>
      <c r="G122" s="163">
        <v>1443819.8700000003</v>
      </c>
      <c r="H122" s="164">
        <v>73368.990000000005</v>
      </c>
      <c r="I122" s="162">
        <f>[4]UMBC!I120</f>
        <v>0</v>
      </c>
      <c r="J122" s="167">
        <f>[4]UMBC!J120</f>
        <v>0</v>
      </c>
      <c r="K122" s="167">
        <f>[4]UMBC!K120</f>
        <v>0</v>
      </c>
      <c r="L122" s="162">
        <f>G122-H122-I122-J122-K122</f>
        <v>1370450.8800000004</v>
      </c>
      <c r="M122" s="162">
        <f t="shared" ref="M122:M141" si="18">H122-N122-O122</f>
        <v>70554.420000000013</v>
      </c>
      <c r="N122" s="162">
        <v>2814.5699999999997</v>
      </c>
      <c r="O122" s="162">
        <v>0</v>
      </c>
    </row>
    <row r="123" spans="1:15" x14ac:dyDescent="0.2">
      <c r="B123" s="125" t="s">
        <v>154</v>
      </c>
      <c r="C123" s="153">
        <v>2000000</v>
      </c>
      <c r="D123" s="154"/>
      <c r="E123" s="154"/>
      <c r="F123" s="163">
        <f>2000000</f>
        <v>2000000</v>
      </c>
      <c r="G123" s="163">
        <v>0</v>
      </c>
      <c r="H123" s="164">
        <v>0</v>
      </c>
      <c r="I123" s="162">
        <v>0</v>
      </c>
      <c r="J123" s="167">
        <v>0</v>
      </c>
      <c r="K123" s="167">
        <v>0</v>
      </c>
      <c r="L123" s="162">
        <f>G123-H123-I123-J123-K123</f>
        <v>0</v>
      </c>
      <c r="M123" s="162">
        <f t="shared" si="18"/>
        <v>0</v>
      </c>
      <c r="N123" s="162">
        <v>0</v>
      </c>
      <c r="O123" s="162">
        <v>0</v>
      </c>
    </row>
    <row r="124" spans="1:15" x14ac:dyDescent="0.2">
      <c r="B124" s="165" t="s">
        <v>112</v>
      </c>
      <c r="C124" s="153"/>
      <c r="D124" s="154"/>
      <c r="E124" s="154"/>
      <c r="F124" s="163"/>
      <c r="G124" s="163"/>
      <c r="H124" s="164"/>
      <c r="I124" s="162"/>
      <c r="J124" s="167"/>
      <c r="K124" s="167"/>
      <c r="L124" s="162"/>
      <c r="M124" s="162"/>
      <c r="N124" s="162"/>
      <c r="O124" s="162"/>
    </row>
    <row r="125" spans="1:15" x14ac:dyDescent="0.2">
      <c r="B125" s="125" t="s">
        <v>113</v>
      </c>
      <c r="C125" s="153">
        <v>7300000</v>
      </c>
      <c r="D125" s="154"/>
      <c r="E125" s="154"/>
      <c r="F125" s="163">
        <f>7300000</f>
        <v>7300000</v>
      </c>
      <c r="G125" s="163">
        <v>0</v>
      </c>
      <c r="H125" s="164">
        <v>0</v>
      </c>
      <c r="I125" s="162">
        <v>0</v>
      </c>
      <c r="J125" s="167">
        <v>0</v>
      </c>
      <c r="K125" s="167">
        <v>0</v>
      </c>
      <c r="L125" s="162">
        <f>G125-H125-I125-J125-K125</f>
        <v>0</v>
      </c>
      <c r="M125" s="162">
        <f t="shared" si="18"/>
        <v>0</v>
      </c>
      <c r="N125" s="162">
        <v>0</v>
      </c>
      <c r="O125" s="162">
        <v>0</v>
      </c>
    </row>
    <row r="126" spans="1:15" x14ac:dyDescent="0.2">
      <c r="B126" s="125" t="s">
        <v>114</v>
      </c>
      <c r="C126" s="153">
        <v>2675000</v>
      </c>
      <c r="D126" s="154"/>
      <c r="E126" s="154"/>
      <c r="F126" s="162">
        <f>13390+405590.39+429133.23</f>
        <v>848113.62</v>
      </c>
      <c r="G126" s="163">
        <v>1826886.38</v>
      </c>
      <c r="H126" s="164">
        <v>1026172.55</v>
      </c>
      <c r="I126" s="162">
        <f>[4]UMB!I195</f>
        <v>0</v>
      </c>
      <c r="J126" s="167">
        <f>[4]UMB!J195</f>
        <v>0</v>
      </c>
      <c r="K126" s="167">
        <f>[4]UMB!K195</f>
        <v>0</v>
      </c>
      <c r="L126" s="162">
        <f t="shared" ref="L126:L141" si="19">G126-H126-I126-J126-K126</f>
        <v>800713.82999999984</v>
      </c>
      <c r="M126" s="162">
        <f t="shared" si="18"/>
        <v>19821.059999999939</v>
      </c>
      <c r="N126" s="162">
        <v>202099.75000000012</v>
      </c>
      <c r="O126" s="162">
        <v>804251.74</v>
      </c>
    </row>
    <row r="127" spans="1:15" x14ac:dyDescent="0.2">
      <c r="B127" s="125" t="s">
        <v>115</v>
      </c>
      <c r="C127" s="153">
        <v>642000</v>
      </c>
      <c r="D127" s="154"/>
      <c r="E127" s="154"/>
      <c r="F127" s="162">
        <v>832.28</v>
      </c>
      <c r="G127" s="163">
        <v>641167.72</v>
      </c>
      <c r="H127" s="164">
        <v>519500.06000000011</v>
      </c>
      <c r="I127" s="162">
        <f>[4]UMES!I118</f>
        <v>0</v>
      </c>
      <c r="J127" s="167">
        <f>[4]UMES!J118</f>
        <v>0</v>
      </c>
      <c r="K127" s="167">
        <f>[4]UMES!K118</f>
        <v>0</v>
      </c>
      <c r="L127" s="162">
        <f t="shared" si="19"/>
        <v>121667.65999999986</v>
      </c>
      <c r="M127" s="162">
        <f t="shared" si="18"/>
        <v>39843.630000000005</v>
      </c>
      <c r="N127" s="162">
        <v>479656.43000000011</v>
      </c>
      <c r="O127" s="162">
        <v>0</v>
      </c>
    </row>
    <row r="128" spans="1:15" x14ac:dyDescent="0.2">
      <c r="B128" s="125" t="s">
        <v>116</v>
      </c>
      <c r="C128" s="153">
        <v>1452000</v>
      </c>
      <c r="D128" s="154"/>
      <c r="E128" s="154"/>
      <c r="F128" s="162">
        <f>340834.58+54036.14+38394.56</f>
        <v>433265.28</v>
      </c>
      <c r="G128" s="163">
        <v>1018734.72</v>
      </c>
      <c r="H128" s="164">
        <v>251929.83000000002</v>
      </c>
      <c r="I128" s="162">
        <f>[4]UMBC!I108</f>
        <v>0</v>
      </c>
      <c r="J128" s="167">
        <f>[4]UMBC!J108</f>
        <v>0</v>
      </c>
      <c r="K128" s="167">
        <f>[4]UMBC!K108</f>
        <v>0</v>
      </c>
      <c r="L128" s="162">
        <f t="shared" si="19"/>
        <v>766804.8899999999</v>
      </c>
      <c r="M128" s="162">
        <f t="shared" si="18"/>
        <v>96707.000000000029</v>
      </c>
      <c r="N128" s="162">
        <v>118919.48999999999</v>
      </c>
      <c r="O128" s="162">
        <v>36303.339999999997</v>
      </c>
    </row>
    <row r="129" spans="2:15" x14ac:dyDescent="0.2">
      <c r="B129" s="125" t="s">
        <v>117</v>
      </c>
      <c r="C129" s="153">
        <v>317000</v>
      </c>
      <c r="D129" s="154"/>
      <c r="E129" s="154"/>
      <c r="F129" s="162">
        <v>317000</v>
      </c>
      <c r="G129" s="163">
        <v>0</v>
      </c>
      <c r="H129" s="164">
        <v>0</v>
      </c>
      <c r="I129" s="162">
        <v>0</v>
      </c>
      <c r="J129" s="167">
        <v>0</v>
      </c>
      <c r="K129" s="167">
        <v>0</v>
      </c>
      <c r="L129" s="162">
        <f t="shared" si="19"/>
        <v>0</v>
      </c>
      <c r="M129" s="162">
        <f t="shared" si="18"/>
        <v>0</v>
      </c>
      <c r="N129" s="162">
        <v>0</v>
      </c>
      <c r="O129" s="162">
        <v>0</v>
      </c>
    </row>
    <row r="130" spans="2:15" x14ac:dyDescent="0.2">
      <c r="B130" s="125" t="s">
        <v>118</v>
      </c>
      <c r="C130" s="153">
        <v>554000</v>
      </c>
      <c r="D130" s="154"/>
      <c r="E130" s="154"/>
      <c r="F130" s="162">
        <f>144688.18+409311.82</f>
        <v>554000</v>
      </c>
      <c r="G130" s="163">
        <v>0</v>
      </c>
      <c r="H130" s="164">
        <v>0</v>
      </c>
      <c r="I130" s="162">
        <v>0</v>
      </c>
      <c r="J130" s="167">
        <v>0</v>
      </c>
      <c r="K130" s="167">
        <v>0</v>
      </c>
      <c r="L130" s="162">
        <f t="shared" si="19"/>
        <v>0</v>
      </c>
      <c r="M130" s="162">
        <f t="shared" si="18"/>
        <v>0</v>
      </c>
      <c r="N130" s="162">
        <v>0</v>
      </c>
      <c r="O130" s="162">
        <v>0</v>
      </c>
    </row>
    <row r="131" spans="2:15" x14ac:dyDescent="0.2">
      <c r="B131" s="125" t="s">
        <v>119</v>
      </c>
      <c r="C131" s="153">
        <v>654000</v>
      </c>
      <c r="D131" s="154"/>
      <c r="E131" s="154"/>
      <c r="F131" s="162">
        <f>405006.46+248993.54</f>
        <v>654000</v>
      </c>
      <c r="G131" s="163">
        <v>0</v>
      </c>
      <c r="H131" s="164">
        <v>0</v>
      </c>
      <c r="I131" s="162">
        <f>[4]CSU!I68</f>
        <v>0</v>
      </c>
      <c r="J131" s="167">
        <f>[4]CSU!J68</f>
        <v>0</v>
      </c>
      <c r="K131" s="167">
        <f>[4]CSU!K68</f>
        <v>0</v>
      </c>
      <c r="L131" s="162">
        <f t="shared" si="19"/>
        <v>0</v>
      </c>
      <c r="M131" s="162">
        <f t="shared" si="18"/>
        <v>0</v>
      </c>
      <c r="N131" s="162">
        <v>0</v>
      </c>
      <c r="O131" s="162">
        <v>0</v>
      </c>
    </row>
    <row r="132" spans="2:15" x14ac:dyDescent="0.2">
      <c r="B132" s="125" t="s">
        <v>120</v>
      </c>
      <c r="C132" s="153">
        <v>400000</v>
      </c>
      <c r="D132" s="154"/>
      <c r="E132" s="154"/>
      <c r="F132" s="162">
        <f>96350+239419.19</f>
        <v>335769.19</v>
      </c>
      <c r="G132" s="163">
        <v>64230.809999999969</v>
      </c>
      <c r="H132" s="164">
        <v>64230.810000000005</v>
      </c>
      <c r="I132" s="162">
        <f>[4]FSU!I122</f>
        <v>0</v>
      </c>
      <c r="J132" s="167">
        <f>[4]FSU!J122</f>
        <v>0</v>
      </c>
      <c r="K132" s="167">
        <f>[4]FSU!K122</f>
        <v>0</v>
      </c>
      <c r="L132" s="162">
        <f t="shared" si="19"/>
        <v>-3.637978807091713E-11</v>
      </c>
      <c r="M132" s="162">
        <f t="shared" si="18"/>
        <v>0</v>
      </c>
      <c r="N132" s="162">
        <v>47239.340000000004</v>
      </c>
      <c r="O132" s="162">
        <v>16991.47</v>
      </c>
    </row>
    <row r="133" spans="2:15" x14ac:dyDescent="0.2">
      <c r="B133" s="125" t="s">
        <v>137</v>
      </c>
      <c r="C133" s="153">
        <v>536000</v>
      </c>
      <c r="D133" s="154"/>
      <c r="E133" s="154"/>
      <c r="F133" s="162">
        <f>742.5+328152.75</f>
        <v>328895.25</v>
      </c>
      <c r="G133" s="163">
        <v>207104.75</v>
      </c>
      <c r="H133" s="164">
        <v>206747.25</v>
      </c>
      <c r="I133" s="162">
        <f>[4]SU!I72</f>
        <v>0</v>
      </c>
      <c r="J133" s="167">
        <f>[4]SU!J72</f>
        <v>0</v>
      </c>
      <c r="K133" s="167">
        <f>[4]SU!K72</f>
        <v>0</v>
      </c>
      <c r="L133" s="162">
        <f t="shared" si="19"/>
        <v>357.5</v>
      </c>
      <c r="M133" s="162">
        <f t="shared" si="18"/>
        <v>0</v>
      </c>
      <c r="N133" s="162">
        <v>204528</v>
      </c>
      <c r="O133" s="162">
        <v>2219.25</v>
      </c>
    </row>
    <row r="134" spans="2:15" x14ac:dyDescent="0.2">
      <c r="B134" s="125" t="s">
        <v>122</v>
      </c>
      <c r="C134" s="153">
        <v>1589000</v>
      </c>
      <c r="D134" s="154"/>
      <c r="E134" s="154"/>
      <c r="F134" s="162">
        <f>367011.51+207988.49+357268.33+489000</f>
        <v>1421268.33</v>
      </c>
      <c r="G134" s="163">
        <v>167731.66999999998</v>
      </c>
      <c r="H134" s="164">
        <v>167731.07</v>
      </c>
      <c r="I134" s="162">
        <f>[4]TU!I133+[4]TU!I146+[4]TU!I154</f>
        <v>0</v>
      </c>
      <c r="J134" s="167">
        <f>[4]TU!J133+[4]TU!J146+[4]TU!J154</f>
        <v>0</v>
      </c>
      <c r="K134" s="167">
        <f>[4]TU!K133+[4]TU!K146+[4]TU!K154</f>
        <v>0</v>
      </c>
      <c r="L134" s="162">
        <f t="shared" si="19"/>
        <v>0.59999999997671694</v>
      </c>
      <c r="M134" s="162">
        <f t="shared" si="18"/>
        <v>0</v>
      </c>
      <c r="N134" s="162">
        <v>122671.07</v>
      </c>
      <c r="O134" s="162">
        <v>45060</v>
      </c>
    </row>
    <row r="135" spans="2:15" x14ac:dyDescent="0.2">
      <c r="B135" s="125" t="s">
        <v>123</v>
      </c>
      <c r="C135" s="153">
        <v>418000</v>
      </c>
      <c r="D135" s="154"/>
      <c r="E135" s="154"/>
      <c r="F135" s="162">
        <f>13371.5+295046.47+23808.8</f>
        <v>332226.76999999996</v>
      </c>
      <c r="G135" s="163">
        <v>85773.230000000025</v>
      </c>
      <c r="H135" s="164">
        <v>76509.91</v>
      </c>
      <c r="I135" s="162">
        <f>[4]UB!I105</f>
        <v>0</v>
      </c>
      <c r="J135" s="167">
        <f>[4]UB!J105</f>
        <v>0</v>
      </c>
      <c r="K135" s="167">
        <f>[4]UB!K105</f>
        <v>0</v>
      </c>
      <c r="L135" s="162">
        <f t="shared" si="19"/>
        <v>9263.3200000000215</v>
      </c>
      <c r="M135" s="162">
        <f t="shared" si="18"/>
        <v>76509.91</v>
      </c>
      <c r="N135" s="162">
        <v>0</v>
      </c>
      <c r="O135" s="162">
        <v>0</v>
      </c>
    </row>
    <row r="136" spans="2:15" x14ac:dyDescent="0.2">
      <c r="B136" s="189" t="s">
        <v>127</v>
      </c>
      <c r="C136" s="153">
        <v>463000</v>
      </c>
      <c r="D136" s="135"/>
      <c r="E136" s="162">
        <f>8697.6+177641.14+50128.27+162025.87+2318.6+2348.4+847+80.78+16856.95+4079.92+81129.75+3352.47+311231.58-130000+5410.7+0.44+569.73+0.7-88000-200000-315000-228000</f>
        <v>-134280.10000000009</v>
      </c>
      <c r="F136" s="162"/>
      <c r="G136" s="163">
        <v>328719.89999999991</v>
      </c>
      <c r="H136" s="164">
        <v>0</v>
      </c>
      <c r="I136" s="162"/>
      <c r="J136" s="167"/>
      <c r="K136" s="167"/>
      <c r="L136" s="162">
        <f t="shared" si="19"/>
        <v>328719.89999999991</v>
      </c>
      <c r="M136" s="162">
        <f t="shared" si="18"/>
        <v>0</v>
      </c>
      <c r="N136" s="162">
        <v>0</v>
      </c>
      <c r="O136" s="162"/>
    </row>
    <row r="137" spans="2:15" x14ac:dyDescent="0.2">
      <c r="B137" s="125" t="s">
        <v>162</v>
      </c>
      <c r="C137" s="153"/>
      <c r="D137" s="125"/>
      <c r="E137" s="162">
        <v>130000</v>
      </c>
      <c r="F137" s="162"/>
      <c r="G137" s="163">
        <v>130000</v>
      </c>
      <c r="H137" s="164">
        <v>0</v>
      </c>
      <c r="I137" s="162">
        <v>0</v>
      </c>
      <c r="J137" s="167">
        <f>[4]UMCP!J7</f>
        <v>0</v>
      </c>
      <c r="K137" s="167">
        <f>[4]UMCP!K7</f>
        <v>0</v>
      </c>
      <c r="L137" s="162">
        <f t="shared" si="19"/>
        <v>130000</v>
      </c>
      <c r="M137" s="162">
        <f t="shared" si="18"/>
        <v>0</v>
      </c>
      <c r="N137" s="162">
        <v>0</v>
      </c>
      <c r="O137" s="162">
        <v>0</v>
      </c>
    </row>
    <row r="138" spans="2:15" x14ac:dyDescent="0.2">
      <c r="B138" s="125" t="s">
        <v>163</v>
      </c>
      <c r="C138" s="153"/>
      <c r="D138" s="125"/>
      <c r="E138" s="162">
        <v>88000</v>
      </c>
      <c r="F138" s="162"/>
      <c r="G138" s="163">
        <v>88000</v>
      </c>
      <c r="H138" s="164">
        <v>0</v>
      </c>
      <c r="I138" s="162"/>
      <c r="J138" s="167"/>
      <c r="K138" s="167"/>
      <c r="L138" s="162">
        <f t="shared" si="19"/>
        <v>88000</v>
      </c>
      <c r="M138" s="162">
        <f t="shared" si="18"/>
        <v>0</v>
      </c>
      <c r="N138" s="162">
        <v>0</v>
      </c>
      <c r="O138" s="162">
        <v>0</v>
      </c>
    </row>
    <row r="139" spans="2:15" x14ac:dyDescent="0.2">
      <c r="B139" s="190" t="s">
        <v>164</v>
      </c>
      <c r="C139" s="153"/>
      <c r="D139" s="125"/>
      <c r="E139" s="162">
        <v>200000</v>
      </c>
      <c r="F139" s="162"/>
      <c r="G139" s="163">
        <v>200000</v>
      </c>
      <c r="H139" s="164">
        <v>200000</v>
      </c>
      <c r="I139" s="162"/>
      <c r="J139" s="167"/>
      <c r="K139" s="167"/>
      <c r="L139" s="162">
        <f t="shared" si="19"/>
        <v>0</v>
      </c>
      <c r="M139" s="162">
        <f t="shared" si="18"/>
        <v>200000</v>
      </c>
      <c r="N139" s="162">
        <v>0</v>
      </c>
      <c r="O139" s="162">
        <v>0</v>
      </c>
    </row>
    <row r="140" spans="2:15" x14ac:dyDescent="0.2">
      <c r="B140" s="190" t="s">
        <v>165</v>
      </c>
      <c r="C140" s="153"/>
      <c r="D140" s="125"/>
      <c r="E140" s="162">
        <v>315000</v>
      </c>
      <c r="F140" s="162"/>
      <c r="G140" s="163">
        <v>315000</v>
      </c>
      <c r="H140" s="164">
        <v>0</v>
      </c>
      <c r="I140" s="162"/>
      <c r="J140" s="167"/>
      <c r="K140" s="167"/>
      <c r="L140" s="162">
        <f t="shared" si="19"/>
        <v>315000</v>
      </c>
      <c r="M140" s="162">
        <f t="shared" si="18"/>
        <v>0</v>
      </c>
      <c r="N140" s="162">
        <v>0</v>
      </c>
      <c r="O140" s="162"/>
    </row>
    <row r="141" spans="2:15" x14ac:dyDescent="0.2">
      <c r="B141" s="190" t="s">
        <v>384</v>
      </c>
      <c r="C141" s="153"/>
      <c r="D141" s="125"/>
      <c r="E141" s="162">
        <v>228000</v>
      </c>
      <c r="F141" s="162"/>
      <c r="G141" s="163">
        <v>228000</v>
      </c>
      <c r="H141" s="164">
        <v>0</v>
      </c>
      <c r="I141" s="162"/>
      <c r="J141" s="167"/>
      <c r="K141" s="167"/>
      <c r="L141" s="162">
        <f t="shared" si="19"/>
        <v>228000</v>
      </c>
      <c r="M141" s="162">
        <f t="shared" si="18"/>
        <v>0</v>
      </c>
      <c r="N141" s="162"/>
      <c r="O141" s="162"/>
    </row>
    <row r="142" spans="2:15" x14ac:dyDescent="0.2">
      <c r="C142" s="153"/>
      <c r="D142" s="154"/>
      <c r="E142" s="154"/>
      <c r="F142" s="162"/>
      <c r="G142" s="156"/>
      <c r="H142" s="157"/>
      <c r="I142" s="154"/>
      <c r="J142" s="158"/>
      <c r="K142" s="158"/>
      <c r="L142" s="154"/>
      <c r="M142" s="154"/>
      <c r="N142" s="154"/>
      <c r="O142" s="154"/>
    </row>
    <row r="143" spans="2:15" ht="13.5" thickBot="1" x14ac:dyDescent="0.25">
      <c r="B143" s="168" t="s">
        <v>166</v>
      </c>
      <c r="C143" s="169">
        <f t="shared" ref="C143:O143" si="20">SUM(C122:C142)</f>
        <v>24000000</v>
      </c>
      <c r="D143" s="169">
        <f t="shared" si="20"/>
        <v>0</v>
      </c>
      <c r="E143" s="169">
        <f t="shared" si="20"/>
        <v>826719.89999999991</v>
      </c>
      <c r="F143" s="169">
        <f t="shared" si="20"/>
        <v>18081550.849999998</v>
      </c>
      <c r="G143" s="169">
        <f t="shared" si="20"/>
        <v>6745169.0499999989</v>
      </c>
      <c r="H143" s="169">
        <f t="shared" si="20"/>
        <v>2586190.4700000002</v>
      </c>
      <c r="I143" s="169">
        <f t="shared" si="20"/>
        <v>0</v>
      </c>
      <c r="J143" s="169">
        <f t="shared" si="20"/>
        <v>0</v>
      </c>
      <c r="K143" s="169">
        <f>SUM(K122:K142)</f>
        <v>0</v>
      </c>
      <c r="L143" s="169">
        <f t="shared" si="20"/>
        <v>4158978.5799999996</v>
      </c>
      <c r="M143" s="169">
        <f t="shared" si="20"/>
        <v>503436.02</v>
      </c>
      <c r="N143" s="169">
        <f t="shared" si="20"/>
        <v>1177928.6500000001</v>
      </c>
      <c r="O143" s="169">
        <f t="shared" si="20"/>
        <v>904825.79999999993</v>
      </c>
    </row>
    <row r="144" spans="2:15" ht="13.5" thickTop="1" x14ac:dyDescent="0.2">
      <c r="B144" s="165"/>
      <c r="C144" s="153"/>
      <c r="D144" s="153"/>
      <c r="E144" s="153"/>
      <c r="F144" s="153"/>
      <c r="G144" s="153"/>
      <c r="H144" s="153"/>
      <c r="I144" s="153"/>
      <c r="J144" s="153"/>
      <c r="K144" s="153"/>
      <c r="L144" s="153"/>
      <c r="M144" s="153"/>
      <c r="N144" s="153"/>
      <c r="O144" s="153"/>
    </row>
    <row r="145" spans="1:15" x14ac:dyDescent="0.2">
      <c r="A145" s="165" t="s">
        <v>167</v>
      </c>
      <c r="C145" s="153"/>
      <c r="D145" s="154"/>
      <c r="E145" s="154"/>
      <c r="F145" s="162"/>
      <c r="G145" s="163"/>
      <c r="H145" s="164"/>
      <c r="I145" s="163"/>
      <c r="J145" s="163"/>
      <c r="K145" s="163"/>
      <c r="L145" s="162"/>
      <c r="M145" s="162"/>
      <c r="N145" s="162"/>
      <c r="O145" s="162"/>
    </row>
    <row r="146" spans="1:15" hidden="1" x14ac:dyDescent="0.2">
      <c r="B146" s="125" t="s">
        <v>168</v>
      </c>
      <c r="C146" s="153">
        <v>5000000</v>
      </c>
      <c r="D146" s="154"/>
      <c r="E146" s="154"/>
      <c r="F146" s="163">
        <v>5000000</v>
      </c>
      <c r="G146" s="163">
        <v>0</v>
      </c>
      <c r="H146" s="164">
        <v>0</v>
      </c>
      <c r="I146" s="162">
        <v>0</v>
      </c>
      <c r="J146" s="167">
        <v>0</v>
      </c>
      <c r="K146" s="167">
        <v>0</v>
      </c>
      <c r="L146" s="162">
        <f>G146-H146-I146-J146-K146</f>
        <v>0</v>
      </c>
      <c r="M146" s="162"/>
      <c r="N146" s="162"/>
      <c r="O146" s="162">
        <f>H144+K144</f>
        <v>0</v>
      </c>
    </row>
    <row r="147" spans="1:15" hidden="1" x14ac:dyDescent="0.2">
      <c r="B147" s="125" t="s">
        <v>169</v>
      </c>
      <c r="C147" s="153">
        <v>10000000</v>
      </c>
      <c r="D147" s="154"/>
      <c r="E147" s="154"/>
      <c r="F147" s="163">
        <f>317972.61+9676071.5+5955.89</f>
        <v>10000000</v>
      </c>
      <c r="G147" s="163">
        <v>0</v>
      </c>
      <c r="H147" s="164">
        <v>0</v>
      </c>
      <c r="I147" s="162">
        <v>0</v>
      </c>
      <c r="J147" s="167">
        <v>0</v>
      </c>
      <c r="K147" s="167">
        <v>0</v>
      </c>
      <c r="L147" s="162">
        <f>G147-H147-I147-J147-K147</f>
        <v>0</v>
      </c>
      <c r="M147" s="162"/>
      <c r="N147" s="162"/>
      <c r="O147" s="162">
        <f>H145+K145</f>
        <v>0</v>
      </c>
    </row>
    <row r="148" spans="1:15" x14ac:dyDescent="0.2">
      <c r="B148" s="165" t="s">
        <v>112</v>
      </c>
      <c r="C148" s="153"/>
      <c r="D148" s="154"/>
      <c r="E148" s="154"/>
      <c r="F148" s="163"/>
      <c r="G148" s="163"/>
      <c r="H148" s="164"/>
      <c r="I148" s="162"/>
      <c r="J148" s="167"/>
      <c r="K148" s="167"/>
      <c r="L148" s="162"/>
      <c r="M148" s="162"/>
      <c r="N148" s="162"/>
      <c r="O148" s="162"/>
    </row>
    <row r="149" spans="1:15" hidden="1" x14ac:dyDescent="0.2">
      <c r="B149" s="125" t="s">
        <v>113</v>
      </c>
      <c r="C149" s="153">
        <v>7300000</v>
      </c>
      <c r="D149" s="154"/>
      <c r="E149" s="154"/>
      <c r="F149" s="163">
        <f>2171056.95+5128943.05</f>
        <v>7300000</v>
      </c>
      <c r="G149" s="163">
        <v>0</v>
      </c>
      <c r="H149" s="164">
        <v>0</v>
      </c>
      <c r="I149" s="162">
        <v>0</v>
      </c>
      <c r="J149" s="167">
        <v>0</v>
      </c>
      <c r="K149" s="167">
        <v>0</v>
      </c>
      <c r="L149" s="162">
        <f t="shared" ref="L149:L161" si="21">G149-H149-I149-J149-K149</f>
        <v>0</v>
      </c>
      <c r="M149" s="162"/>
      <c r="N149" s="162"/>
      <c r="O149" s="162">
        <f>H147+K147</f>
        <v>0</v>
      </c>
    </row>
    <row r="150" spans="1:15" x14ac:dyDescent="0.2">
      <c r="B150" s="125" t="s">
        <v>114</v>
      </c>
      <c r="C150" s="153">
        <v>2675000</v>
      </c>
      <c r="D150" s="154"/>
      <c r="E150" s="154"/>
      <c r="F150" s="162">
        <f>36926.03+655774.19+47446</f>
        <v>740146.22</v>
      </c>
      <c r="G150" s="163">
        <v>1934853.7800000003</v>
      </c>
      <c r="H150" s="164">
        <v>1415819.2899999998</v>
      </c>
      <c r="I150" s="162">
        <f>[4]UMB!I222</f>
        <v>0</v>
      </c>
      <c r="J150" s="167">
        <f>[4]UMB!J222</f>
        <v>0</v>
      </c>
      <c r="K150" s="167">
        <f>[4]UMB!K222</f>
        <v>0</v>
      </c>
      <c r="L150" s="162">
        <f t="shared" si="21"/>
        <v>519034.49000000046</v>
      </c>
      <c r="M150" s="162">
        <f t="shared" ref="M150:M161" si="22">H150-N150-O150</f>
        <v>470506.7699999999</v>
      </c>
      <c r="N150" s="162">
        <v>419725.30999999994</v>
      </c>
      <c r="O150" s="162">
        <v>525587.21</v>
      </c>
    </row>
    <row r="151" spans="1:15" x14ac:dyDescent="0.2">
      <c r="B151" s="125" t="s">
        <v>115</v>
      </c>
      <c r="C151" s="153">
        <v>642000</v>
      </c>
      <c r="D151" s="154"/>
      <c r="E151" s="154"/>
      <c r="F151" s="162">
        <f>71845.71+290497.77</f>
        <v>362343.48000000004</v>
      </c>
      <c r="G151" s="163">
        <v>279656.52</v>
      </c>
      <c r="H151" s="164">
        <v>1473.29</v>
      </c>
      <c r="I151" s="162">
        <f>[4]UMES!I128</f>
        <v>0</v>
      </c>
      <c r="J151" s="167">
        <f>[4]UMES!J128</f>
        <v>0</v>
      </c>
      <c r="K151" s="167">
        <f>[4]UMES!K128</f>
        <v>0</v>
      </c>
      <c r="L151" s="162">
        <f t="shared" si="21"/>
        <v>278183.23000000004</v>
      </c>
      <c r="M151" s="162">
        <f t="shared" si="22"/>
        <v>0</v>
      </c>
      <c r="N151" s="162">
        <v>0</v>
      </c>
      <c r="O151" s="162">
        <v>1473.29</v>
      </c>
    </row>
    <row r="152" spans="1:15" hidden="1" x14ac:dyDescent="0.2">
      <c r="B152" s="125" t="s">
        <v>116</v>
      </c>
      <c r="C152" s="153">
        <v>1452000</v>
      </c>
      <c r="D152" s="154"/>
      <c r="E152" s="154"/>
      <c r="F152" s="162">
        <f>1452000</f>
        <v>1452000</v>
      </c>
      <c r="G152" s="163">
        <v>0</v>
      </c>
      <c r="H152" s="164">
        <v>0</v>
      </c>
      <c r="I152" s="162">
        <v>0</v>
      </c>
      <c r="J152" s="167">
        <v>0</v>
      </c>
      <c r="K152" s="167">
        <v>0</v>
      </c>
      <c r="L152" s="162">
        <f t="shared" si="21"/>
        <v>0</v>
      </c>
      <c r="M152" s="162">
        <f t="shared" si="22"/>
        <v>0</v>
      </c>
      <c r="N152" s="162">
        <v>0</v>
      </c>
      <c r="O152" s="162">
        <f>H152+I152+J152+K152</f>
        <v>0</v>
      </c>
    </row>
    <row r="153" spans="1:15" hidden="1" x14ac:dyDescent="0.2">
      <c r="B153" s="125" t="s">
        <v>117</v>
      </c>
      <c r="C153" s="153">
        <v>317000</v>
      </c>
      <c r="D153" s="154"/>
      <c r="E153" s="154"/>
      <c r="F153" s="162">
        <v>317000</v>
      </c>
      <c r="G153" s="163">
        <v>0</v>
      </c>
      <c r="H153" s="164">
        <v>0</v>
      </c>
      <c r="I153" s="162">
        <v>0</v>
      </c>
      <c r="J153" s="167">
        <v>0</v>
      </c>
      <c r="K153" s="167">
        <v>0</v>
      </c>
      <c r="L153" s="162">
        <f t="shared" si="21"/>
        <v>0</v>
      </c>
      <c r="M153" s="162">
        <f t="shared" si="22"/>
        <v>0</v>
      </c>
      <c r="N153" s="162">
        <v>0</v>
      </c>
      <c r="O153" s="162">
        <f>H153+I153+J153+K153</f>
        <v>0</v>
      </c>
    </row>
    <row r="154" spans="1:15" x14ac:dyDescent="0.2">
      <c r="B154" s="125" t="s">
        <v>118</v>
      </c>
      <c r="C154" s="153">
        <v>554000</v>
      </c>
      <c r="D154" s="154"/>
      <c r="E154" s="154"/>
      <c r="F154" s="162">
        <f>159826.61+42301.37</f>
        <v>202127.97999999998</v>
      </c>
      <c r="G154" s="163">
        <v>351872.02</v>
      </c>
      <c r="H154" s="164">
        <v>351872.02</v>
      </c>
      <c r="I154" s="162">
        <f>[4]BSU!I80</f>
        <v>0</v>
      </c>
      <c r="J154" s="167">
        <f>[4]BSU!J80</f>
        <v>0</v>
      </c>
      <c r="K154" s="167">
        <f>[4]BSU!K80</f>
        <v>0</v>
      </c>
      <c r="L154" s="162">
        <f t="shared" si="21"/>
        <v>0</v>
      </c>
      <c r="M154" s="162">
        <f t="shared" si="22"/>
        <v>0</v>
      </c>
      <c r="N154" s="162">
        <v>78023.910000000033</v>
      </c>
      <c r="O154" s="162">
        <v>273848.11</v>
      </c>
    </row>
    <row r="155" spans="1:15" hidden="1" x14ac:dyDescent="0.2">
      <c r="B155" s="125" t="s">
        <v>119</v>
      </c>
      <c r="C155" s="153">
        <v>409000</v>
      </c>
      <c r="D155" s="154"/>
      <c r="E155" s="154"/>
      <c r="F155" s="162">
        <f>274238.46+134761.54</f>
        <v>409000</v>
      </c>
      <c r="G155" s="163">
        <v>0</v>
      </c>
      <c r="H155" s="164">
        <v>0</v>
      </c>
      <c r="I155" s="162">
        <v>0</v>
      </c>
      <c r="J155" s="167">
        <v>0</v>
      </c>
      <c r="K155" s="167">
        <v>0</v>
      </c>
      <c r="L155" s="162">
        <f t="shared" si="21"/>
        <v>0</v>
      </c>
      <c r="M155" s="162">
        <f t="shared" si="22"/>
        <v>0</v>
      </c>
      <c r="N155" s="162">
        <v>0</v>
      </c>
      <c r="O155" s="162">
        <f>H155+I155+J155+K155</f>
        <v>0</v>
      </c>
    </row>
    <row r="156" spans="1:15" x14ac:dyDescent="0.2">
      <c r="B156" s="125" t="s">
        <v>120</v>
      </c>
      <c r="C156" s="153">
        <v>645000</v>
      </c>
      <c r="D156" s="154"/>
      <c r="E156" s="154"/>
      <c r="F156" s="162">
        <f>611741.64</f>
        <v>611741.64</v>
      </c>
      <c r="G156" s="163">
        <v>33258.359999999986</v>
      </c>
      <c r="H156" s="164">
        <v>33258.36</v>
      </c>
      <c r="I156" s="162">
        <f>[4]FSU!I136</f>
        <v>0</v>
      </c>
      <c r="J156" s="167">
        <f>[4]FSU!J136</f>
        <v>0</v>
      </c>
      <c r="K156" s="167">
        <f>[4]FSU!K136</f>
        <v>0</v>
      </c>
      <c r="L156" s="162">
        <f t="shared" si="21"/>
        <v>-1.4551915228366852E-11</v>
      </c>
      <c r="M156" s="162">
        <f t="shared" si="22"/>
        <v>0</v>
      </c>
      <c r="N156" s="162">
        <v>0</v>
      </c>
      <c r="O156" s="162">
        <v>33258.36</v>
      </c>
    </row>
    <row r="157" spans="1:15" hidden="1" x14ac:dyDescent="0.2">
      <c r="B157" s="125" t="s">
        <v>137</v>
      </c>
      <c r="C157" s="153">
        <v>536000</v>
      </c>
      <c r="D157" s="154"/>
      <c r="E157" s="154"/>
      <c r="F157" s="162">
        <f>536000</f>
        <v>536000</v>
      </c>
      <c r="G157" s="163">
        <v>0</v>
      </c>
      <c r="H157" s="164">
        <v>0</v>
      </c>
      <c r="I157" s="162">
        <v>0</v>
      </c>
      <c r="J157" s="167">
        <v>0</v>
      </c>
      <c r="K157" s="167">
        <v>0</v>
      </c>
      <c r="L157" s="162">
        <f t="shared" si="21"/>
        <v>0</v>
      </c>
      <c r="M157" s="162">
        <f t="shared" si="22"/>
        <v>0</v>
      </c>
      <c r="N157" s="162">
        <v>0</v>
      </c>
      <c r="O157" s="162">
        <f>H157+I157+J157+K157</f>
        <v>0</v>
      </c>
    </row>
    <row r="158" spans="1:15" x14ac:dyDescent="0.2">
      <c r="B158" s="125" t="s">
        <v>122</v>
      </c>
      <c r="C158" s="153">
        <v>1589000</v>
      </c>
      <c r="D158" s="154"/>
      <c r="E158" s="154"/>
      <c r="F158" s="162">
        <f>32706.17+518001.39+20198.17+550000+377628.95+53455.07+7915.98</f>
        <v>1559905.73</v>
      </c>
      <c r="G158" s="163">
        <v>29094.266999999938</v>
      </c>
      <c r="H158" s="164">
        <v>29094.27</v>
      </c>
      <c r="I158" s="162">
        <f>[4]TU!I169+[4]TU!I175+[4]TU!I183</f>
        <v>0</v>
      </c>
      <c r="J158" s="167">
        <f>[4]TU!J169+[4]TU!J175+[4]TU!J183</f>
        <v>0</v>
      </c>
      <c r="K158" s="167">
        <f>[4]TU!K169+[4]TU!K175+[4]TU!K183</f>
        <v>0</v>
      </c>
      <c r="L158" s="162">
        <f t="shared" si="21"/>
        <v>-3.0000000624568202E-3</v>
      </c>
      <c r="M158" s="162">
        <f t="shared" si="22"/>
        <v>0</v>
      </c>
      <c r="N158" s="162">
        <v>12726.4</v>
      </c>
      <c r="O158" s="162">
        <v>16367.87</v>
      </c>
    </row>
    <row r="159" spans="1:15" x14ac:dyDescent="0.2">
      <c r="B159" s="125" t="s">
        <v>123</v>
      </c>
      <c r="C159" s="153">
        <v>418000</v>
      </c>
      <c r="D159" s="154"/>
      <c r="E159" s="154"/>
      <c r="F159" s="162">
        <f>2748.75+81771.25+15400</f>
        <v>99920</v>
      </c>
      <c r="G159" s="163">
        <v>318080</v>
      </c>
      <c r="H159" s="164">
        <v>275132.16000000003</v>
      </c>
      <c r="I159" s="162">
        <f>[4]UB!I128</f>
        <v>0</v>
      </c>
      <c r="J159" s="167">
        <f>[4]UB!J128</f>
        <v>0</v>
      </c>
      <c r="K159" s="167">
        <f>[4]UB!K128</f>
        <v>0</v>
      </c>
      <c r="L159" s="162">
        <f t="shared" si="21"/>
        <v>42947.839999999967</v>
      </c>
      <c r="M159" s="162">
        <f t="shared" si="22"/>
        <v>95520.620000000024</v>
      </c>
      <c r="N159" s="162">
        <v>143676</v>
      </c>
      <c r="O159" s="162">
        <v>35935.54</v>
      </c>
    </row>
    <row r="160" spans="1:15" x14ac:dyDescent="0.2">
      <c r="B160" s="165" t="s">
        <v>127</v>
      </c>
      <c r="C160" s="153">
        <v>463000</v>
      </c>
      <c r="D160" s="162"/>
      <c r="E160" s="162">
        <f>24627.14-200000-287627.14</f>
        <v>-463000</v>
      </c>
      <c r="F160" s="162"/>
      <c r="G160" s="163">
        <v>0</v>
      </c>
      <c r="H160" s="164"/>
      <c r="I160" s="162"/>
      <c r="J160" s="167"/>
      <c r="K160" s="167"/>
      <c r="L160" s="162"/>
      <c r="M160" s="162">
        <f t="shared" si="22"/>
        <v>0</v>
      </c>
      <c r="N160" s="162"/>
      <c r="O160" s="162"/>
    </row>
    <row r="161" spans="1:15" x14ac:dyDescent="0.2">
      <c r="B161" s="125" t="s">
        <v>170</v>
      </c>
      <c r="C161" s="153"/>
      <c r="D161" s="154"/>
      <c r="E161" s="162">
        <v>200000</v>
      </c>
      <c r="F161" s="162">
        <f>50289.6+58406.01</f>
        <v>108695.61</v>
      </c>
      <c r="G161" s="163">
        <v>91304.389999999985</v>
      </c>
      <c r="H161" s="164">
        <v>0</v>
      </c>
      <c r="I161" s="162">
        <f>[4]UMES!I128</f>
        <v>0</v>
      </c>
      <c r="J161" s="167">
        <f>[4]UMES!J19</f>
        <v>0</v>
      </c>
      <c r="K161" s="167">
        <f>[4]UMES!K19</f>
        <v>0</v>
      </c>
      <c r="L161" s="162">
        <f t="shared" si="21"/>
        <v>91304.389999999985</v>
      </c>
      <c r="M161" s="162">
        <f t="shared" si="22"/>
        <v>0</v>
      </c>
      <c r="N161" s="162">
        <v>0</v>
      </c>
      <c r="O161" s="162">
        <v>0</v>
      </c>
    </row>
    <row r="162" spans="1:15" x14ac:dyDescent="0.2">
      <c r="C162" s="153"/>
      <c r="D162" s="154"/>
      <c r="E162" s="154"/>
      <c r="F162" s="162"/>
      <c r="G162" s="156"/>
      <c r="H162" s="157"/>
      <c r="I162" s="154"/>
      <c r="J162" s="158"/>
      <c r="K162" s="158"/>
      <c r="L162" s="154"/>
      <c r="M162" s="154"/>
      <c r="N162" s="154"/>
      <c r="O162" s="154"/>
    </row>
    <row r="163" spans="1:15" ht="13.5" thickBot="1" x14ac:dyDescent="0.25">
      <c r="B163" s="168" t="s">
        <v>171</v>
      </c>
      <c r="C163" s="169">
        <f>SUM(C146:C162)</f>
        <v>32000000</v>
      </c>
      <c r="D163" s="169">
        <f t="shared" ref="D163:O163" si="23">SUM(D146:D162)</f>
        <v>0</v>
      </c>
      <c r="E163" s="169">
        <f t="shared" si="23"/>
        <v>-263000</v>
      </c>
      <c r="F163" s="169">
        <f>SUM(F146:F162)</f>
        <v>28698880.66</v>
      </c>
      <c r="G163" s="169">
        <f t="shared" si="23"/>
        <v>3038119.3370000003</v>
      </c>
      <c r="H163" s="169">
        <f t="shared" si="23"/>
        <v>2106649.39</v>
      </c>
      <c r="I163" s="169">
        <f t="shared" si="23"/>
        <v>0</v>
      </c>
      <c r="J163" s="169">
        <f t="shared" si="23"/>
        <v>0</v>
      </c>
      <c r="K163" s="169">
        <f>SUM(K146:K162)</f>
        <v>0</v>
      </c>
      <c r="L163" s="169">
        <f t="shared" si="23"/>
        <v>931469.94700000039</v>
      </c>
      <c r="M163" s="169">
        <f t="shared" si="23"/>
        <v>566027.3899999999</v>
      </c>
      <c r="N163" s="169">
        <f t="shared" si="23"/>
        <v>654151.62</v>
      </c>
      <c r="O163" s="169">
        <f t="shared" si="23"/>
        <v>886470.38</v>
      </c>
    </row>
    <row r="164" spans="1:15" ht="13.5" thickTop="1" x14ac:dyDescent="0.2">
      <c r="C164" s="153"/>
      <c r="D164" s="154"/>
      <c r="E164" s="154"/>
      <c r="F164" s="191"/>
      <c r="G164" s="156"/>
      <c r="H164" s="157"/>
      <c r="I164" s="154"/>
      <c r="J164" s="158"/>
      <c r="K164" s="158"/>
      <c r="L164" s="154"/>
      <c r="M164" s="154"/>
      <c r="N164" s="154"/>
      <c r="O164" s="154"/>
    </row>
    <row r="165" spans="1:15" x14ac:dyDescent="0.2">
      <c r="A165" s="165" t="s">
        <v>172</v>
      </c>
      <c r="C165" s="153"/>
      <c r="D165" s="154"/>
      <c r="E165" s="154"/>
      <c r="F165" s="162"/>
      <c r="G165" s="156"/>
      <c r="H165" s="157"/>
      <c r="I165" s="156"/>
      <c r="J165" s="156"/>
      <c r="K165" s="156"/>
      <c r="L165" s="154"/>
      <c r="M165" s="154"/>
      <c r="N165" s="154"/>
      <c r="O165" s="154"/>
    </row>
    <row r="166" spans="1:15" hidden="1" x14ac:dyDescent="0.2">
      <c r="B166" s="125" t="s">
        <v>168</v>
      </c>
      <c r="C166" s="153">
        <v>7500000</v>
      </c>
      <c r="D166" s="154"/>
      <c r="E166" s="154"/>
      <c r="F166" s="162">
        <f>570673.59+3006114.55+3749577.86+173634</f>
        <v>7500000</v>
      </c>
      <c r="G166" s="163">
        <v>0</v>
      </c>
      <c r="H166" s="164">
        <v>0</v>
      </c>
      <c r="I166" s="162">
        <v>0</v>
      </c>
      <c r="J166" s="167">
        <v>0</v>
      </c>
      <c r="K166" s="167">
        <v>0</v>
      </c>
      <c r="L166" s="162">
        <f>G166-H166-I166-J166-K166</f>
        <v>0</v>
      </c>
      <c r="M166" s="162"/>
      <c r="N166" s="162"/>
      <c r="O166" s="162">
        <f>H164+K164</f>
        <v>0</v>
      </c>
    </row>
    <row r="167" spans="1:15" x14ac:dyDescent="0.2">
      <c r="B167" s="165" t="s">
        <v>112</v>
      </c>
      <c r="C167" s="153"/>
      <c r="D167" s="154"/>
      <c r="E167" s="154"/>
      <c r="F167" s="128"/>
      <c r="G167" s="156"/>
      <c r="H167" s="157"/>
      <c r="I167" s="154"/>
      <c r="J167" s="158"/>
      <c r="K167" s="158"/>
      <c r="L167" s="162"/>
      <c r="M167" s="162"/>
      <c r="N167" s="162"/>
      <c r="O167" s="162"/>
    </row>
    <row r="168" spans="1:15" x14ac:dyDescent="0.2">
      <c r="B168" s="125" t="s">
        <v>113</v>
      </c>
      <c r="C168" s="153">
        <f>300000+990000+990000+550000+990000+295000+150000+100000+510000+975000+900000+550000</f>
        <v>7300000</v>
      </c>
      <c r="D168" s="154"/>
      <c r="E168" s="154"/>
      <c r="F168" s="162">
        <f>2767576.24+680881.45+3851542.31</f>
        <v>7300000</v>
      </c>
      <c r="G168" s="163">
        <v>0</v>
      </c>
      <c r="H168" s="164">
        <v>0</v>
      </c>
      <c r="I168" s="162">
        <v>0</v>
      </c>
      <c r="J168" s="167">
        <v>0</v>
      </c>
      <c r="K168" s="167">
        <v>0</v>
      </c>
      <c r="L168" s="162">
        <f t="shared" ref="L168:L178" si="24">G168-H168-I168-J168-K168</f>
        <v>0</v>
      </c>
      <c r="M168" s="162">
        <f t="shared" ref="M168:M179" si="25">H168-N168-O168</f>
        <v>0</v>
      </c>
      <c r="N168" s="162"/>
      <c r="O168" s="162">
        <v>0</v>
      </c>
    </row>
    <row r="169" spans="1:15" x14ac:dyDescent="0.2">
      <c r="B169" s="125" t="s">
        <v>114</v>
      </c>
      <c r="C169" s="153">
        <f>990000+990000+695000</f>
        <v>2675000</v>
      </c>
      <c r="D169" s="162">
        <v>-0.02</v>
      </c>
      <c r="E169" s="154"/>
      <c r="F169" s="163">
        <f>13205.39+184961.16+174257.2+675592.72+34722.5</f>
        <v>1082738.97</v>
      </c>
      <c r="G169" s="163">
        <v>1592261.0099999995</v>
      </c>
      <c r="H169" s="164">
        <v>1575389.58</v>
      </c>
      <c r="I169" s="162">
        <f>[4]UMB!I253</f>
        <v>0</v>
      </c>
      <c r="J169" s="167">
        <f>[4]UMB!J253</f>
        <v>0</v>
      </c>
      <c r="K169" s="167">
        <f>[4]UMB!K253</f>
        <v>0</v>
      </c>
      <c r="L169" s="162">
        <f t="shared" si="24"/>
        <v>16871.429999999469</v>
      </c>
      <c r="M169" s="162">
        <f t="shared" si="25"/>
        <v>785940</v>
      </c>
      <c r="N169" s="162">
        <v>238561.30999999994</v>
      </c>
      <c r="O169" s="162">
        <v>550888.27</v>
      </c>
    </row>
    <row r="170" spans="1:15" hidden="1" x14ac:dyDescent="0.2">
      <c r="B170" s="125" t="s">
        <v>115</v>
      </c>
      <c r="C170" s="153">
        <v>642000</v>
      </c>
      <c r="D170" s="154"/>
      <c r="E170" s="154"/>
      <c r="F170" s="162">
        <f>637427.17+4572.83</f>
        <v>642000</v>
      </c>
      <c r="G170" s="163">
        <v>-4.1836756281554699E-11</v>
      </c>
      <c r="H170" s="164">
        <v>0</v>
      </c>
      <c r="I170" s="162">
        <f>[4]UMES!I136</f>
        <v>0</v>
      </c>
      <c r="J170" s="167">
        <f>[4]UMES!J136</f>
        <v>0</v>
      </c>
      <c r="K170" s="167">
        <f>[4]UMES!K136</f>
        <v>0</v>
      </c>
      <c r="L170" s="162">
        <f t="shared" si="24"/>
        <v>-4.1836756281554699E-11</v>
      </c>
      <c r="M170" s="162">
        <f t="shared" si="25"/>
        <v>0</v>
      </c>
      <c r="N170" s="162">
        <v>0</v>
      </c>
      <c r="O170" s="162">
        <f>H170+I170+J170+K170</f>
        <v>0</v>
      </c>
    </row>
    <row r="171" spans="1:15" hidden="1" x14ac:dyDescent="0.2">
      <c r="B171" s="125" t="s">
        <v>116</v>
      </c>
      <c r="C171" s="153">
        <v>1452000</v>
      </c>
      <c r="D171" s="154"/>
      <c r="E171" s="154"/>
      <c r="F171" s="162">
        <f>371294.08+1056822.47+23883.45</f>
        <v>1452000</v>
      </c>
      <c r="G171" s="163">
        <v>0</v>
      </c>
      <c r="H171" s="164">
        <v>0</v>
      </c>
      <c r="I171" s="162">
        <v>0</v>
      </c>
      <c r="J171" s="167">
        <v>0</v>
      </c>
      <c r="K171" s="167">
        <v>0</v>
      </c>
      <c r="L171" s="162">
        <f t="shared" si="24"/>
        <v>0</v>
      </c>
      <c r="M171" s="162">
        <f t="shared" si="25"/>
        <v>0</v>
      </c>
      <c r="N171" s="162">
        <v>0</v>
      </c>
      <c r="O171" s="162">
        <f>H171+I171+J171+K171</f>
        <v>0</v>
      </c>
    </row>
    <row r="172" spans="1:15" hidden="1" x14ac:dyDescent="0.2">
      <c r="B172" s="125" t="s">
        <v>117</v>
      </c>
      <c r="C172" s="153">
        <v>317000</v>
      </c>
      <c r="D172" s="154"/>
      <c r="E172" s="154"/>
      <c r="F172" s="162">
        <f>2937.02+314062.98</f>
        <v>317000</v>
      </c>
      <c r="G172" s="163">
        <v>0</v>
      </c>
      <c r="H172" s="164">
        <v>0</v>
      </c>
      <c r="I172" s="162">
        <v>0</v>
      </c>
      <c r="J172" s="167">
        <v>0</v>
      </c>
      <c r="K172" s="167">
        <v>0</v>
      </c>
      <c r="L172" s="162">
        <f t="shared" si="24"/>
        <v>0</v>
      </c>
      <c r="M172" s="162">
        <f t="shared" si="25"/>
        <v>0</v>
      </c>
      <c r="N172" s="162">
        <v>0</v>
      </c>
      <c r="O172" s="162">
        <f>H172+I172+J172+K172</f>
        <v>0</v>
      </c>
    </row>
    <row r="173" spans="1:15" x14ac:dyDescent="0.2">
      <c r="B173" s="125" t="s">
        <v>118</v>
      </c>
      <c r="C173" s="153">
        <f>400000+154000</f>
        <v>554000</v>
      </c>
      <c r="D173" s="154"/>
      <c r="E173" s="154"/>
      <c r="F173" s="163">
        <f>28173+78156.58+373685.53</f>
        <v>480015.11000000004</v>
      </c>
      <c r="G173" s="163">
        <v>73984.890000000014</v>
      </c>
      <c r="H173" s="164">
        <v>73984.89</v>
      </c>
      <c r="I173" s="162">
        <f>[4]BSU!I92</f>
        <v>0</v>
      </c>
      <c r="J173" s="167">
        <f>[4]BSU!J92</f>
        <v>0</v>
      </c>
      <c r="K173" s="167">
        <f>[4]BSU!K92</f>
        <v>0</v>
      </c>
      <c r="L173" s="162">
        <f t="shared" si="24"/>
        <v>1.4551915228366852E-11</v>
      </c>
      <c r="M173" s="162">
        <f t="shared" si="25"/>
        <v>0</v>
      </c>
      <c r="N173" s="162">
        <v>0</v>
      </c>
      <c r="O173" s="162">
        <v>73984.89</v>
      </c>
    </row>
    <row r="174" spans="1:15" x14ac:dyDescent="0.2">
      <c r="B174" s="125" t="s">
        <v>119</v>
      </c>
      <c r="C174" s="153">
        <f>50000+150000+109000</f>
        <v>309000</v>
      </c>
      <c r="D174" s="154"/>
      <c r="E174" s="154"/>
      <c r="F174" s="162">
        <f>309000</f>
        <v>309000</v>
      </c>
      <c r="G174" s="163">
        <v>0</v>
      </c>
      <c r="H174" s="164">
        <v>0</v>
      </c>
      <c r="I174" s="162">
        <v>0</v>
      </c>
      <c r="J174" s="167">
        <v>0</v>
      </c>
      <c r="K174" s="167">
        <v>0</v>
      </c>
      <c r="L174" s="162">
        <f t="shared" si="24"/>
        <v>0</v>
      </c>
      <c r="M174" s="162">
        <f t="shared" si="25"/>
        <v>0</v>
      </c>
      <c r="N174" s="162">
        <v>0</v>
      </c>
      <c r="O174" s="162">
        <v>0</v>
      </c>
    </row>
    <row r="175" spans="1:15" x14ac:dyDescent="0.2">
      <c r="B175" s="125" t="s">
        <v>120</v>
      </c>
      <c r="C175" s="153">
        <f>96974+51974+496052</f>
        <v>645000</v>
      </c>
      <c r="D175" s="154"/>
      <c r="E175" s="154"/>
      <c r="F175" s="163">
        <f>499480.88+49097+52268</f>
        <v>600845.88</v>
      </c>
      <c r="G175" s="163">
        <v>44154.119999999995</v>
      </c>
      <c r="H175" s="164">
        <v>44154.12</v>
      </c>
      <c r="I175" s="162">
        <f>[4]FSU!I149</f>
        <v>0</v>
      </c>
      <c r="J175" s="167">
        <f>[4]FSU!J149</f>
        <v>0</v>
      </c>
      <c r="K175" s="167">
        <f>[4]FSU!K149</f>
        <v>0</v>
      </c>
      <c r="L175" s="162">
        <f t="shared" si="24"/>
        <v>-7.2759576141834259E-12</v>
      </c>
      <c r="M175" s="162">
        <f t="shared" si="25"/>
        <v>0</v>
      </c>
      <c r="N175" s="162">
        <v>0</v>
      </c>
      <c r="O175" s="162">
        <v>44154.12</v>
      </c>
    </row>
    <row r="176" spans="1:15" x14ac:dyDescent="0.2">
      <c r="B176" s="125" t="s">
        <v>137</v>
      </c>
      <c r="C176" s="153">
        <v>536000</v>
      </c>
      <c r="D176" s="154"/>
      <c r="E176" s="154"/>
      <c r="F176" s="163">
        <f>10442.22+514492.66+11065.12</f>
        <v>536000</v>
      </c>
      <c r="G176" s="163">
        <v>0</v>
      </c>
      <c r="H176" s="164">
        <v>0</v>
      </c>
      <c r="I176" s="162">
        <v>0</v>
      </c>
      <c r="J176" s="167">
        <v>0</v>
      </c>
      <c r="K176" s="167">
        <v>0</v>
      </c>
      <c r="L176" s="162">
        <f t="shared" si="24"/>
        <v>0</v>
      </c>
      <c r="M176" s="162">
        <f t="shared" si="25"/>
        <v>0</v>
      </c>
      <c r="N176" s="162">
        <v>0</v>
      </c>
      <c r="O176" s="162">
        <v>0</v>
      </c>
    </row>
    <row r="177" spans="1:15" x14ac:dyDescent="0.2">
      <c r="B177" s="125" t="s">
        <v>122</v>
      </c>
      <c r="C177" s="153">
        <f>600000+550000+439000</f>
        <v>1589000</v>
      </c>
      <c r="D177" s="162">
        <v>-0.7</v>
      </c>
      <c r="F177" s="163">
        <f>588447.37+453769.26+513210.16</f>
        <v>1555426.79</v>
      </c>
      <c r="G177" s="163">
        <v>33572.510000000024</v>
      </c>
      <c r="H177" s="164">
        <v>33572.51</v>
      </c>
      <c r="I177" s="162">
        <v>0</v>
      </c>
      <c r="J177" s="167">
        <v>0</v>
      </c>
      <c r="K177" s="167">
        <v>0</v>
      </c>
      <c r="L177" s="162">
        <f t="shared" si="24"/>
        <v>2.1827872842550278E-11</v>
      </c>
      <c r="M177" s="162">
        <f t="shared" si="25"/>
        <v>0</v>
      </c>
      <c r="N177" s="162">
        <v>0</v>
      </c>
      <c r="O177" s="162">
        <v>33572.51</v>
      </c>
    </row>
    <row r="178" spans="1:15" x14ac:dyDescent="0.2">
      <c r="B178" s="125" t="s">
        <v>123</v>
      </c>
      <c r="C178" s="153">
        <v>418000</v>
      </c>
      <c r="D178" s="154"/>
      <c r="E178" s="154"/>
      <c r="F178" s="162">
        <f>78065+160839.77+177315+1780.23</f>
        <v>418000</v>
      </c>
      <c r="G178" s="163">
        <v>1.0459189070388675E-11</v>
      </c>
      <c r="H178" s="164">
        <v>0</v>
      </c>
      <c r="I178" s="162">
        <f>[4]UB!I137</f>
        <v>0</v>
      </c>
      <c r="J178" s="167">
        <f>[4]UB!J137</f>
        <v>0</v>
      </c>
      <c r="K178" s="167">
        <f>[4]UB!K137</f>
        <v>0</v>
      </c>
      <c r="L178" s="162">
        <f t="shared" si="24"/>
        <v>1.0459189070388675E-11</v>
      </c>
      <c r="M178" s="162">
        <f t="shared" si="25"/>
        <v>0</v>
      </c>
      <c r="N178" s="162">
        <v>0</v>
      </c>
      <c r="O178" s="162">
        <v>0</v>
      </c>
    </row>
    <row r="179" spans="1:15" x14ac:dyDescent="0.2">
      <c r="B179" s="165" t="s">
        <v>127</v>
      </c>
      <c r="C179" s="153">
        <v>563000</v>
      </c>
      <c r="D179" s="154"/>
      <c r="E179" s="162">
        <f>-563000</f>
        <v>-563000</v>
      </c>
      <c r="F179" s="162"/>
      <c r="G179" s="163">
        <v>0</v>
      </c>
      <c r="H179" s="164"/>
      <c r="I179" s="162"/>
      <c r="J179" s="167"/>
      <c r="K179" s="167"/>
      <c r="L179" s="162"/>
      <c r="M179" s="162">
        <f t="shared" si="25"/>
        <v>0</v>
      </c>
      <c r="N179" s="162"/>
      <c r="O179" s="162"/>
    </row>
    <row r="180" spans="1:15" x14ac:dyDescent="0.2">
      <c r="C180" s="153"/>
      <c r="D180" s="154"/>
      <c r="E180" s="154"/>
      <c r="F180" s="162"/>
      <c r="G180" s="156"/>
      <c r="H180" s="157"/>
      <c r="I180" s="154"/>
      <c r="J180" s="158"/>
      <c r="K180" s="158"/>
      <c r="L180" s="154"/>
      <c r="M180" s="154"/>
      <c r="N180" s="154"/>
      <c r="O180" s="154"/>
    </row>
    <row r="181" spans="1:15" ht="13.5" thickBot="1" x14ac:dyDescent="0.25">
      <c r="B181" s="168" t="s">
        <v>173</v>
      </c>
      <c r="C181" s="169">
        <f t="shared" ref="C181:K181" si="26">SUM(C166:C180)</f>
        <v>24500000</v>
      </c>
      <c r="D181" s="192">
        <f t="shared" si="26"/>
        <v>-0.72</v>
      </c>
      <c r="E181" s="192">
        <f t="shared" si="26"/>
        <v>-563000</v>
      </c>
      <c r="F181" s="192">
        <f t="shared" si="26"/>
        <v>22193026.749999996</v>
      </c>
      <c r="G181" s="192">
        <f t="shared" si="26"/>
        <v>1743972.5299999996</v>
      </c>
      <c r="H181" s="192">
        <f t="shared" si="26"/>
        <v>1727101.1</v>
      </c>
      <c r="I181" s="192">
        <f t="shared" si="26"/>
        <v>0</v>
      </c>
      <c r="J181" s="192">
        <f t="shared" si="26"/>
        <v>0</v>
      </c>
      <c r="K181" s="192">
        <f t="shared" si="26"/>
        <v>0</v>
      </c>
      <c r="L181" s="192">
        <f>SUM(L166:L180)</f>
        <v>16871.429999999466</v>
      </c>
      <c r="M181" s="192">
        <f>SUM(M166:M180)</f>
        <v>785940</v>
      </c>
      <c r="N181" s="192">
        <f>SUM(N166:N180)</f>
        <v>238561.30999999994</v>
      </c>
      <c r="O181" s="192">
        <f>SUM(O166:O180)</f>
        <v>702599.79</v>
      </c>
    </row>
    <row r="182" spans="1:15" ht="13.5" thickTop="1" x14ac:dyDescent="0.2">
      <c r="C182" s="153"/>
      <c r="D182" s="154"/>
      <c r="E182" s="154"/>
      <c r="F182" s="191"/>
      <c r="G182" s="156"/>
      <c r="H182" s="157"/>
      <c r="I182" s="154"/>
      <c r="J182" s="158"/>
      <c r="K182" s="158"/>
      <c r="L182" s="154"/>
      <c r="M182" s="154"/>
      <c r="N182" s="154"/>
      <c r="O182" s="154"/>
    </row>
    <row r="183" spans="1:15" x14ac:dyDescent="0.2">
      <c r="A183" s="165" t="s">
        <v>174</v>
      </c>
      <c r="C183" s="153"/>
      <c r="D183" s="154"/>
      <c r="E183" s="154"/>
      <c r="F183" s="162"/>
      <c r="G183" s="156"/>
      <c r="H183" s="157"/>
      <c r="I183" s="156"/>
      <c r="J183" s="156"/>
      <c r="K183" s="156"/>
      <c r="L183" s="154"/>
      <c r="M183" s="154"/>
      <c r="N183" s="154"/>
      <c r="O183" s="154"/>
    </row>
    <row r="184" spans="1:15" x14ac:dyDescent="0.2">
      <c r="B184" s="125" t="s">
        <v>175</v>
      </c>
      <c r="C184" s="153">
        <v>5000000</v>
      </c>
      <c r="D184" s="162"/>
      <c r="E184" s="162"/>
      <c r="F184" s="162">
        <f>233366.84+57065.83+3761966.02+325934.68+385895.56+235771.07</f>
        <v>5000000</v>
      </c>
      <c r="G184" s="163">
        <v>0</v>
      </c>
      <c r="H184" s="164">
        <v>0</v>
      </c>
      <c r="I184" s="162">
        <v>0</v>
      </c>
      <c r="J184" s="167">
        <v>0</v>
      </c>
      <c r="K184" s="167">
        <v>0</v>
      </c>
      <c r="L184" s="162">
        <f>G184-H184-I184-J184-K184</f>
        <v>0</v>
      </c>
      <c r="M184" s="162">
        <f>H184-N184-O184</f>
        <v>0</v>
      </c>
      <c r="N184" s="162"/>
      <c r="O184" s="162">
        <v>0</v>
      </c>
    </row>
    <row r="185" spans="1:15" x14ac:dyDescent="0.2">
      <c r="B185" s="125" t="s">
        <v>168</v>
      </c>
      <c r="C185" s="153">
        <v>20000000</v>
      </c>
      <c r="D185" s="162"/>
      <c r="E185" s="162"/>
      <c r="F185" s="162">
        <f>57764.24+19923609.95+18625.81</f>
        <v>19999999.999999996</v>
      </c>
      <c r="G185" s="163">
        <v>0</v>
      </c>
      <c r="H185" s="164">
        <v>0</v>
      </c>
      <c r="I185" s="162">
        <v>0</v>
      </c>
      <c r="J185" s="167">
        <v>0</v>
      </c>
      <c r="K185" s="167">
        <v>0</v>
      </c>
      <c r="L185" s="162">
        <f>G185-H185-I185-J185-K185</f>
        <v>0</v>
      </c>
      <c r="M185" s="162">
        <f>H185-N185-O185</f>
        <v>0</v>
      </c>
      <c r="N185" s="162"/>
      <c r="O185" s="162">
        <v>0</v>
      </c>
    </row>
    <row r="186" spans="1:15" x14ac:dyDescent="0.2">
      <c r="B186" s="125" t="s">
        <v>176</v>
      </c>
      <c r="C186" s="153">
        <v>12500000</v>
      </c>
      <c r="D186" s="162"/>
      <c r="E186" s="162"/>
      <c r="F186" s="162">
        <f>9668105.38+340252.44+1882829.88+36511.16+572301.14</f>
        <v>12500000</v>
      </c>
      <c r="G186" s="163">
        <v>0</v>
      </c>
      <c r="H186" s="164">
        <v>0</v>
      </c>
      <c r="I186" s="162">
        <v>0</v>
      </c>
      <c r="J186" s="167">
        <v>0</v>
      </c>
      <c r="K186" s="167">
        <v>0</v>
      </c>
      <c r="L186" s="162">
        <f>G186-H186-I186-J186-K186</f>
        <v>0</v>
      </c>
      <c r="M186" s="162">
        <f>H186-N186-O186</f>
        <v>0</v>
      </c>
      <c r="N186" s="162"/>
      <c r="O186" s="162">
        <v>0</v>
      </c>
    </row>
    <row r="187" spans="1:15" x14ac:dyDescent="0.2">
      <c r="B187" s="165" t="s">
        <v>112</v>
      </c>
      <c r="C187" s="153"/>
      <c r="D187" s="162"/>
      <c r="E187" s="162"/>
      <c r="F187" s="162"/>
      <c r="G187" s="163"/>
      <c r="H187" s="164"/>
      <c r="I187" s="162"/>
      <c r="J187" s="167"/>
      <c r="K187" s="167"/>
      <c r="L187" s="162"/>
      <c r="M187" s="162"/>
      <c r="N187" s="162"/>
      <c r="O187" s="162"/>
    </row>
    <row r="188" spans="1:15" x14ac:dyDescent="0.2">
      <c r="B188" s="125" t="s">
        <v>113</v>
      </c>
      <c r="C188" s="153">
        <f>300000+990000+990000+550000+990000+295000+150000+100000+510000+975000+900000+550000</f>
        <v>7300000</v>
      </c>
      <c r="D188" s="162"/>
      <c r="E188" s="162"/>
      <c r="F188" s="162">
        <f>1361945.98+5938054.02</f>
        <v>7300000</v>
      </c>
      <c r="G188" s="163">
        <v>0</v>
      </c>
      <c r="H188" s="164">
        <v>0</v>
      </c>
      <c r="I188" s="162">
        <v>0</v>
      </c>
      <c r="J188" s="167">
        <v>0</v>
      </c>
      <c r="K188" s="167">
        <v>0</v>
      </c>
      <c r="L188" s="162">
        <f t="shared" ref="L188:L200" si="27">G188-H188-I188-J188-K188</f>
        <v>0</v>
      </c>
      <c r="M188" s="162">
        <f t="shared" ref="M188:M201" si="28">H188-N188-O188</f>
        <v>0</v>
      </c>
      <c r="N188" s="162"/>
      <c r="O188" s="162">
        <v>0</v>
      </c>
    </row>
    <row r="189" spans="1:15" x14ac:dyDescent="0.2">
      <c r="B189" s="125" t="s">
        <v>114</v>
      </c>
      <c r="C189" s="153">
        <f>990000+990000+695000</f>
        <v>2675000</v>
      </c>
      <c r="D189" s="162">
        <v>0.02</v>
      </c>
      <c r="E189" s="162"/>
      <c r="F189" s="162">
        <f>889486.9+1052436.18+89262.15+515004.4+39277.38</f>
        <v>2585467.0099999998</v>
      </c>
      <c r="G189" s="163">
        <v>89533.010000000111</v>
      </c>
      <c r="H189" s="164">
        <v>89533.01</v>
      </c>
      <c r="I189" s="162">
        <f>[4]UMB!I270</f>
        <v>0</v>
      </c>
      <c r="J189" s="167">
        <f>[4]UMB!J270</f>
        <v>0</v>
      </c>
      <c r="K189" s="167">
        <f>[4]UMB!K270</f>
        <v>0</v>
      </c>
      <c r="L189" s="162">
        <f t="shared" si="27"/>
        <v>1.1641532182693481E-10</v>
      </c>
      <c r="M189" s="162">
        <f t="shared" si="28"/>
        <v>0</v>
      </c>
      <c r="N189" s="162">
        <v>0</v>
      </c>
      <c r="O189" s="162">
        <v>89533.01</v>
      </c>
    </row>
    <row r="190" spans="1:15" x14ac:dyDescent="0.2">
      <c r="B190" s="125" t="s">
        <v>115</v>
      </c>
      <c r="C190" s="153">
        <v>642000</v>
      </c>
      <c r="D190" s="162"/>
      <c r="E190" s="162"/>
      <c r="F190" s="163">
        <f>77261+564739</f>
        <v>642000</v>
      </c>
      <c r="G190" s="163">
        <v>0</v>
      </c>
      <c r="H190" s="164">
        <v>0</v>
      </c>
      <c r="I190" s="162">
        <v>0</v>
      </c>
      <c r="J190" s="167">
        <v>0</v>
      </c>
      <c r="K190" s="167">
        <v>0</v>
      </c>
      <c r="L190" s="162">
        <f t="shared" si="27"/>
        <v>0</v>
      </c>
      <c r="M190" s="162">
        <f t="shared" si="28"/>
        <v>0</v>
      </c>
      <c r="N190" s="162">
        <v>0</v>
      </c>
      <c r="O190" s="162">
        <v>0</v>
      </c>
    </row>
    <row r="191" spans="1:15" x14ac:dyDescent="0.2">
      <c r="B191" s="125" t="s">
        <v>116</v>
      </c>
      <c r="C191" s="153">
        <v>1452000</v>
      </c>
      <c r="D191" s="162"/>
      <c r="E191" s="162"/>
      <c r="F191" s="162">
        <f>853408.33+498591.67+100000</f>
        <v>1452000</v>
      </c>
      <c r="G191" s="163">
        <v>0</v>
      </c>
      <c r="H191" s="164">
        <v>0</v>
      </c>
      <c r="I191" s="162">
        <v>0</v>
      </c>
      <c r="J191" s="167">
        <v>0</v>
      </c>
      <c r="K191" s="167">
        <v>0</v>
      </c>
      <c r="L191" s="162">
        <f t="shared" si="27"/>
        <v>0</v>
      </c>
      <c r="M191" s="162">
        <f t="shared" si="28"/>
        <v>0</v>
      </c>
      <c r="N191" s="162">
        <v>0</v>
      </c>
      <c r="O191" s="162">
        <v>0</v>
      </c>
    </row>
    <row r="192" spans="1:15" x14ac:dyDescent="0.2">
      <c r="B192" s="125" t="s">
        <v>117</v>
      </c>
      <c r="C192" s="153">
        <v>317000</v>
      </c>
      <c r="D192" s="162"/>
      <c r="E192" s="162"/>
      <c r="F192" s="162">
        <f>317000</f>
        <v>317000</v>
      </c>
      <c r="G192" s="163">
        <v>0</v>
      </c>
      <c r="H192" s="164">
        <v>0</v>
      </c>
      <c r="I192" s="162">
        <v>0</v>
      </c>
      <c r="J192" s="167">
        <v>0</v>
      </c>
      <c r="K192" s="167">
        <v>0</v>
      </c>
      <c r="L192" s="162">
        <f t="shared" si="27"/>
        <v>0</v>
      </c>
      <c r="M192" s="162">
        <f t="shared" si="28"/>
        <v>0</v>
      </c>
      <c r="N192" s="162">
        <v>0</v>
      </c>
      <c r="O192" s="162">
        <v>0</v>
      </c>
    </row>
    <row r="193" spans="1:15" x14ac:dyDescent="0.2">
      <c r="B193" s="125" t="s">
        <v>118</v>
      </c>
      <c r="C193" s="153">
        <f>154000+400000</f>
        <v>554000</v>
      </c>
      <c r="D193" s="162"/>
      <c r="E193" s="162"/>
      <c r="F193" s="162">
        <f>182583.42+275528.65+49660.29+12202.63+34025.01</f>
        <v>554000</v>
      </c>
      <c r="G193" s="163">
        <v>0</v>
      </c>
      <c r="H193" s="164">
        <v>0</v>
      </c>
      <c r="I193" s="162">
        <v>0</v>
      </c>
      <c r="J193" s="167">
        <v>0</v>
      </c>
      <c r="K193" s="167">
        <v>0</v>
      </c>
      <c r="L193" s="162">
        <f t="shared" si="27"/>
        <v>0</v>
      </c>
      <c r="M193" s="162">
        <f t="shared" si="28"/>
        <v>0</v>
      </c>
      <c r="N193" s="162">
        <v>0</v>
      </c>
      <c r="O193" s="162">
        <v>0</v>
      </c>
    </row>
    <row r="194" spans="1:15" x14ac:dyDescent="0.2">
      <c r="B194" s="125" t="s">
        <v>119</v>
      </c>
      <c r="C194" s="153">
        <f>284000+125000</f>
        <v>409000</v>
      </c>
      <c r="D194" s="162"/>
      <c r="E194" s="162"/>
      <c r="F194" s="163">
        <f>349767.69+59232.31</f>
        <v>409000</v>
      </c>
      <c r="G194" s="163">
        <v>0</v>
      </c>
      <c r="H194" s="164">
        <v>0</v>
      </c>
      <c r="I194" s="162">
        <v>0</v>
      </c>
      <c r="J194" s="167">
        <v>0</v>
      </c>
      <c r="K194" s="167">
        <v>0</v>
      </c>
      <c r="L194" s="162">
        <f t="shared" si="27"/>
        <v>0</v>
      </c>
      <c r="M194" s="162">
        <f t="shared" si="28"/>
        <v>0</v>
      </c>
      <c r="N194" s="162">
        <v>0</v>
      </c>
      <c r="O194" s="162">
        <v>0</v>
      </c>
    </row>
    <row r="195" spans="1:15" x14ac:dyDescent="0.2">
      <c r="B195" s="125" t="s">
        <v>120</v>
      </c>
      <c r="C195" s="153">
        <f>495000+150000</f>
        <v>645000</v>
      </c>
      <c r="D195" s="162"/>
      <c r="E195" s="162"/>
      <c r="F195" s="163">
        <f>218980.88+67737+325356.07+23047.08</f>
        <v>635121.02999999991</v>
      </c>
      <c r="G195" s="163">
        <v>9878.9700000000448</v>
      </c>
      <c r="H195" s="164">
        <v>9878.9699999999993</v>
      </c>
      <c r="I195" s="162">
        <f>[4]FSU!I161</f>
        <v>0</v>
      </c>
      <c r="J195" s="167">
        <f>[4]FSU!J161</f>
        <v>0</v>
      </c>
      <c r="K195" s="167">
        <f>[4]FSU!K161</f>
        <v>0</v>
      </c>
      <c r="L195" s="162">
        <f t="shared" si="27"/>
        <v>4.5474735088646412E-11</v>
      </c>
      <c r="M195" s="162">
        <f t="shared" si="28"/>
        <v>0</v>
      </c>
      <c r="N195" s="162">
        <v>0</v>
      </c>
      <c r="O195" s="162">
        <v>9878.9699999999993</v>
      </c>
    </row>
    <row r="196" spans="1:15" x14ac:dyDescent="0.2">
      <c r="B196" s="125" t="s">
        <v>137</v>
      </c>
      <c r="C196" s="153">
        <f>100000+236000+200000</f>
        <v>536000</v>
      </c>
      <c r="D196" s="162">
        <v>0.03</v>
      </c>
      <c r="E196" s="162"/>
      <c r="F196" s="162">
        <f>51450.65+149768.64+281527.91+41350.19+11902.64</f>
        <v>536000.02999999991</v>
      </c>
      <c r="G196" s="163">
        <v>0</v>
      </c>
      <c r="H196" s="164">
        <v>0</v>
      </c>
      <c r="I196" s="162">
        <v>0</v>
      </c>
      <c r="J196" s="167">
        <v>0</v>
      </c>
      <c r="K196" s="167">
        <v>0</v>
      </c>
      <c r="L196" s="162">
        <f t="shared" si="27"/>
        <v>0</v>
      </c>
      <c r="M196" s="162">
        <f t="shared" si="28"/>
        <v>0</v>
      </c>
      <c r="N196" s="162"/>
      <c r="O196" s="162">
        <v>0</v>
      </c>
    </row>
    <row r="197" spans="1:15" x14ac:dyDescent="0.2">
      <c r="B197" s="125" t="s">
        <v>122</v>
      </c>
      <c r="C197" s="153">
        <f>900000+250000+439000</f>
        <v>1589000</v>
      </c>
      <c r="D197" s="162"/>
      <c r="E197" s="162"/>
      <c r="F197" s="162">
        <f>621656.31+967343.69</f>
        <v>1589000</v>
      </c>
      <c r="G197" s="163">
        <v>0</v>
      </c>
      <c r="H197" s="164">
        <v>0</v>
      </c>
      <c r="I197" s="162">
        <f>[4]TU!I203+[4]TU!I210+[4]TU!I216</f>
        <v>0</v>
      </c>
      <c r="J197" s="167">
        <f>[4]TU!J203+[4]TU!J210+[4]TU!J216</f>
        <v>0</v>
      </c>
      <c r="K197" s="167">
        <f>[4]TU!K203+[4]TU!K210+[4]TU!K216</f>
        <v>0</v>
      </c>
      <c r="L197" s="162">
        <f t="shared" si="27"/>
        <v>0</v>
      </c>
      <c r="M197" s="162">
        <f t="shared" si="28"/>
        <v>0</v>
      </c>
      <c r="N197" s="162">
        <v>0</v>
      </c>
      <c r="O197" s="162">
        <v>0</v>
      </c>
    </row>
    <row r="198" spans="1:15" x14ac:dyDescent="0.2">
      <c r="B198" s="125" t="s">
        <v>123</v>
      </c>
      <c r="C198" s="153">
        <v>418000</v>
      </c>
      <c r="D198" s="162"/>
      <c r="E198" s="162"/>
      <c r="F198" s="162">
        <f>17749.93+363435.12+18289.79+18525.16</f>
        <v>417999.99999999994</v>
      </c>
      <c r="G198" s="163">
        <v>0</v>
      </c>
      <c r="H198" s="164">
        <v>0</v>
      </c>
      <c r="I198" s="162">
        <f>[4]UB!I146</f>
        <v>0</v>
      </c>
      <c r="J198" s="167">
        <f>[4]UB!J146</f>
        <v>0</v>
      </c>
      <c r="K198" s="167">
        <f>[4]UB!K146</f>
        <v>0</v>
      </c>
      <c r="L198" s="162">
        <f t="shared" si="27"/>
        <v>0</v>
      </c>
      <c r="M198" s="162">
        <f t="shared" si="28"/>
        <v>0</v>
      </c>
      <c r="N198" s="162"/>
      <c r="O198" s="162">
        <v>0</v>
      </c>
    </row>
    <row r="199" spans="1:15" x14ac:dyDescent="0.2">
      <c r="B199" s="165" t="s">
        <v>127</v>
      </c>
      <c r="C199" s="153">
        <v>463000</v>
      </c>
      <c r="D199" s="135"/>
      <c r="E199" s="162">
        <f>82000+829190.54+288809.46-100000-1200000-250000-113000</f>
        <v>-463000</v>
      </c>
      <c r="F199" s="167"/>
      <c r="G199" s="163">
        <v>0</v>
      </c>
      <c r="H199" s="164"/>
      <c r="I199" s="162"/>
      <c r="J199" s="167"/>
      <c r="K199" s="167"/>
      <c r="L199" s="162"/>
      <c r="M199" s="162">
        <f t="shared" si="28"/>
        <v>0</v>
      </c>
      <c r="N199" s="162"/>
      <c r="O199" s="162"/>
    </row>
    <row r="200" spans="1:15" x14ac:dyDescent="0.2">
      <c r="B200" s="125" t="s">
        <v>177</v>
      </c>
      <c r="C200" s="166"/>
      <c r="D200" s="135"/>
      <c r="E200" s="167">
        <f>100000+1200000</f>
        <v>1300000</v>
      </c>
      <c r="F200" s="162">
        <f>610722.96+220997.45+425919.2+42360.39</f>
        <v>1299999.9999999998</v>
      </c>
      <c r="G200" s="163">
        <v>0</v>
      </c>
      <c r="H200" s="164">
        <v>0</v>
      </c>
      <c r="I200" s="162">
        <v>0</v>
      </c>
      <c r="J200" s="167">
        <v>0</v>
      </c>
      <c r="K200" s="167">
        <v>0</v>
      </c>
      <c r="L200" s="162">
        <f t="shared" si="27"/>
        <v>0</v>
      </c>
      <c r="M200" s="162">
        <f t="shared" si="28"/>
        <v>0</v>
      </c>
      <c r="N200" s="162"/>
      <c r="O200" s="162">
        <v>0</v>
      </c>
    </row>
    <row r="201" spans="1:15" x14ac:dyDescent="0.2">
      <c r="B201" s="125" t="s">
        <v>156</v>
      </c>
      <c r="C201" s="166"/>
      <c r="D201" s="135"/>
      <c r="E201" s="167">
        <v>250000</v>
      </c>
      <c r="F201" s="162">
        <f>65573.85+184426.15</f>
        <v>250000</v>
      </c>
      <c r="G201" s="163">
        <v>0</v>
      </c>
      <c r="H201" s="164">
        <v>0</v>
      </c>
      <c r="I201" s="162"/>
      <c r="J201" s="167"/>
      <c r="K201" s="167">
        <f>'[4]USM &amp; COI'!K83</f>
        <v>0</v>
      </c>
      <c r="L201" s="162">
        <f>G201-H201-I201-J201-K201</f>
        <v>0</v>
      </c>
      <c r="M201" s="162">
        <f t="shared" si="28"/>
        <v>0</v>
      </c>
      <c r="N201" s="162"/>
      <c r="O201" s="162">
        <v>0</v>
      </c>
    </row>
    <row r="202" spans="1:15" x14ac:dyDescent="0.2">
      <c r="C202" s="153"/>
      <c r="D202" s="154"/>
      <c r="E202" s="154"/>
      <c r="F202" s="162"/>
      <c r="G202" s="156"/>
      <c r="H202" s="157"/>
      <c r="I202" s="154"/>
      <c r="J202" s="158"/>
      <c r="K202" s="158"/>
      <c r="L202" s="154"/>
      <c r="M202" s="154"/>
      <c r="N202" s="154"/>
      <c r="O202" s="154"/>
    </row>
    <row r="203" spans="1:15" ht="13.5" thickBot="1" x14ac:dyDescent="0.25">
      <c r="B203" s="168" t="s">
        <v>178</v>
      </c>
      <c r="C203" s="169">
        <f t="shared" ref="C203:O203" si="29">SUM(C184:C202)</f>
        <v>54500000</v>
      </c>
      <c r="D203" s="169">
        <f t="shared" si="29"/>
        <v>0.05</v>
      </c>
      <c r="E203" s="169">
        <f t="shared" si="29"/>
        <v>1087000</v>
      </c>
      <c r="F203" s="192">
        <f t="shared" si="29"/>
        <v>55487588.07</v>
      </c>
      <c r="G203" s="169">
        <f t="shared" si="29"/>
        <v>99411.980000000156</v>
      </c>
      <c r="H203" s="169">
        <f t="shared" si="29"/>
        <v>99411.98</v>
      </c>
      <c r="I203" s="169">
        <f t="shared" si="29"/>
        <v>0</v>
      </c>
      <c r="J203" s="169">
        <f t="shared" si="29"/>
        <v>0</v>
      </c>
      <c r="K203" s="169">
        <f t="shared" si="29"/>
        <v>0</v>
      </c>
      <c r="L203" s="169">
        <f t="shared" si="29"/>
        <v>1.6189005691558123E-10</v>
      </c>
      <c r="M203" s="169">
        <f t="shared" si="29"/>
        <v>0</v>
      </c>
      <c r="N203" s="169">
        <f t="shared" si="29"/>
        <v>0</v>
      </c>
      <c r="O203" s="169">
        <f t="shared" si="29"/>
        <v>99411.98</v>
      </c>
    </row>
    <row r="204" spans="1:15" ht="13.5" thickTop="1" x14ac:dyDescent="0.2">
      <c r="C204" s="153"/>
      <c r="D204" s="154"/>
      <c r="E204" s="154"/>
      <c r="F204" s="191"/>
      <c r="G204" s="156"/>
      <c r="H204" s="157"/>
      <c r="I204" s="154"/>
      <c r="J204" s="158"/>
      <c r="K204" s="158"/>
      <c r="L204" s="154"/>
      <c r="M204" s="154"/>
      <c r="N204" s="154"/>
      <c r="O204" s="154"/>
    </row>
    <row r="205" spans="1:15" x14ac:dyDescent="0.2">
      <c r="A205" s="165" t="s">
        <v>109</v>
      </c>
      <c r="C205" s="153"/>
      <c r="D205" s="154"/>
      <c r="E205" s="154"/>
      <c r="F205" s="162"/>
      <c r="G205" s="156"/>
      <c r="H205" s="157"/>
      <c r="I205" s="156"/>
      <c r="J205" s="156"/>
      <c r="K205" s="156"/>
      <c r="L205" s="154"/>
      <c r="M205" s="154"/>
      <c r="N205" s="154"/>
      <c r="O205" s="154"/>
    </row>
    <row r="206" spans="1:15" hidden="1" x14ac:dyDescent="0.2">
      <c r="B206" s="125" t="s">
        <v>179</v>
      </c>
      <c r="C206" s="153">
        <v>5000000</v>
      </c>
      <c r="D206" s="154"/>
      <c r="E206" s="154"/>
      <c r="F206" s="162">
        <f>2386505.39+1680899.39+112315.64+37609.43+444747.89+15591.94+322330.32</f>
        <v>5000000.0000000009</v>
      </c>
      <c r="G206" s="172">
        <f>[4]UMCP!F288</f>
        <v>0</v>
      </c>
      <c r="H206" s="173">
        <v>0</v>
      </c>
      <c r="I206" s="172">
        <f>[4]UMCP!I288</f>
        <v>0</v>
      </c>
      <c r="J206" s="172">
        <f>[4]UMCP!J288</f>
        <v>0</v>
      </c>
      <c r="K206" s="172">
        <f>[4]UMCP!K288</f>
        <v>0</v>
      </c>
      <c r="L206" s="162">
        <f>G206-H206-I206-J206-K206</f>
        <v>0</v>
      </c>
      <c r="M206" s="162"/>
      <c r="N206" s="162"/>
      <c r="O206" s="162">
        <f>H204+K204</f>
        <v>0</v>
      </c>
    </row>
    <row r="207" spans="1:15" hidden="1" x14ac:dyDescent="0.2">
      <c r="B207" s="125" t="s">
        <v>180</v>
      </c>
      <c r="C207" s="153">
        <v>10000000</v>
      </c>
      <c r="D207" s="154"/>
      <c r="E207" s="154"/>
      <c r="F207" s="162">
        <f>202050.59+8360021.99+258271.37+1179656.05</f>
        <v>10000000</v>
      </c>
      <c r="G207" s="172">
        <v>0</v>
      </c>
      <c r="H207" s="173">
        <v>0</v>
      </c>
      <c r="I207" s="172">
        <v>0</v>
      </c>
      <c r="J207" s="172">
        <v>0</v>
      </c>
      <c r="K207" s="172">
        <v>0</v>
      </c>
      <c r="L207" s="162">
        <f>G207-H207-I207-J207-K207</f>
        <v>0</v>
      </c>
      <c r="M207" s="162"/>
      <c r="N207" s="162"/>
      <c r="O207" s="162">
        <f>H205+K205</f>
        <v>0</v>
      </c>
    </row>
    <row r="208" spans="1:15" x14ac:dyDescent="0.2">
      <c r="B208" s="165" t="s">
        <v>112</v>
      </c>
      <c r="C208" s="153"/>
      <c r="D208" s="154"/>
      <c r="E208" s="154"/>
      <c r="F208" s="162"/>
      <c r="G208" s="156"/>
      <c r="H208" s="157"/>
      <c r="I208" s="156"/>
      <c r="J208" s="156"/>
      <c r="K208" s="156"/>
      <c r="L208" s="162"/>
      <c r="M208" s="162"/>
      <c r="N208" s="162"/>
      <c r="O208" s="162"/>
    </row>
    <row r="209" spans="2:15" hidden="1" x14ac:dyDescent="0.2">
      <c r="B209" s="125" t="s">
        <v>113</v>
      </c>
      <c r="C209" s="162">
        <v>7300000</v>
      </c>
      <c r="D209" s="162"/>
      <c r="E209" s="154"/>
      <c r="F209" s="162">
        <f>7300000</f>
        <v>7300000</v>
      </c>
      <c r="G209" s="163">
        <v>0</v>
      </c>
      <c r="H209" s="164">
        <v>0</v>
      </c>
      <c r="I209" s="163">
        <v>0</v>
      </c>
      <c r="J209" s="163">
        <v>0</v>
      </c>
      <c r="K209" s="163">
        <v>0</v>
      </c>
      <c r="L209" s="162">
        <f t="shared" ref="L209:L222" si="30">G209-H209-I209-J209-K209</f>
        <v>0</v>
      </c>
      <c r="M209" s="162"/>
      <c r="N209" s="162"/>
      <c r="O209" s="162">
        <f>H207+K207</f>
        <v>0</v>
      </c>
    </row>
    <row r="210" spans="2:15" x14ac:dyDescent="0.2">
      <c r="B210" s="125" t="s">
        <v>114</v>
      </c>
      <c r="C210" s="162">
        <f>990000+990000+695000</f>
        <v>2675000</v>
      </c>
      <c r="D210" s="162"/>
      <c r="E210" s="154"/>
      <c r="F210" s="162">
        <f>17183.71+229661+131826.35+690398.91+1500831.83+2485+49881.91+26243.19+10483.21</f>
        <v>2658995.11</v>
      </c>
      <c r="G210" s="163">
        <v>16004.889999999719</v>
      </c>
      <c r="H210" s="164">
        <v>16004.89</v>
      </c>
      <c r="I210" s="163">
        <f>[4]UMB!I290</f>
        <v>0</v>
      </c>
      <c r="J210" s="163">
        <f>[4]UMB!J290</f>
        <v>0</v>
      </c>
      <c r="K210" s="163">
        <f>[4]UMB!K290</f>
        <v>0</v>
      </c>
      <c r="L210" s="162">
        <f t="shared" si="30"/>
        <v>-2.801243681460619E-10</v>
      </c>
      <c r="M210" s="162">
        <f t="shared" ref="M210:M219" si="31">H210-N210-O210</f>
        <v>0</v>
      </c>
      <c r="N210" s="162">
        <v>0</v>
      </c>
      <c r="O210" s="162">
        <v>16004.89</v>
      </c>
    </row>
    <row r="211" spans="2:15" x14ac:dyDescent="0.2">
      <c r="B211" s="125" t="s">
        <v>115</v>
      </c>
      <c r="C211" s="162">
        <v>642000</v>
      </c>
      <c r="E211" s="162">
        <v>-569.73</v>
      </c>
      <c r="F211" s="162">
        <f>641430.27</f>
        <v>641430.27</v>
      </c>
      <c r="G211" s="163">
        <v>-1.8644641386345029E-11</v>
      </c>
      <c r="H211" s="164">
        <v>0</v>
      </c>
      <c r="I211" s="163">
        <f>[4]UMES!I143</f>
        <v>0</v>
      </c>
      <c r="J211" s="163">
        <f>[4]UMES!J143</f>
        <v>0</v>
      </c>
      <c r="K211" s="163">
        <f>[4]UMES!K143</f>
        <v>0</v>
      </c>
      <c r="L211" s="162">
        <f t="shared" si="30"/>
        <v>-1.8644641386345029E-11</v>
      </c>
      <c r="M211" s="162">
        <f t="shared" si="31"/>
        <v>0</v>
      </c>
      <c r="N211" s="162">
        <v>0</v>
      </c>
      <c r="O211" s="162">
        <v>0</v>
      </c>
    </row>
    <row r="212" spans="2:15" x14ac:dyDescent="0.2">
      <c r="B212" s="125" t="s">
        <v>116</v>
      </c>
      <c r="C212" s="162">
        <v>1452000</v>
      </c>
      <c r="D212" s="162"/>
      <c r="E212" s="154"/>
      <c r="F212" s="162">
        <f>1352000+100000</f>
        <v>1452000</v>
      </c>
      <c r="G212" s="163">
        <v>0</v>
      </c>
      <c r="H212" s="164">
        <v>0</v>
      </c>
      <c r="I212" s="163">
        <v>0</v>
      </c>
      <c r="J212" s="163">
        <v>0</v>
      </c>
      <c r="K212" s="163">
        <v>0</v>
      </c>
      <c r="L212" s="162">
        <f t="shared" si="30"/>
        <v>0</v>
      </c>
      <c r="M212" s="162">
        <f t="shared" si="31"/>
        <v>0</v>
      </c>
      <c r="N212" s="162">
        <v>0</v>
      </c>
      <c r="O212" s="162">
        <v>0</v>
      </c>
    </row>
    <row r="213" spans="2:15" x14ac:dyDescent="0.2">
      <c r="B213" s="125" t="s">
        <v>117</v>
      </c>
      <c r="C213" s="162">
        <v>317000</v>
      </c>
      <c r="D213" s="162"/>
      <c r="E213" s="154"/>
      <c r="F213" s="163">
        <f>188967.76+128032.24</f>
        <v>317000</v>
      </c>
      <c r="G213" s="163">
        <v>0</v>
      </c>
      <c r="H213" s="164">
        <v>0</v>
      </c>
      <c r="I213" s="163">
        <v>0</v>
      </c>
      <c r="J213" s="163">
        <v>0</v>
      </c>
      <c r="K213" s="163">
        <v>0</v>
      </c>
      <c r="L213" s="162">
        <f t="shared" si="30"/>
        <v>0</v>
      </c>
      <c r="M213" s="162">
        <f t="shared" si="31"/>
        <v>0</v>
      </c>
      <c r="N213" s="162">
        <v>0</v>
      </c>
      <c r="O213" s="162">
        <v>0</v>
      </c>
    </row>
    <row r="214" spans="2:15" x14ac:dyDescent="0.2">
      <c r="B214" s="125" t="s">
        <v>118</v>
      </c>
      <c r="C214" s="162">
        <v>554000</v>
      </c>
      <c r="D214" s="162"/>
      <c r="E214" s="154"/>
      <c r="F214" s="162">
        <f>494268.28+57168.93+2562.79</f>
        <v>554000.00000000012</v>
      </c>
      <c r="G214" s="163">
        <v>0</v>
      </c>
      <c r="H214" s="164">
        <v>0</v>
      </c>
      <c r="I214" s="163">
        <v>0</v>
      </c>
      <c r="J214" s="163">
        <v>0</v>
      </c>
      <c r="K214" s="163">
        <v>0</v>
      </c>
      <c r="L214" s="162">
        <f t="shared" si="30"/>
        <v>0</v>
      </c>
      <c r="M214" s="162">
        <f t="shared" si="31"/>
        <v>0</v>
      </c>
      <c r="N214" s="162">
        <v>0</v>
      </c>
      <c r="O214" s="162">
        <v>0</v>
      </c>
    </row>
    <row r="215" spans="2:15" x14ac:dyDescent="0.2">
      <c r="B215" s="125" t="s">
        <v>119</v>
      </c>
      <c r="C215" s="162">
        <f>284000+125000</f>
        <v>409000</v>
      </c>
      <c r="D215" s="167">
        <f>8568.82+8657.18</f>
        <v>17226</v>
      </c>
      <c r="E215" s="154"/>
      <c r="F215" s="167">
        <f>333494.01+10775.25+81956.74</f>
        <v>426226</v>
      </c>
      <c r="G215" s="163">
        <v>0</v>
      </c>
      <c r="H215" s="164">
        <v>0</v>
      </c>
      <c r="I215" s="163">
        <v>0</v>
      </c>
      <c r="J215" s="163">
        <v>0</v>
      </c>
      <c r="K215" s="163">
        <v>0</v>
      </c>
      <c r="L215" s="162">
        <f t="shared" si="30"/>
        <v>0</v>
      </c>
      <c r="M215" s="162">
        <f t="shared" si="31"/>
        <v>0</v>
      </c>
      <c r="N215" s="162">
        <v>0</v>
      </c>
      <c r="O215" s="162">
        <v>0</v>
      </c>
    </row>
    <row r="216" spans="2:15" x14ac:dyDescent="0.2">
      <c r="B216" s="125" t="s">
        <v>120</v>
      </c>
      <c r="C216" s="162">
        <f>450000+195000</f>
        <v>645000</v>
      </c>
      <c r="D216" s="162"/>
      <c r="E216" s="154"/>
      <c r="F216" s="162">
        <f>34127.16+527404.43+3750+79718.41</f>
        <v>645000.00000000012</v>
      </c>
      <c r="G216" s="163">
        <v>0</v>
      </c>
      <c r="H216" s="164">
        <v>0</v>
      </c>
      <c r="I216" s="163">
        <v>0</v>
      </c>
      <c r="J216" s="163">
        <v>0</v>
      </c>
      <c r="K216" s="163">
        <v>0</v>
      </c>
      <c r="L216" s="162">
        <f t="shared" si="30"/>
        <v>0</v>
      </c>
      <c r="M216" s="162">
        <f t="shared" si="31"/>
        <v>0</v>
      </c>
      <c r="N216" s="162">
        <v>0</v>
      </c>
      <c r="O216" s="162">
        <v>0</v>
      </c>
    </row>
    <row r="217" spans="2:15" x14ac:dyDescent="0.2">
      <c r="B217" s="125" t="s">
        <v>137</v>
      </c>
      <c r="C217" s="162">
        <f>300000+236000</f>
        <v>536000</v>
      </c>
      <c r="D217" s="162"/>
      <c r="E217" s="154"/>
      <c r="F217" s="162">
        <f>201126.68+334873.32</f>
        <v>536000</v>
      </c>
      <c r="G217" s="163">
        <v>0</v>
      </c>
      <c r="H217" s="164">
        <v>0</v>
      </c>
      <c r="I217" s="163">
        <v>0</v>
      </c>
      <c r="J217" s="163">
        <v>0</v>
      </c>
      <c r="K217" s="163">
        <v>0</v>
      </c>
      <c r="L217" s="162">
        <f t="shared" si="30"/>
        <v>0</v>
      </c>
      <c r="M217" s="162">
        <f t="shared" si="31"/>
        <v>0</v>
      </c>
      <c r="N217" s="162">
        <v>0</v>
      </c>
      <c r="O217" s="162">
        <v>0</v>
      </c>
    </row>
    <row r="218" spans="2:15" x14ac:dyDescent="0.2">
      <c r="B218" s="125" t="s">
        <v>122</v>
      </c>
      <c r="C218" s="162">
        <f>550000+550000+489000</f>
        <v>1589000</v>
      </c>
      <c r="D218" s="162"/>
      <c r="E218" s="154"/>
      <c r="F218" s="162">
        <f>84859.81+1340943.35+53861.98+4809.95+104524.91</f>
        <v>1589000</v>
      </c>
      <c r="G218" s="163">
        <v>0</v>
      </c>
      <c r="H218" s="164">
        <v>0</v>
      </c>
      <c r="I218" s="163">
        <f>[4]TU!I224+[4]TU!I238+[4]TU!I246</f>
        <v>0</v>
      </c>
      <c r="J218" s="163">
        <f>[4]TU!J224+[4]TU!J238+[4]TU!J246</f>
        <v>0</v>
      </c>
      <c r="K218" s="163">
        <f>[4]TU!K224+[4]TU!K238+[4]TU!K246</f>
        <v>0</v>
      </c>
      <c r="L218" s="162">
        <f t="shared" si="30"/>
        <v>0</v>
      </c>
      <c r="M218" s="162">
        <f t="shared" si="31"/>
        <v>0</v>
      </c>
      <c r="N218" s="162">
        <v>0</v>
      </c>
      <c r="O218" s="162">
        <v>0</v>
      </c>
    </row>
    <row r="219" spans="2:15" x14ac:dyDescent="0.2">
      <c r="B219" s="125" t="s">
        <v>123</v>
      </c>
      <c r="C219" s="153">
        <v>418000</v>
      </c>
      <c r="D219" s="154"/>
      <c r="E219" s="154"/>
      <c r="F219" s="162">
        <f>290213.4+1733.06+7974.04+47924.96+45244+22388.85</f>
        <v>415478.31</v>
      </c>
      <c r="G219" s="163">
        <v>2521.6900000000387</v>
      </c>
      <c r="H219" s="164">
        <v>2521.69</v>
      </c>
      <c r="I219" s="163">
        <f>[4]UB!I159</f>
        <v>0</v>
      </c>
      <c r="J219" s="163">
        <f>[4]UB!J159</f>
        <v>0</v>
      </c>
      <c r="K219" s="163">
        <f>[4]UB!K159</f>
        <v>0</v>
      </c>
      <c r="L219" s="162">
        <f t="shared" si="30"/>
        <v>3.865352482534945E-11</v>
      </c>
      <c r="M219" s="162">
        <f t="shared" si="31"/>
        <v>2521.69</v>
      </c>
      <c r="N219" s="162">
        <v>0</v>
      </c>
      <c r="O219" s="162">
        <v>0</v>
      </c>
    </row>
    <row r="220" spans="2:15" x14ac:dyDescent="0.2">
      <c r="B220" s="165" t="s">
        <v>127</v>
      </c>
      <c r="C220" s="153">
        <v>463000</v>
      </c>
      <c r="D220" s="162"/>
      <c r="E220" s="162">
        <f>-200000-125000-100000-38000</f>
        <v>-463000</v>
      </c>
      <c r="F220" s="162"/>
      <c r="G220" s="163">
        <v>0</v>
      </c>
      <c r="H220" s="164"/>
      <c r="I220" s="163"/>
      <c r="J220" s="163"/>
      <c r="K220" s="163"/>
      <c r="L220" s="162"/>
      <c r="M220" s="162"/>
      <c r="N220" s="162"/>
      <c r="O220" s="162"/>
    </row>
    <row r="221" spans="2:15" x14ac:dyDescent="0.2">
      <c r="B221" s="125" t="s">
        <v>182</v>
      </c>
      <c r="C221" s="153"/>
      <c r="D221" s="162"/>
      <c r="E221" s="162">
        <v>200000</v>
      </c>
      <c r="F221" s="163">
        <f>12000+175073.75+12926.25</f>
        <v>200000</v>
      </c>
      <c r="G221" s="163">
        <v>0</v>
      </c>
      <c r="H221" s="164">
        <v>0</v>
      </c>
      <c r="I221" s="163">
        <v>0</v>
      </c>
      <c r="J221" s="163">
        <v>0</v>
      </c>
      <c r="K221" s="163">
        <v>0</v>
      </c>
      <c r="L221" s="162">
        <f t="shared" si="30"/>
        <v>0</v>
      </c>
      <c r="M221" s="162"/>
      <c r="N221" s="162"/>
      <c r="O221" s="162">
        <v>0</v>
      </c>
    </row>
    <row r="222" spans="2:15" x14ac:dyDescent="0.2">
      <c r="B222" s="125" t="s">
        <v>183</v>
      </c>
      <c r="C222" s="153"/>
      <c r="D222" s="162"/>
      <c r="E222" s="162">
        <v>125000</v>
      </c>
      <c r="F222" s="162">
        <f>10428.44+114387.04+184.52</f>
        <v>125000</v>
      </c>
      <c r="G222" s="163">
        <v>0</v>
      </c>
      <c r="H222" s="164">
        <v>0</v>
      </c>
      <c r="I222" s="163">
        <v>0</v>
      </c>
      <c r="J222" s="163">
        <v>0</v>
      </c>
      <c r="K222" s="163">
        <v>0</v>
      </c>
      <c r="L222" s="162">
        <f t="shared" si="30"/>
        <v>0</v>
      </c>
      <c r="M222" s="162"/>
      <c r="N222" s="162"/>
      <c r="O222" s="162">
        <v>0</v>
      </c>
    </row>
    <row r="223" spans="2:15" x14ac:dyDescent="0.2">
      <c r="B223" s="125" t="s">
        <v>184</v>
      </c>
      <c r="C223" s="153"/>
      <c r="D223" s="162"/>
      <c r="E223" s="162">
        <f>100000</f>
        <v>100000</v>
      </c>
      <c r="F223" s="162">
        <f>17814.81+82185.19</f>
        <v>100000</v>
      </c>
      <c r="G223" s="163">
        <v>0</v>
      </c>
      <c r="H223" s="164">
        <v>0</v>
      </c>
      <c r="I223" s="163">
        <v>0</v>
      </c>
      <c r="J223" s="163">
        <v>0</v>
      </c>
      <c r="K223" s="163">
        <f>[4]UMCP!K15</f>
        <v>0</v>
      </c>
      <c r="L223" s="162">
        <f>G223-H223-I223-J223-K223</f>
        <v>0</v>
      </c>
      <c r="M223" s="162"/>
      <c r="N223" s="162"/>
      <c r="O223" s="162">
        <v>0</v>
      </c>
    </row>
    <row r="224" spans="2:15" x14ac:dyDescent="0.2">
      <c r="C224" s="153"/>
      <c r="D224" s="154"/>
      <c r="E224" s="154"/>
      <c r="F224" s="162"/>
      <c r="G224" s="156"/>
      <c r="H224" s="157"/>
      <c r="I224" s="156"/>
      <c r="J224" s="156"/>
      <c r="K224" s="156"/>
      <c r="L224" s="154"/>
      <c r="M224" s="154"/>
      <c r="N224" s="154"/>
      <c r="O224" s="154"/>
    </row>
    <row r="225" spans="1:15" ht="13.5" thickBot="1" x14ac:dyDescent="0.25">
      <c r="B225" s="168" t="s">
        <v>129</v>
      </c>
      <c r="C225" s="169">
        <f t="shared" ref="C225:O225" si="32">SUM(C206:C224)</f>
        <v>32000000</v>
      </c>
      <c r="D225" s="169">
        <f t="shared" si="32"/>
        <v>17226</v>
      </c>
      <c r="E225" s="169">
        <f t="shared" si="32"/>
        <v>-38569.729999999981</v>
      </c>
      <c r="F225" s="192">
        <f t="shared" si="32"/>
        <v>31960129.689999998</v>
      </c>
      <c r="G225" s="169">
        <f t="shared" si="32"/>
        <v>18526.57999999974</v>
      </c>
      <c r="H225" s="169">
        <f t="shared" si="32"/>
        <v>18526.579999999998</v>
      </c>
      <c r="I225" s="169">
        <f t="shared" si="32"/>
        <v>0</v>
      </c>
      <c r="J225" s="169">
        <f t="shared" si="32"/>
        <v>0</v>
      </c>
      <c r="K225" s="169">
        <f t="shared" si="32"/>
        <v>0</v>
      </c>
      <c r="L225" s="169">
        <f t="shared" si="32"/>
        <v>-2.6011548470705748E-10</v>
      </c>
      <c r="M225" s="169">
        <f t="shared" si="32"/>
        <v>2521.69</v>
      </c>
      <c r="N225" s="169">
        <f t="shared" si="32"/>
        <v>0</v>
      </c>
      <c r="O225" s="169">
        <f t="shared" si="32"/>
        <v>16004.89</v>
      </c>
    </row>
    <row r="226" spans="1:15" ht="13.5" thickTop="1" x14ac:dyDescent="0.2">
      <c r="C226" s="153"/>
      <c r="D226" s="154"/>
      <c r="E226" s="154"/>
      <c r="F226" s="191"/>
      <c r="G226" s="172"/>
      <c r="H226" s="173"/>
      <c r="I226" s="172"/>
      <c r="J226" s="172"/>
      <c r="K226" s="172"/>
      <c r="L226" s="162"/>
      <c r="M226" s="162"/>
      <c r="N226" s="162"/>
      <c r="O226" s="162"/>
    </row>
    <row r="227" spans="1:15" x14ac:dyDescent="0.2">
      <c r="A227" s="165" t="s">
        <v>185</v>
      </c>
      <c r="C227" s="153"/>
      <c r="D227" s="154"/>
      <c r="E227" s="154"/>
      <c r="F227" s="162"/>
      <c r="G227" s="156"/>
      <c r="H227" s="157"/>
      <c r="I227" s="156"/>
      <c r="J227" s="156"/>
      <c r="K227" s="156"/>
      <c r="L227" s="154"/>
      <c r="M227" s="154"/>
      <c r="N227" s="154"/>
      <c r="O227" s="154"/>
    </row>
    <row r="228" spans="1:15" hidden="1" x14ac:dyDescent="0.2">
      <c r="B228" s="125" t="s">
        <v>179</v>
      </c>
      <c r="C228" s="153">
        <v>5000000</v>
      </c>
      <c r="D228" s="154"/>
      <c r="E228" s="154"/>
      <c r="F228" s="162">
        <f>3529+2923550.04+105092+1082695.32+267467.11+355792.93+261873.6</f>
        <v>5000000</v>
      </c>
      <c r="G228" s="172">
        <v>0</v>
      </c>
      <c r="H228" s="173">
        <v>0</v>
      </c>
      <c r="I228" s="172">
        <v>0</v>
      </c>
      <c r="J228" s="172">
        <v>0</v>
      </c>
      <c r="K228" s="172">
        <v>0</v>
      </c>
      <c r="L228" s="162">
        <f>G228-H228-I228-J228-K228</f>
        <v>0</v>
      </c>
      <c r="M228" s="162"/>
      <c r="N228" s="162"/>
      <c r="O228" s="162">
        <f>H228+I228+J228+K228</f>
        <v>0</v>
      </c>
    </row>
    <row r="229" spans="1:15" hidden="1" x14ac:dyDescent="0.2">
      <c r="B229" s="125" t="s">
        <v>186</v>
      </c>
      <c r="C229" s="153">
        <v>10000000</v>
      </c>
      <c r="D229" s="154"/>
      <c r="E229" s="154"/>
      <c r="F229" s="162">
        <f>9969803.99+30196.01</f>
        <v>10000000</v>
      </c>
      <c r="G229" s="172">
        <v>0</v>
      </c>
      <c r="H229" s="173">
        <v>0</v>
      </c>
      <c r="I229" s="172">
        <v>0</v>
      </c>
      <c r="J229" s="172">
        <v>0</v>
      </c>
      <c r="K229" s="172">
        <v>0</v>
      </c>
      <c r="L229" s="162">
        <f>G229-H229-I229-J229-K229</f>
        <v>0</v>
      </c>
      <c r="M229" s="162"/>
      <c r="N229" s="162"/>
      <c r="O229" s="162">
        <f>H229+I229+J229+K229</f>
        <v>0</v>
      </c>
    </row>
    <row r="230" spans="1:15" x14ac:dyDescent="0.2">
      <c r="B230" s="165" t="s">
        <v>112</v>
      </c>
      <c r="C230" s="153"/>
      <c r="D230" s="154"/>
      <c r="E230" s="154"/>
      <c r="F230" s="162"/>
      <c r="G230" s="156"/>
      <c r="H230" s="157"/>
      <c r="I230" s="156"/>
      <c r="J230" s="156"/>
      <c r="K230" s="156"/>
      <c r="L230" s="162"/>
      <c r="M230" s="162"/>
      <c r="N230" s="162"/>
      <c r="O230" s="162"/>
    </row>
    <row r="231" spans="1:15" hidden="1" x14ac:dyDescent="0.2">
      <c r="B231" s="125" t="s">
        <v>113</v>
      </c>
      <c r="C231" s="162">
        <v>7300000</v>
      </c>
      <c r="D231" s="162"/>
      <c r="E231" s="162"/>
      <c r="F231" s="162">
        <f>1854333.16+428252.37+5017414.47</f>
        <v>7300000</v>
      </c>
      <c r="G231" s="163">
        <v>0</v>
      </c>
      <c r="H231" s="164">
        <v>0</v>
      </c>
      <c r="I231" s="163">
        <v>0</v>
      </c>
      <c r="J231" s="163">
        <v>0</v>
      </c>
      <c r="K231" s="163">
        <v>0</v>
      </c>
      <c r="L231" s="162">
        <f t="shared" ref="L231:L243" si="33">G231-H231-I231-J231-K231</f>
        <v>0</v>
      </c>
      <c r="M231" s="162"/>
      <c r="N231" s="162"/>
      <c r="O231" s="162">
        <f>H231+I231+J231+K231</f>
        <v>0</v>
      </c>
    </row>
    <row r="232" spans="1:15" x14ac:dyDescent="0.2">
      <c r="B232" s="125" t="s">
        <v>114</v>
      </c>
      <c r="C232" s="162">
        <v>2675000</v>
      </c>
      <c r="D232" s="162"/>
      <c r="E232" s="162"/>
      <c r="F232" s="162">
        <f>27961.56+248653.58+1461944.86+27572.65+761929.36+1092+70720.87+9695.05+87.36</f>
        <v>2609657.2899999996</v>
      </c>
      <c r="G232" s="163">
        <v>65342.709999999992</v>
      </c>
      <c r="H232" s="164">
        <v>65342.71</v>
      </c>
      <c r="I232" s="163">
        <f>[4]UMB!I308</f>
        <v>0</v>
      </c>
      <c r="J232" s="163">
        <f>[4]UMB!J308</f>
        <v>0</v>
      </c>
      <c r="K232" s="163">
        <f>[4]UMB!K308</f>
        <v>0</v>
      </c>
      <c r="L232" s="162">
        <f t="shared" si="33"/>
        <v>-7.2759576141834259E-12</v>
      </c>
      <c r="M232" s="162">
        <f>H232-N232-O232</f>
        <v>0</v>
      </c>
      <c r="N232" s="162">
        <v>0</v>
      </c>
      <c r="O232" s="162">
        <v>65342.71</v>
      </c>
    </row>
    <row r="233" spans="1:15" hidden="1" x14ac:dyDescent="0.2">
      <c r="B233" s="125" t="s">
        <v>115</v>
      </c>
      <c r="C233" s="162">
        <v>642000</v>
      </c>
      <c r="D233" s="162"/>
      <c r="E233" s="162"/>
      <c r="F233" s="163">
        <f>265235.37+376764.63</f>
        <v>642000</v>
      </c>
      <c r="G233" s="163">
        <v>0</v>
      </c>
      <c r="H233" s="164">
        <v>0</v>
      </c>
      <c r="I233" s="163">
        <v>0</v>
      </c>
      <c r="J233" s="163">
        <v>0</v>
      </c>
      <c r="K233" s="163">
        <v>0</v>
      </c>
      <c r="L233" s="162">
        <f t="shared" si="33"/>
        <v>0</v>
      </c>
      <c r="M233" s="162"/>
      <c r="N233" s="162">
        <v>0</v>
      </c>
      <c r="O233" s="162">
        <f t="shared" ref="O233:O241" si="34">H233+I233+J233+K233</f>
        <v>0</v>
      </c>
    </row>
    <row r="234" spans="1:15" hidden="1" x14ac:dyDescent="0.2">
      <c r="B234" s="125" t="s">
        <v>116</v>
      </c>
      <c r="C234" s="162">
        <v>1452000</v>
      </c>
      <c r="D234" s="162"/>
      <c r="E234" s="162"/>
      <c r="F234" s="162">
        <f>75040.75+1319734.01+38257.4+18967.84</f>
        <v>1452000</v>
      </c>
      <c r="G234" s="163">
        <v>0</v>
      </c>
      <c r="H234" s="164">
        <v>0</v>
      </c>
      <c r="I234" s="163">
        <v>0</v>
      </c>
      <c r="J234" s="163">
        <v>0</v>
      </c>
      <c r="K234" s="163">
        <v>0</v>
      </c>
      <c r="L234" s="162">
        <f t="shared" si="33"/>
        <v>0</v>
      </c>
      <c r="M234" s="162"/>
      <c r="N234" s="162">
        <v>0</v>
      </c>
      <c r="O234" s="162">
        <f t="shared" si="34"/>
        <v>0</v>
      </c>
    </row>
    <row r="235" spans="1:15" hidden="1" x14ac:dyDescent="0.2">
      <c r="B235" s="125" t="s">
        <v>117</v>
      </c>
      <c r="C235" s="162">
        <v>317000</v>
      </c>
      <c r="D235" s="162"/>
      <c r="E235" s="162"/>
      <c r="F235" s="162">
        <f>317000</f>
        <v>317000</v>
      </c>
      <c r="G235" s="163">
        <v>0</v>
      </c>
      <c r="H235" s="164">
        <v>0</v>
      </c>
      <c r="I235" s="163">
        <v>0</v>
      </c>
      <c r="J235" s="163">
        <v>0</v>
      </c>
      <c r="K235" s="163">
        <v>0</v>
      </c>
      <c r="L235" s="162">
        <f t="shared" si="33"/>
        <v>0</v>
      </c>
      <c r="M235" s="162"/>
      <c r="N235" s="162">
        <v>0</v>
      </c>
      <c r="O235" s="162">
        <f t="shared" si="34"/>
        <v>0</v>
      </c>
    </row>
    <row r="236" spans="1:15" hidden="1" x14ac:dyDescent="0.2">
      <c r="B236" s="125" t="s">
        <v>118</v>
      </c>
      <c r="C236" s="162">
        <v>554000</v>
      </c>
      <c r="D236" s="162"/>
      <c r="E236" s="162"/>
      <c r="F236" s="162">
        <f>14006.5+9101+530000+892.5</f>
        <v>554000</v>
      </c>
      <c r="G236" s="163">
        <v>0</v>
      </c>
      <c r="H236" s="164">
        <v>0</v>
      </c>
      <c r="I236" s="163">
        <v>0</v>
      </c>
      <c r="J236" s="163">
        <v>0</v>
      </c>
      <c r="K236" s="163">
        <v>0</v>
      </c>
      <c r="L236" s="162">
        <f t="shared" si="33"/>
        <v>0</v>
      </c>
      <c r="M236" s="162"/>
      <c r="N236" s="162">
        <v>0</v>
      </c>
      <c r="O236" s="162">
        <f t="shared" si="34"/>
        <v>0</v>
      </c>
    </row>
    <row r="237" spans="1:15" hidden="1" x14ac:dyDescent="0.2">
      <c r="B237" s="125" t="s">
        <v>119</v>
      </c>
      <c r="C237" s="162">
        <v>409000</v>
      </c>
      <c r="D237" s="54">
        <v>-8657.18</v>
      </c>
      <c r="E237" s="162"/>
      <c r="F237" s="167">
        <f>400342.82</f>
        <v>400342.82</v>
      </c>
      <c r="G237" s="163">
        <v>0</v>
      </c>
      <c r="H237" s="164">
        <v>0</v>
      </c>
      <c r="I237" s="163">
        <v>0</v>
      </c>
      <c r="J237" s="163">
        <v>0</v>
      </c>
      <c r="K237" s="163">
        <v>0</v>
      </c>
      <c r="L237" s="162">
        <f t="shared" si="33"/>
        <v>0</v>
      </c>
      <c r="M237" s="162"/>
      <c r="N237" s="162">
        <v>0</v>
      </c>
      <c r="O237" s="162">
        <f t="shared" si="34"/>
        <v>0</v>
      </c>
    </row>
    <row r="238" spans="1:15" hidden="1" x14ac:dyDescent="0.2">
      <c r="B238" s="125" t="s">
        <v>120</v>
      </c>
      <c r="C238" s="162">
        <v>645000</v>
      </c>
      <c r="D238" s="162"/>
      <c r="E238" s="162"/>
      <c r="F238" s="162">
        <f>94801.54+119529.13+19228.26+323200+6410.7+81830.37</f>
        <v>644999.99999999988</v>
      </c>
      <c r="G238" s="163">
        <v>0</v>
      </c>
      <c r="H238" s="164">
        <v>0</v>
      </c>
      <c r="I238" s="163">
        <v>0</v>
      </c>
      <c r="J238" s="163">
        <v>0</v>
      </c>
      <c r="K238" s="163">
        <v>0</v>
      </c>
      <c r="L238" s="162">
        <f t="shared" si="33"/>
        <v>0</v>
      </c>
      <c r="M238" s="162"/>
      <c r="N238" s="162">
        <v>0</v>
      </c>
      <c r="O238" s="162">
        <f t="shared" si="34"/>
        <v>0</v>
      </c>
    </row>
    <row r="239" spans="1:15" hidden="1" x14ac:dyDescent="0.2">
      <c r="B239" s="125" t="s">
        <v>137</v>
      </c>
      <c r="C239" s="162">
        <v>536000</v>
      </c>
      <c r="D239" s="162">
        <v>-0.03</v>
      </c>
      <c r="E239" s="162"/>
      <c r="F239" s="162">
        <f>459882.47+76117.5</f>
        <v>535999.97</v>
      </c>
      <c r="G239" s="163">
        <v>0</v>
      </c>
      <c r="H239" s="164">
        <v>0</v>
      </c>
      <c r="I239" s="163">
        <v>0</v>
      </c>
      <c r="J239" s="163">
        <v>0</v>
      </c>
      <c r="K239" s="163">
        <v>0</v>
      </c>
      <c r="L239" s="162">
        <f t="shared" si="33"/>
        <v>0</v>
      </c>
      <c r="M239" s="162"/>
      <c r="N239" s="162">
        <v>0</v>
      </c>
      <c r="O239" s="162">
        <f t="shared" si="34"/>
        <v>0</v>
      </c>
    </row>
    <row r="240" spans="1:15" hidden="1" x14ac:dyDescent="0.2">
      <c r="B240" s="125" t="s">
        <v>122</v>
      </c>
      <c r="C240" s="162">
        <v>1589000</v>
      </c>
      <c r="D240" s="162"/>
      <c r="E240" s="162"/>
      <c r="F240" s="162">
        <f>1297648.93+14449.5+4900+272001.57</f>
        <v>1589000</v>
      </c>
      <c r="G240" s="163">
        <v>0</v>
      </c>
      <c r="H240" s="164">
        <v>0</v>
      </c>
      <c r="I240" s="163">
        <v>0</v>
      </c>
      <c r="J240" s="163">
        <v>0</v>
      </c>
      <c r="K240" s="163">
        <v>0</v>
      </c>
      <c r="L240" s="162">
        <f t="shared" si="33"/>
        <v>0</v>
      </c>
      <c r="M240" s="162"/>
      <c r="N240" s="162">
        <v>0</v>
      </c>
      <c r="O240" s="162">
        <f t="shared" si="34"/>
        <v>0</v>
      </c>
    </row>
    <row r="241" spans="1:15" hidden="1" x14ac:dyDescent="0.2">
      <c r="B241" s="125" t="s">
        <v>123</v>
      </c>
      <c r="C241" s="153">
        <v>418000</v>
      </c>
      <c r="D241" s="162">
        <v>-67674.259999999995</v>
      </c>
      <c r="E241" s="154"/>
      <c r="F241" s="162">
        <f>133766.84+186228.72+14900+15430.18</f>
        <v>350325.74</v>
      </c>
      <c r="G241" s="163">
        <v>0</v>
      </c>
      <c r="H241" s="164">
        <v>0</v>
      </c>
      <c r="I241" s="163">
        <v>0</v>
      </c>
      <c r="J241" s="163">
        <v>0</v>
      </c>
      <c r="K241" s="163">
        <v>0</v>
      </c>
      <c r="L241" s="162">
        <f t="shared" si="33"/>
        <v>0</v>
      </c>
      <c r="M241" s="162"/>
      <c r="N241" s="162">
        <v>0</v>
      </c>
      <c r="O241" s="162">
        <f t="shared" si="34"/>
        <v>0</v>
      </c>
    </row>
    <row r="242" spans="1:15" x14ac:dyDescent="0.2">
      <c r="B242" s="165" t="s">
        <v>127</v>
      </c>
      <c r="C242" s="153">
        <v>463000</v>
      </c>
      <c r="E242" s="54">
        <f>24627.14-80000-288809.46-75000-43817.68</f>
        <v>-463000</v>
      </c>
      <c r="F242" s="162">
        <f>'[4]Emergency Funds'!G104</f>
        <v>0</v>
      </c>
      <c r="G242" s="163">
        <v>0</v>
      </c>
      <c r="H242" s="164"/>
      <c r="I242" s="163"/>
      <c r="J242" s="163"/>
      <c r="K242" s="163"/>
      <c r="L242" s="162"/>
      <c r="M242" s="162">
        <f>H242-N242-O242</f>
        <v>0</v>
      </c>
      <c r="N242" s="162"/>
      <c r="O242" s="162"/>
    </row>
    <row r="243" spans="1:15" x14ac:dyDescent="0.2">
      <c r="B243" s="125" t="s">
        <v>187</v>
      </c>
      <c r="C243" s="153"/>
      <c r="D243" s="126">
        <v>-63620.75</v>
      </c>
      <c r="E243" s="54">
        <f>75000</f>
        <v>75000</v>
      </c>
      <c r="F243" s="162">
        <f>11379.25</f>
        <v>11379.25</v>
      </c>
      <c r="G243" s="163">
        <v>0</v>
      </c>
      <c r="H243" s="164">
        <v>0</v>
      </c>
      <c r="I243" s="163">
        <f>[4]UMES!I10</f>
        <v>0</v>
      </c>
      <c r="J243" s="163">
        <f>[4]UMES!J10</f>
        <v>0</v>
      </c>
      <c r="K243" s="163">
        <f>[4]UMES!K10</f>
        <v>0</v>
      </c>
      <c r="L243" s="162">
        <f t="shared" si="33"/>
        <v>0</v>
      </c>
      <c r="M243" s="162">
        <f>H243-N243-O243</f>
        <v>0</v>
      </c>
      <c r="N243" s="162">
        <v>0</v>
      </c>
      <c r="O243" s="162">
        <v>0</v>
      </c>
    </row>
    <row r="244" spans="1:15" x14ac:dyDescent="0.2">
      <c r="C244" s="153"/>
      <c r="D244" s="154"/>
      <c r="E244" s="154"/>
      <c r="F244" s="162"/>
      <c r="G244" s="156"/>
      <c r="H244" s="157"/>
      <c r="I244" s="156"/>
      <c r="J244" s="156"/>
      <c r="K244" s="156"/>
      <c r="L244" s="154"/>
      <c r="M244" s="154"/>
      <c r="N244" s="154"/>
      <c r="O244" s="154"/>
    </row>
    <row r="245" spans="1:15" ht="13.5" thickBot="1" x14ac:dyDescent="0.25">
      <c r="B245" s="168" t="s">
        <v>188</v>
      </c>
      <c r="C245" s="169">
        <f t="shared" ref="C245:O245" si="35">SUM(C228:C244)</f>
        <v>32000000</v>
      </c>
      <c r="D245" s="169">
        <f t="shared" si="35"/>
        <v>-139952.22</v>
      </c>
      <c r="E245" s="169">
        <f t="shared" si="35"/>
        <v>-388000</v>
      </c>
      <c r="F245" s="192">
        <f t="shared" si="35"/>
        <v>31406705.069999997</v>
      </c>
      <c r="G245" s="169">
        <f t="shared" si="35"/>
        <v>65342.709999999992</v>
      </c>
      <c r="H245" s="169">
        <f t="shared" si="35"/>
        <v>65342.71</v>
      </c>
      <c r="I245" s="169">
        <f t="shared" si="35"/>
        <v>0</v>
      </c>
      <c r="J245" s="169">
        <f t="shared" si="35"/>
        <v>0</v>
      </c>
      <c r="K245" s="169">
        <f t="shared" si="35"/>
        <v>0</v>
      </c>
      <c r="L245" s="169">
        <f t="shared" si="35"/>
        <v>-7.2759576141834259E-12</v>
      </c>
      <c r="M245" s="169">
        <f t="shared" si="35"/>
        <v>0</v>
      </c>
      <c r="N245" s="169">
        <f t="shared" si="35"/>
        <v>0</v>
      </c>
      <c r="O245" s="169">
        <f t="shared" si="35"/>
        <v>65342.71</v>
      </c>
    </row>
    <row r="246" spans="1:15" ht="13.5" thickTop="1" x14ac:dyDescent="0.2">
      <c r="B246" s="165"/>
      <c r="C246" s="153"/>
      <c r="D246" s="153"/>
      <c r="E246" s="153"/>
      <c r="F246" s="191"/>
      <c r="G246" s="153"/>
      <c r="H246" s="166"/>
      <c r="I246" s="153"/>
      <c r="J246" s="153"/>
      <c r="K246" s="153"/>
      <c r="L246" s="153"/>
      <c r="M246" s="153"/>
      <c r="N246" s="153"/>
      <c r="O246" s="153"/>
    </row>
    <row r="247" spans="1:15" x14ac:dyDescent="0.2">
      <c r="A247" s="165" t="s">
        <v>189</v>
      </c>
      <c r="C247" s="153"/>
      <c r="D247" s="154"/>
      <c r="E247" s="154"/>
      <c r="F247" s="162"/>
      <c r="G247" s="156"/>
      <c r="H247" s="157"/>
      <c r="I247" s="156"/>
      <c r="J247" s="156"/>
      <c r="K247" s="156"/>
      <c r="L247" s="154"/>
      <c r="M247" s="154"/>
      <c r="N247" s="154"/>
      <c r="O247" s="154"/>
    </row>
    <row r="248" spans="1:15" x14ac:dyDescent="0.2">
      <c r="B248" s="125" t="s">
        <v>190</v>
      </c>
      <c r="C248" s="153">
        <v>5000000</v>
      </c>
      <c r="D248" s="154"/>
      <c r="E248" s="154"/>
      <c r="F248" s="162">
        <f>2778210.96+92729.25+1551217.53+577842.26</f>
        <v>5000000</v>
      </c>
      <c r="G248" s="172">
        <v>0</v>
      </c>
      <c r="H248" s="173">
        <v>0</v>
      </c>
      <c r="I248" s="172">
        <v>0</v>
      </c>
      <c r="J248" s="172">
        <v>0</v>
      </c>
      <c r="K248" s="172">
        <v>0</v>
      </c>
      <c r="L248" s="162">
        <f>G248-H248-I248-J248-K248</f>
        <v>0</v>
      </c>
      <c r="M248" s="162">
        <f>H248-N248-O248</f>
        <v>0</v>
      </c>
      <c r="N248" s="162">
        <v>0</v>
      </c>
      <c r="O248" s="162">
        <v>0</v>
      </c>
    </row>
    <row r="249" spans="1:15" x14ac:dyDescent="0.2">
      <c r="B249" s="125" t="s">
        <v>191</v>
      </c>
      <c r="C249" s="153">
        <v>463000</v>
      </c>
      <c r="D249" s="162"/>
      <c r="E249" s="154"/>
      <c r="F249" s="162">
        <f>378155.03+84844.97</f>
        <v>463000</v>
      </c>
      <c r="G249" s="172">
        <v>0</v>
      </c>
      <c r="H249" s="173">
        <v>0</v>
      </c>
      <c r="I249" s="172"/>
      <c r="J249" s="172">
        <v>0</v>
      </c>
      <c r="K249" s="172">
        <v>0</v>
      </c>
      <c r="L249" s="162">
        <f>G249-H249-I249-J249-K249</f>
        <v>0</v>
      </c>
      <c r="M249" s="162">
        <f>H249-N249-O249</f>
        <v>0</v>
      </c>
      <c r="N249" s="162">
        <v>0</v>
      </c>
      <c r="O249" s="162">
        <v>0</v>
      </c>
    </row>
    <row r="250" spans="1:15" x14ac:dyDescent="0.2">
      <c r="B250" s="125" t="s">
        <v>186</v>
      </c>
      <c r="C250" s="153">
        <v>10000000</v>
      </c>
      <c r="D250" s="162">
        <v>-91469.57</v>
      </c>
      <c r="E250" s="154"/>
      <c r="F250" s="162">
        <f>9859707.89+30276.49+18546.05</f>
        <v>9908530.4300000016</v>
      </c>
      <c r="G250" s="172">
        <v>0</v>
      </c>
      <c r="H250" s="173">
        <v>0</v>
      </c>
      <c r="I250" s="172"/>
      <c r="J250" s="172">
        <v>0</v>
      </c>
      <c r="K250" s="172">
        <v>0</v>
      </c>
      <c r="L250" s="162">
        <f>G250-H250-I250-J250-K250</f>
        <v>0</v>
      </c>
      <c r="M250" s="162">
        <f>H250-N250-O250</f>
        <v>0</v>
      </c>
      <c r="N250" s="162">
        <v>0</v>
      </c>
      <c r="O250" s="162">
        <v>0</v>
      </c>
    </row>
    <row r="251" spans="1:15" x14ac:dyDescent="0.2">
      <c r="B251" s="165" t="s">
        <v>112</v>
      </c>
      <c r="C251" s="153"/>
      <c r="D251" s="154"/>
      <c r="E251" s="154"/>
      <c r="F251" s="162"/>
      <c r="G251" s="156"/>
      <c r="H251" s="157"/>
      <c r="I251" s="156"/>
      <c r="J251" s="156"/>
      <c r="K251" s="156"/>
      <c r="L251" s="154"/>
      <c r="M251" s="154"/>
      <c r="N251" s="162"/>
      <c r="O251" s="162"/>
    </row>
    <row r="252" spans="1:15" x14ac:dyDescent="0.2">
      <c r="B252" s="125" t="s">
        <v>113</v>
      </c>
      <c r="C252" s="162">
        <v>7300000</v>
      </c>
      <c r="D252" s="162"/>
      <c r="E252" s="162"/>
      <c r="F252" s="162">
        <f>420527.44+1130610.57+5748861.99</f>
        <v>7300000</v>
      </c>
      <c r="G252" s="163">
        <v>0</v>
      </c>
      <c r="H252" s="164">
        <v>0</v>
      </c>
      <c r="I252" s="163">
        <v>0</v>
      </c>
      <c r="J252" s="163">
        <v>0</v>
      </c>
      <c r="K252" s="163">
        <v>0</v>
      </c>
      <c r="L252" s="162">
        <f>G252-H252-I252-J252</f>
        <v>0</v>
      </c>
      <c r="M252" s="162">
        <f t="shared" ref="M252:M262" si="36">H252-N252-O252</f>
        <v>0</v>
      </c>
      <c r="N252" s="162">
        <v>0</v>
      </c>
      <c r="O252" s="162">
        <v>0</v>
      </c>
    </row>
    <row r="253" spans="1:15" x14ac:dyDescent="0.2">
      <c r="B253" s="125" t="s">
        <v>114</v>
      </c>
      <c r="C253" s="162">
        <v>2675000</v>
      </c>
      <c r="D253" s="162"/>
      <c r="E253" s="162"/>
      <c r="F253" s="162">
        <f>48636+4536+17500+238254.32+2127983.58+59368.09+25549.05+3465+18478.54+40801.13+2590.32</f>
        <v>2587162.0299999993</v>
      </c>
      <c r="G253" s="163">
        <v>87837.970000000059</v>
      </c>
      <c r="H253" s="164">
        <v>87837.97</v>
      </c>
      <c r="I253" s="163">
        <f>[4]UMB!I331</f>
        <v>0</v>
      </c>
      <c r="J253" s="163">
        <f>[4]UMB!J331</f>
        <v>0</v>
      </c>
      <c r="K253" s="163">
        <f>[4]UMB!K331</f>
        <v>0</v>
      </c>
      <c r="L253" s="162">
        <f t="shared" ref="L253:L262" si="37">G253-H253-I253-J253-K253</f>
        <v>5.8207660913467407E-11</v>
      </c>
      <c r="M253" s="162">
        <f t="shared" si="36"/>
        <v>0</v>
      </c>
      <c r="N253" s="162">
        <v>0</v>
      </c>
      <c r="O253" s="162">
        <v>87837.97</v>
      </c>
    </row>
    <row r="254" spans="1:15" x14ac:dyDescent="0.2">
      <c r="B254" s="125" t="s">
        <v>115</v>
      </c>
      <c r="C254" s="162">
        <v>642000</v>
      </c>
      <c r="D254" s="162"/>
      <c r="E254" s="162"/>
      <c r="F254" s="163">
        <v>642000.00000000012</v>
      </c>
      <c r="G254" s="163">
        <v>0</v>
      </c>
      <c r="H254" s="164">
        <v>0</v>
      </c>
      <c r="I254" s="163">
        <v>0</v>
      </c>
      <c r="J254" s="163">
        <v>0</v>
      </c>
      <c r="K254" s="163">
        <v>0</v>
      </c>
      <c r="L254" s="162">
        <f t="shared" si="37"/>
        <v>0</v>
      </c>
      <c r="M254" s="162">
        <f t="shared" si="36"/>
        <v>0</v>
      </c>
      <c r="N254" s="162">
        <v>0</v>
      </c>
      <c r="O254" s="162">
        <v>0</v>
      </c>
    </row>
    <row r="255" spans="1:15" x14ac:dyDescent="0.2">
      <c r="B255" s="125" t="s">
        <v>116</v>
      </c>
      <c r="C255" s="162">
        <v>1452000</v>
      </c>
      <c r="D255" s="162"/>
      <c r="E255" s="162"/>
      <c r="F255" s="162">
        <f>9700+211037.97+1162738.9+68523.13</f>
        <v>1452000</v>
      </c>
      <c r="G255" s="163">
        <v>0</v>
      </c>
      <c r="H255" s="164">
        <v>0</v>
      </c>
      <c r="I255" s="163"/>
      <c r="J255" s="163">
        <v>0</v>
      </c>
      <c r="K255" s="163">
        <v>0</v>
      </c>
      <c r="L255" s="162">
        <f t="shared" si="37"/>
        <v>0</v>
      </c>
      <c r="M255" s="162">
        <f t="shared" si="36"/>
        <v>0</v>
      </c>
      <c r="N255" s="162">
        <v>0</v>
      </c>
      <c r="O255" s="162">
        <v>0</v>
      </c>
    </row>
    <row r="256" spans="1:15" x14ac:dyDescent="0.2">
      <c r="B256" s="125" t="s">
        <v>117</v>
      </c>
      <c r="C256" s="162">
        <v>317000</v>
      </c>
      <c r="E256" s="167">
        <v>-194040.47</v>
      </c>
      <c r="F256" s="167">
        <f>74674+44032.8+4252.73</f>
        <v>122959.53</v>
      </c>
      <c r="G256" s="163">
        <v>0</v>
      </c>
      <c r="H256" s="164">
        <v>0</v>
      </c>
      <c r="I256" s="163"/>
      <c r="J256" s="163">
        <v>0</v>
      </c>
      <c r="K256" s="163">
        <v>0</v>
      </c>
      <c r="L256" s="162">
        <f t="shared" si="37"/>
        <v>0</v>
      </c>
      <c r="M256" s="162">
        <f t="shared" si="36"/>
        <v>0</v>
      </c>
      <c r="N256" s="162">
        <v>0</v>
      </c>
      <c r="O256" s="162">
        <v>0</v>
      </c>
    </row>
    <row r="257" spans="1:15" x14ac:dyDescent="0.2">
      <c r="B257" s="125" t="s">
        <v>118</v>
      </c>
      <c r="C257" s="162">
        <v>554000</v>
      </c>
      <c r="D257" s="162"/>
      <c r="E257" s="162"/>
      <c r="F257" s="162">
        <f>132857.18+1432.44+419000+710.38</f>
        <v>554000</v>
      </c>
      <c r="G257" s="163">
        <v>0</v>
      </c>
      <c r="H257" s="164">
        <v>0</v>
      </c>
      <c r="I257" s="163"/>
      <c r="J257" s="163">
        <v>0</v>
      </c>
      <c r="K257" s="163">
        <v>0</v>
      </c>
      <c r="L257" s="162">
        <f t="shared" si="37"/>
        <v>0</v>
      </c>
      <c r="M257" s="162">
        <f t="shared" si="36"/>
        <v>0</v>
      </c>
      <c r="N257" s="162">
        <v>0</v>
      </c>
      <c r="O257" s="162">
        <v>0</v>
      </c>
    </row>
    <row r="258" spans="1:15" x14ac:dyDescent="0.2">
      <c r="B258" s="125" t="s">
        <v>119</v>
      </c>
      <c r="C258" s="162">
        <v>409000</v>
      </c>
      <c r="D258" s="162"/>
      <c r="E258" s="162"/>
      <c r="F258" s="162">
        <f>239668.9+169331.1</f>
        <v>409000</v>
      </c>
      <c r="G258" s="163">
        <v>0</v>
      </c>
      <c r="H258" s="164">
        <v>0</v>
      </c>
      <c r="I258" s="163"/>
      <c r="J258" s="163">
        <v>0</v>
      </c>
      <c r="K258" s="163">
        <v>0</v>
      </c>
      <c r="L258" s="162">
        <f t="shared" si="37"/>
        <v>0</v>
      </c>
      <c r="M258" s="162">
        <f t="shared" si="36"/>
        <v>0</v>
      </c>
      <c r="N258" s="162">
        <v>0</v>
      </c>
      <c r="O258" s="162">
        <v>0</v>
      </c>
    </row>
    <row r="259" spans="1:15" x14ac:dyDescent="0.2">
      <c r="B259" s="125" t="s">
        <v>120</v>
      </c>
      <c r="C259" s="162">
        <v>645000</v>
      </c>
      <c r="E259" s="162">
        <v>-400000</v>
      </c>
      <c r="F259" s="167">
        <f>49796.39+156674.21+38529.4</f>
        <v>244999.99999999997</v>
      </c>
      <c r="G259" s="163">
        <v>0</v>
      </c>
      <c r="H259" s="164">
        <v>0</v>
      </c>
      <c r="I259" s="163"/>
      <c r="J259" s="163">
        <v>0</v>
      </c>
      <c r="K259" s="163">
        <v>0</v>
      </c>
      <c r="L259" s="162">
        <f t="shared" si="37"/>
        <v>0</v>
      </c>
      <c r="M259" s="162">
        <f t="shared" si="36"/>
        <v>0</v>
      </c>
      <c r="N259" s="162">
        <v>0</v>
      </c>
      <c r="O259" s="162">
        <v>0</v>
      </c>
    </row>
    <row r="260" spans="1:15" x14ac:dyDescent="0.2">
      <c r="B260" s="125" t="s">
        <v>137</v>
      </c>
      <c r="C260" s="162">
        <v>536000</v>
      </c>
      <c r="D260" s="162"/>
      <c r="E260" s="162"/>
      <c r="F260" s="162">
        <f>113111+422889</f>
        <v>536000</v>
      </c>
      <c r="G260" s="163">
        <v>0</v>
      </c>
      <c r="H260" s="164">
        <v>0</v>
      </c>
      <c r="I260" s="163"/>
      <c r="J260" s="163">
        <v>0</v>
      </c>
      <c r="K260" s="163">
        <v>0</v>
      </c>
      <c r="L260" s="162">
        <f t="shared" si="37"/>
        <v>0</v>
      </c>
      <c r="M260" s="162">
        <f t="shared" si="36"/>
        <v>0</v>
      </c>
      <c r="N260" s="162">
        <v>0</v>
      </c>
      <c r="O260" s="162">
        <v>0</v>
      </c>
    </row>
    <row r="261" spans="1:15" x14ac:dyDescent="0.2">
      <c r="B261" s="125" t="s">
        <v>122</v>
      </c>
      <c r="C261" s="162">
        <v>1589000</v>
      </c>
      <c r="D261" s="162">
        <v>-3243.25</v>
      </c>
      <c r="E261" s="162"/>
      <c r="F261" s="162">
        <f>1300000+277326.79+8429.96</f>
        <v>1585756.75</v>
      </c>
      <c r="G261" s="163">
        <v>0</v>
      </c>
      <c r="H261" s="164">
        <v>0</v>
      </c>
      <c r="I261" s="163"/>
      <c r="J261" s="163">
        <v>0</v>
      </c>
      <c r="K261" s="163">
        <v>0</v>
      </c>
      <c r="L261" s="162">
        <f t="shared" si="37"/>
        <v>0</v>
      </c>
      <c r="M261" s="162">
        <f t="shared" si="36"/>
        <v>0</v>
      </c>
      <c r="N261" s="162">
        <v>0</v>
      </c>
      <c r="O261" s="162">
        <v>0</v>
      </c>
    </row>
    <row r="262" spans="1:15" x14ac:dyDescent="0.2">
      <c r="B262" s="125" t="s">
        <v>123</v>
      </c>
      <c r="C262" s="153">
        <v>418000</v>
      </c>
      <c r="D262" s="154"/>
      <c r="E262" s="154"/>
      <c r="F262" s="162">
        <f>318000+100000</f>
        <v>418000</v>
      </c>
      <c r="G262" s="163">
        <v>0</v>
      </c>
      <c r="H262" s="164">
        <v>0</v>
      </c>
      <c r="I262" s="163"/>
      <c r="J262" s="163">
        <v>0</v>
      </c>
      <c r="K262" s="163">
        <v>0</v>
      </c>
      <c r="L262" s="162">
        <f t="shared" si="37"/>
        <v>0</v>
      </c>
      <c r="M262" s="162">
        <f t="shared" si="36"/>
        <v>0</v>
      </c>
      <c r="N262" s="162">
        <v>0</v>
      </c>
      <c r="O262" s="162">
        <v>0</v>
      </c>
    </row>
    <row r="263" spans="1:15" x14ac:dyDescent="0.2">
      <c r="C263" s="153"/>
      <c r="D263" s="154"/>
      <c r="E263" s="154"/>
      <c r="F263" s="162"/>
      <c r="G263" s="156"/>
      <c r="H263" s="157"/>
      <c r="I263" s="156"/>
      <c r="J263" s="156"/>
      <c r="K263" s="156"/>
      <c r="L263" s="154"/>
      <c r="M263" s="154"/>
      <c r="N263" s="154"/>
      <c r="O263" s="154"/>
    </row>
    <row r="264" spans="1:15" ht="13.5" thickBot="1" x14ac:dyDescent="0.25">
      <c r="B264" s="168" t="s">
        <v>192</v>
      </c>
      <c r="C264" s="169">
        <f t="shared" ref="C264:O264" si="38">SUM(C248:C263)</f>
        <v>32000000</v>
      </c>
      <c r="D264" s="169">
        <f t="shared" si="38"/>
        <v>-94712.82</v>
      </c>
      <c r="E264" s="169">
        <f t="shared" si="38"/>
        <v>-594040.47</v>
      </c>
      <c r="F264" s="192">
        <f t="shared" si="38"/>
        <v>31223408.740000002</v>
      </c>
      <c r="G264" s="169">
        <f t="shared" si="38"/>
        <v>87837.970000000059</v>
      </c>
      <c r="H264" s="169">
        <f t="shared" si="38"/>
        <v>87837.97</v>
      </c>
      <c r="I264" s="169">
        <f>SUM(I248:I263)</f>
        <v>0</v>
      </c>
      <c r="J264" s="169">
        <f t="shared" si="38"/>
        <v>0</v>
      </c>
      <c r="K264" s="169">
        <f t="shared" si="38"/>
        <v>0</v>
      </c>
      <c r="L264" s="169">
        <f t="shared" si="38"/>
        <v>5.8207660913467407E-11</v>
      </c>
      <c r="M264" s="169">
        <f t="shared" si="38"/>
        <v>0</v>
      </c>
      <c r="N264" s="169">
        <f t="shared" si="38"/>
        <v>0</v>
      </c>
      <c r="O264" s="169">
        <f t="shared" si="38"/>
        <v>87837.97</v>
      </c>
    </row>
    <row r="265" spans="1:15" ht="13.5" thickTop="1" x14ac:dyDescent="0.2">
      <c r="B265" s="165"/>
      <c r="C265" s="153"/>
      <c r="D265" s="153"/>
      <c r="E265" s="153"/>
      <c r="F265" s="162"/>
      <c r="G265" s="153"/>
      <c r="H265" s="166"/>
      <c r="I265" s="153"/>
      <c r="J265" s="153"/>
      <c r="K265" s="153"/>
      <c r="L265" s="153"/>
      <c r="M265" s="153"/>
      <c r="N265" s="153"/>
      <c r="O265" s="153"/>
    </row>
    <row r="266" spans="1:15" x14ac:dyDescent="0.2">
      <c r="A266" s="165" t="s">
        <v>193</v>
      </c>
      <c r="C266" s="153"/>
      <c r="D266" s="154"/>
      <c r="E266" s="154"/>
      <c r="F266" s="162"/>
      <c r="G266" s="156"/>
      <c r="H266" s="157"/>
      <c r="I266" s="156"/>
      <c r="J266" s="156"/>
      <c r="K266" s="156"/>
      <c r="L266" s="154"/>
      <c r="M266" s="154"/>
      <c r="N266" s="154"/>
      <c r="O266" s="154"/>
    </row>
    <row r="267" spans="1:15" x14ac:dyDescent="0.2">
      <c r="B267" s="125" t="s">
        <v>194</v>
      </c>
      <c r="C267" s="153">
        <v>10000000</v>
      </c>
      <c r="D267" s="162">
        <v>-1769675.29</v>
      </c>
      <c r="E267" s="154"/>
      <c r="F267" s="162">
        <f>552213+682212+342650+3502647.59+156429.35+2684355.93+300831.87+5989.98+2994.99</f>
        <v>8230324.71</v>
      </c>
      <c r="G267" s="163">
        <v>0</v>
      </c>
      <c r="H267" s="164">
        <v>0</v>
      </c>
      <c r="I267" s="163">
        <f>[2]UMBC!I269</f>
        <v>0</v>
      </c>
      <c r="J267" s="163">
        <f>[2]UMBC!J269</f>
        <v>0</v>
      </c>
      <c r="K267" s="163">
        <f>[2]UMBC!K269</f>
        <v>0</v>
      </c>
      <c r="L267" s="162">
        <f>G267-H267-I267-J267-K267</f>
        <v>0</v>
      </c>
      <c r="M267" s="162">
        <f>H267-N267-O267</f>
        <v>0</v>
      </c>
      <c r="N267" s="162">
        <v>0</v>
      </c>
      <c r="O267" s="162">
        <v>0</v>
      </c>
    </row>
    <row r="268" spans="1:15" x14ac:dyDescent="0.2">
      <c r="B268" s="165" t="s">
        <v>112</v>
      </c>
      <c r="C268" s="153"/>
      <c r="D268" s="154"/>
      <c r="E268" s="154"/>
      <c r="F268" s="162"/>
      <c r="G268" s="156"/>
      <c r="H268" s="157"/>
      <c r="I268" s="156"/>
      <c r="J268" s="156"/>
      <c r="K268" s="156"/>
      <c r="L268" s="162"/>
      <c r="M268" s="162"/>
      <c r="N268" s="162"/>
      <c r="O268" s="162"/>
    </row>
    <row r="269" spans="1:15" x14ac:dyDescent="0.2">
      <c r="B269" s="125" t="s">
        <v>113</v>
      </c>
      <c r="C269" s="153">
        <v>7300000</v>
      </c>
      <c r="D269" s="154"/>
      <c r="E269" s="154"/>
      <c r="F269" s="162">
        <f>521101.62+5465039.68+650600.48+663258.22</f>
        <v>7299999.9999999991</v>
      </c>
      <c r="G269" s="163">
        <v>0</v>
      </c>
      <c r="H269" s="164">
        <v>0</v>
      </c>
      <c r="I269" s="163">
        <f>[2]UMCP!I261</f>
        <v>0</v>
      </c>
      <c r="J269" s="163">
        <f>[2]UMCP!J261</f>
        <v>0</v>
      </c>
      <c r="K269" s="163">
        <v>0</v>
      </c>
      <c r="L269" s="162">
        <f>G269-H269-I269-J269</f>
        <v>0</v>
      </c>
      <c r="M269" s="162">
        <f t="shared" ref="M269:M285" si="39">H269-N269-O269</f>
        <v>0</v>
      </c>
      <c r="N269" s="162"/>
      <c r="O269" s="162">
        <v>0</v>
      </c>
    </row>
    <row r="270" spans="1:15" x14ac:dyDescent="0.2">
      <c r="B270" s="125" t="s">
        <v>114</v>
      </c>
      <c r="C270" s="153">
        <v>2675000</v>
      </c>
      <c r="D270" s="162">
        <v>-0.44</v>
      </c>
      <c r="E270" s="154"/>
      <c r="F270" s="162">
        <f>255402.95+12508.9+6918.83+51395+1530284.28+792620+5949.45+365.57+8437.42</f>
        <v>2663882.4</v>
      </c>
      <c r="G270" s="163">
        <v>11117.15999999992</v>
      </c>
      <c r="H270" s="164">
        <v>11117.16</v>
      </c>
      <c r="I270" s="163">
        <f>[2]UMB!I346</f>
        <v>0</v>
      </c>
      <c r="J270" s="163">
        <f>[2]UMB!J346</f>
        <v>0</v>
      </c>
      <c r="K270" s="163">
        <v>0</v>
      </c>
      <c r="L270" s="162">
        <f t="shared" ref="L270:L278" si="40">G270-H270-I270-J270-K270</f>
        <v>-8.0035533756017685E-11</v>
      </c>
      <c r="M270" s="162">
        <f t="shared" si="39"/>
        <v>0</v>
      </c>
      <c r="N270" s="162">
        <v>0</v>
      </c>
      <c r="O270" s="162">
        <v>11117.16</v>
      </c>
    </row>
    <row r="271" spans="1:15" x14ac:dyDescent="0.2">
      <c r="B271" s="125" t="s">
        <v>115</v>
      </c>
      <c r="C271" s="153">
        <v>642000</v>
      </c>
      <c r="D271" s="154"/>
      <c r="E271" s="154"/>
      <c r="F271" s="162">
        <f>467739.04+174260.96</f>
        <v>642000</v>
      </c>
      <c r="G271" s="163">
        <v>0</v>
      </c>
      <c r="H271" s="163">
        <v>0</v>
      </c>
      <c r="I271" s="164">
        <v>0</v>
      </c>
      <c r="J271" s="163">
        <f>[2]UMES!J137</f>
        <v>0</v>
      </c>
      <c r="K271" s="163">
        <v>0</v>
      </c>
      <c r="L271" s="162">
        <f t="shared" si="40"/>
        <v>0</v>
      </c>
      <c r="M271" s="162">
        <f t="shared" si="39"/>
        <v>0</v>
      </c>
      <c r="N271" s="162"/>
      <c r="O271" s="162">
        <v>0</v>
      </c>
    </row>
    <row r="272" spans="1:15" x14ac:dyDescent="0.2">
      <c r="B272" s="125" t="s">
        <v>116</v>
      </c>
      <c r="C272" s="153">
        <v>1452000</v>
      </c>
      <c r="D272" s="154"/>
      <c r="E272" s="154"/>
      <c r="F272" s="162">
        <f>11398.09+376900.74+3678+387308.65+333834.19+133880.33+205000</f>
        <v>1452000</v>
      </c>
      <c r="G272" s="163">
        <v>0</v>
      </c>
      <c r="H272" s="163">
        <v>0</v>
      </c>
      <c r="I272" s="164">
        <v>0</v>
      </c>
      <c r="J272" s="163">
        <f>[2]UMBC!J128</f>
        <v>0</v>
      </c>
      <c r="K272" s="163">
        <v>0</v>
      </c>
      <c r="L272" s="162">
        <f t="shared" si="40"/>
        <v>0</v>
      </c>
      <c r="M272" s="162">
        <f t="shared" si="39"/>
        <v>0</v>
      </c>
      <c r="N272" s="162"/>
      <c r="O272" s="162">
        <v>0</v>
      </c>
    </row>
    <row r="273" spans="2:15" x14ac:dyDescent="0.2">
      <c r="B273" s="125" t="s">
        <v>117</v>
      </c>
      <c r="C273" s="153">
        <v>317000</v>
      </c>
      <c r="D273" s="154"/>
      <c r="E273" s="154"/>
      <c r="F273" s="162">
        <f>155066.67+155318.95+6614.38</f>
        <v>317000</v>
      </c>
      <c r="G273" s="163">
        <v>0</v>
      </c>
      <c r="H273" s="163">
        <v>0</v>
      </c>
      <c r="I273" s="164">
        <v>0</v>
      </c>
      <c r="J273" s="163">
        <f>[2]UMCES!J143</f>
        <v>0</v>
      </c>
      <c r="K273" s="163">
        <v>0</v>
      </c>
      <c r="L273" s="162">
        <f t="shared" si="40"/>
        <v>0</v>
      </c>
      <c r="M273" s="162">
        <f t="shared" si="39"/>
        <v>0</v>
      </c>
      <c r="N273" s="162"/>
      <c r="O273" s="162">
        <v>0</v>
      </c>
    </row>
    <row r="274" spans="2:15" x14ac:dyDescent="0.2">
      <c r="B274" s="125" t="s">
        <v>118</v>
      </c>
      <c r="C274" s="153">
        <v>554000</v>
      </c>
      <c r="D274" s="154"/>
      <c r="E274" s="154"/>
      <c r="F274" s="162">
        <f>13775+173037.91+61664+305523.09</f>
        <v>554000</v>
      </c>
      <c r="G274" s="163">
        <v>0</v>
      </c>
      <c r="H274" s="163">
        <v>0</v>
      </c>
      <c r="I274" s="164">
        <v>0</v>
      </c>
      <c r="J274" s="163">
        <f>[2]BSU!J130</f>
        <v>0</v>
      </c>
      <c r="K274" s="163">
        <v>0</v>
      </c>
      <c r="L274" s="162">
        <f t="shared" si="40"/>
        <v>0</v>
      </c>
      <c r="M274" s="162">
        <f t="shared" si="39"/>
        <v>0</v>
      </c>
      <c r="N274" s="162"/>
      <c r="O274" s="162">
        <v>0</v>
      </c>
    </row>
    <row r="275" spans="2:15" x14ac:dyDescent="0.2">
      <c r="B275" s="125" t="s">
        <v>119</v>
      </c>
      <c r="C275" s="153">
        <v>409000</v>
      </c>
      <c r="D275" s="154"/>
      <c r="E275" s="154"/>
      <c r="F275" s="162">
        <f>241560+167440</f>
        <v>409000</v>
      </c>
      <c r="G275" s="163">
        <v>0</v>
      </c>
      <c r="H275" s="163">
        <v>0</v>
      </c>
      <c r="I275" s="164">
        <v>0</v>
      </c>
      <c r="J275" s="163">
        <f>[2]CSU!J187</f>
        <v>0</v>
      </c>
      <c r="K275" s="163">
        <v>0</v>
      </c>
      <c r="L275" s="162">
        <f t="shared" si="40"/>
        <v>0</v>
      </c>
      <c r="M275" s="162">
        <f t="shared" si="39"/>
        <v>0</v>
      </c>
      <c r="N275" s="162"/>
      <c r="O275" s="162">
        <v>0</v>
      </c>
    </row>
    <row r="276" spans="2:15" x14ac:dyDescent="0.2">
      <c r="B276" s="125" t="s">
        <v>120</v>
      </c>
      <c r="C276" s="153">
        <v>645000</v>
      </c>
      <c r="D276" s="162">
        <v>-123.84</v>
      </c>
      <c r="E276" s="154"/>
      <c r="F276" s="162">
        <f>149747.86+233123.53+236648.98+10887.79+14468</f>
        <v>644876.16</v>
      </c>
      <c r="G276" s="163">
        <v>0</v>
      </c>
      <c r="H276" s="163">
        <v>0</v>
      </c>
      <c r="I276" s="164">
        <v>0</v>
      </c>
      <c r="J276" s="163">
        <f>[2]FSU!J160</f>
        <v>0</v>
      </c>
      <c r="K276" s="163">
        <v>0</v>
      </c>
      <c r="L276" s="162">
        <f t="shared" si="40"/>
        <v>0</v>
      </c>
      <c r="M276" s="162">
        <f t="shared" si="39"/>
        <v>0</v>
      </c>
      <c r="N276" s="162"/>
      <c r="O276" s="162">
        <v>0</v>
      </c>
    </row>
    <row r="277" spans="2:15" x14ac:dyDescent="0.2">
      <c r="B277" s="125" t="s">
        <v>137</v>
      </c>
      <c r="C277" s="153">
        <v>536000</v>
      </c>
      <c r="D277" s="154"/>
      <c r="E277" s="154"/>
      <c r="F277" s="162">
        <f>9769.18+136034.79+390196.03</f>
        <v>536000</v>
      </c>
      <c r="G277" s="163">
        <v>0</v>
      </c>
      <c r="H277" s="163">
        <v>0</v>
      </c>
      <c r="I277" s="164">
        <v>0</v>
      </c>
      <c r="J277" s="163">
        <f>[2]SU!J143</f>
        <v>0</v>
      </c>
      <c r="K277" s="163">
        <v>0</v>
      </c>
      <c r="L277" s="162">
        <f t="shared" si="40"/>
        <v>0</v>
      </c>
      <c r="M277" s="162">
        <f t="shared" si="39"/>
        <v>0</v>
      </c>
      <c r="N277" s="162"/>
      <c r="O277" s="162">
        <v>0</v>
      </c>
    </row>
    <row r="278" spans="2:15" x14ac:dyDescent="0.2">
      <c r="B278" s="125" t="s">
        <v>122</v>
      </c>
      <c r="C278" s="153">
        <v>1589000</v>
      </c>
      <c r="D278" s="154"/>
      <c r="E278" s="154"/>
      <c r="F278" s="162">
        <f>13876.75+13876.75+372246.5+900000+276250+12750</f>
        <v>1589000</v>
      </c>
      <c r="G278" s="163">
        <v>0</v>
      </c>
      <c r="H278" s="163">
        <v>0</v>
      </c>
      <c r="I278" s="164">
        <v>0</v>
      </c>
      <c r="J278" s="163">
        <f>[2]TU!J315+[2]TU!J321+[2]TU!J328</f>
        <v>0</v>
      </c>
      <c r="K278" s="163">
        <v>0</v>
      </c>
      <c r="L278" s="162">
        <f t="shared" si="40"/>
        <v>0</v>
      </c>
      <c r="M278" s="162">
        <f t="shared" si="39"/>
        <v>0</v>
      </c>
      <c r="N278" s="162"/>
      <c r="O278" s="162">
        <v>0</v>
      </c>
    </row>
    <row r="279" spans="2:15" x14ac:dyDescent="0.2">
      <c r="B279" s="125" t="s">
        <v>123</v>
      </c>
      <c r="C279" s="153">
        <v>418000</v>
      </c>
      <c r="D279" s="154"/>
      <c r="E279" s="154"/>
      <c r="F279" s="162">
        <v>418000</v>
      </c>
      <c r="G279" s="163">
        <v>0</v>
      </c>
      <c r="H279" s="163">
        <v>0</v>
      </c>
      <c r="I279" s="164">
        <v>0</v>
      </c>
      <c r="J279" s="163">
        <f>[2]UB!J145</f>
        <v>0</v>
      </c>
      <c r="K279" s="163">
        <v>0</v>
      </c>
      <c r="L279" s="162">
        <f>G279-H279-I279-J279</f>
        <v>0</v>
      </c>
      <c r="M279" s="162">
        <f t="shared" si="39"/>
        <v>0</v>
      </c>
      <c r="N279" s="162"/>
      <c r="O279" s="162">
        <v>0</v>
      </c>
    </row>
    <row r="280" spans="2:15" x14ac:dyDescent="0.2">
      <c r="B280" s="165" t="s">
        <v>127</v>
      </c>
      <c r="C280" s="153">
        <v>463000</v>
      </c>
      <c r="D280" s="167"/>
      <c r="E280" s="167">
        <f>7473.73+143543.54+140950.06+80486.28+307.72+1573.79+225393.78+161515+6500+43000+48474-24985+400000-95042.36-352416-347584-73000-829190.54</f>
        <v>-463000.00000000023</v>
      </c>
      <c r="F280" s="167"/>
      <c r="G280" s="163"/>
      <c r="H280" s="163"/>
      <c r="I280" s="163"/>
      <c r="J280" s="163"/>
      <c r="K280" s="163"/>
      <c r="L280" s="162"/>
      <c r="M280" s="162">
        <f t="shared" si="39"/>
        <v>0</v>
      </c>
      <c r="N280" s="162"/>
      <c r="O280" s="162"/>
    </row>
    <row r="281" spans="2:15" x14ac:dyDescent="0.2">
      <c r="B281" s="125" t="s">
        <v>195</v>
      </c>
      <c r="C281" s="153"/>
      <c r="D281" s="132"/>
      <c r="E281" s="162">
        <v>95042.36</v>
      </c>
      <c r="F281" s="167">
        <f>18164+76878.36</f>
        <v>95042.36</v>
      </c>
      <c r="G281" s="163">
        <v>0</v>
      </c>
      <c r="H281" s="163">
        <v>0</v>
      </c>
      <c r="I281" s="164">
        <v>0</v>
      </c>
      <c r="J281" s="163">
        <f>[2]UMB!J32</f>
        <v>0</v>
      </c>
      <c r="K281" s="163">
        <v>0</v>
      </c>
      <c r="L281" s="162">
        <f>G281-H281-I281-J281-K281</f>
        <v>0</v>
      </c>
      <c r="M281" s="162">
        <f t="shared" si="39"/>
        <v>0</v>
      </c>
      <c r="N281" s="162"/>
      <c r="O281" s="162">
        <v>0</v>
      </c>
    </row>
    <row r="282" spans="2:15" x14ac:dyDescent="0.2">
      <c r="B282" s="125" t="s">
        <v>196</v>
      </c>
      <c r="C282" s="153"/>
      <c r="D282" s="132"/>
      <c r="E282" s="162">
        <v>24985</v>
      </c>
      <c r="F282" s="167">
        <v>24985</v>
      </c>
      <c r="G282" s="163">
        <v>0</v>
      </c>
      <c r="H282" s="163">
        <v>0</v>
      </c>
      <c r="I282" s="164">
        <v>0</v>
      </c>
      <c r="J282" s="163">
        <f>[2]UMBC!J8</f>
        <v>0</v>
      </c>
      <c r="K282" s="163">
        <v>0</v>
      </c>
      <c r="L282" s="162">
        <f>G282-H282-I282-J282-K282</f>
        <v>0</v>
      </c>
      <c r="M282" s="162">
        <f t="shared" si="39"/>
        <v>0</v>
      </c>
      <c r="N282" s="162"/>
      <c r="O282" s="162">
        <v>0</v>
      </c>
    </row>
    <row r="283" spans="2:15" x14ac:dyDescent="0.2">
      <c r="B283" s="125" t="s">
        <v>197</v>
      </c>
      <c r="C283" s="153"/>
      <c r="D283" s="131"/>
      <c r="E283" s="162">
        <f>352416+194040.47</f>
        <v>546456.47</v>
      </c>
      <c r="F283" s="167">
        <f>8359.4+401330.82+136713.16+53.09</f>
        <v>546456.47</v>
      </c>
      <c r="G283" s="163">
        <v>0</v>
      </c>
      <c r="H283" s="163">
        <v>0</v>
      </c>
      <c r="I283" s="164">
        <v>0</v>
      </c>
      <c r="J283" s="163">
        <f>[2]UMCES!J32</f>
        <v>0</v>
      </c>
      <c r="K283" s="163">
        <v>0</v>
      </c>
      <c r="L283" s="162">
        <f>G283-H283-I283-J283-K283</f>
        <v>0</v>
      </c>
      <c r="M283" s="162">
        <f t="shared" si="39"/>
        <v>0</v>
      </c>
      <c r="N283" s="162"/>
      <c r="O283" s="162">
        <v>0</v>
      </c>
    </row>
    <row r="284" spans="2:15" x14ac:dyDescent="0.2">
      <c r="B284" s="125" t="s">
        <v>198</v>
      </c>
      <c r="C284" s="153"/>
      <c r="D284" s="132"/>
      <c r="E284" s="162">
        <v>347584</v>
      </c>
      <c r="F284" s="163">
        <v>347584</v>
      </c>
      <c r="G284" s="163">
        <v>0</v>
      </c>
      <c r="H284" s="163">
        <v>0</v>
      </c>
      <c r="I284" s="164">
        <v>0</v>
      </c>
      <c r="J284" s="163">
        <f>[2]UMCES!J38</f>
        <v>0</v>
      </c>
      <c r="K284" s="163">
        <v>0</v>
      </c>
      <c r="L284" s="162">
        <f>G284-H284-I284-J284-K284</f>
        <v>0</v>
      </c>
      <c r="M284" s="162">
        <f t="shared" si="39"/>
        <v>0</v>
      </c>
      <c r="N284" s="162"/>
      <c r="O284" s="162">
        <v>0</v>
      </c>
    </row>
    <row r="285" spans="2:15" x14ac:dyDescent="0.2">
      <c r="B285" s="125" t="s">
        <v>199</v>
      </c>
      <c r="C285" s="153"/>
      <c r="D285" s="132"/>
      <c r="E285" s="162">
        <v>73000</v>
      </c>
      <c r="F285" s="167">
        <f>63198.5+1789.6+8011.9</f>
        <v>73000</v>
      </c>
      <c r="G285" s="163">
        <v>0</v>
      </c>
      <c r="H285" s="163">
        <v>0</v>
      </c>
      <c r="I285" s="164">
        <v>0</v>
      </c>
      <c r="J285" s="163">
        <f>[2]CSU!J29</f>
        <v>0</v>
      </c>
      <c r="K285" s="163">
        <v>0</v>
      </c>
      <c r="L285" s="162">
        <f>G285-H285-I285-J285-K285</f>
        <v>0</v>
      </c>
      <c r="M285" s="162">
        <f t="shared" si="39"/>
        <v>0</v>
      </c>
      <c r="N285" s="162"/>
      <c r="O285" s="162">
        <v>0</v>
      </c>
    </row>
    <row r="286" spans="2:15" x14ac:dyDescent="0.2">
      <c r="C286" s="153"/>
      <c r="D286" s="154"/>
      <c r="E286" s="154"/>
      <c r="F286" s="162"/>
      <c r="G286" s="156"/>
      <c r="H286" s="157"/>
      <c r="I286" s="156"/>
      <c r="J286" s="156"/>
      <c r="K286" s="156"/>
      <c r="L286" s="154"/>
      <c r="M286" s="154"/>
      <c r="N286" s="154"/>
      <c r="O286" s="154"/>
    </row>
    <row r="287" spans="2:15" ht="13.5" thickBot="1" x14ac:dyDescent="0.25">
      <c r="B287" s="168" t="s">
        <v>200</v>
      </c>
      <c r="C287" s="169">
        <f t="shared" ref="C287:K287" si="41">SUM(C267:C286)</f>
        <v>27000000</v>
      </c>
      <c r="D287" s="169">
        <f t="shared" si="41"/>
        <v>-1769799.57</v>
      </c>
      <c r="E287" s="169">
        <f>SUM(E267:E286)</f>
        <v>624067.82999999973</v>
      </c>
      <c r="F287" s="169">
        <f>SUM(F267:F286)</f>
        <v>25843151.099999998</v>
      </c>
      <c r="G287" s="169">
        <f>SUM(G267:G286)</f>
        <v>11117.15999999992</v>
      </c>
      <c r="H287" s="169">
        <f>SUM(H267:H286)</f>
        <v>11117.16</v>
      </c>
      <c r="I287" s="169">
        <f t="shared" si="41"/>
        <v>0</v>
      </c>
      <c r="J287" s="169">
        <f>SUM(J267:J286)</f>
        <v>0</v>
      </c>
      <c r="K287" s="169">
        <f t="shared" si="41"/>
        <v>0</v>
      </c>
      <c r="L287" s="169">
        <f>SUM(L270:L285)</f>
        <v>-8.0035533756017685E-11</v>
      </c>
      <c r="M287" s="169">
        <f>SUM(M270:M285)</f>
        <v>0</v>
      </c>
      <c r="N287" s="169">
        <f>SUM(N267:N286)</f>
        <v>0</v>
      </c>
      <c r="O287" s="169">
        <f>SUM(O267:O286)</f>
        <v>11117.16</v>
      </c>
    </row>
    <row r="288" spans="2:15" ht="13.5" thickTop="1" x14ac:dyDescent="0.2">
      <c r="C288" s="125"/>
      <c r="D288" s="153"/>
      <c r="E288" s="153"/>
      <c r="F288" s="162"/>
      <c r="G288" s="153"/>
      <c r="H288" s="166"/>
      <c r="I288" s="153"/>
      <c r="J288" s="153"/>
      <c r="K288" s="153"/>
      <c r="L288" s="153"/>
      <c r="M288" s="153"/>
      <c r="N288" s="153"/>
      <c r="O288" s="153"/>
    </row>
    <row r="289" spans="1:15" x14ac:dyDescent="0.2">
      <c r="A289" s="165" t="s">
        <v>201</v>
      </c>
      <c r="C289" s="153"/>
      <c r="D289" s="154"/>
      <c r="E289" s="154"/>
      <c r="F289" s="162"/>
      <c r="G289" s="156"/>
      <c r="H289" s="157"/>
      <c r="I289" s="156"/>
      <c r="J289" s="156"/>
      <c r="K289" s="156"/>
      <c r="L289" s="154"/>
      <c r="M289" s="154"/>
      <c r="N289" s="154"/>
      <c r="O289" s="154"/>
    </row>
    <row r="290" spans="1:15" hidden="1" x14ac:dyDescent="0.2">
      <c r="B290" s="125" t="s">
        <v>202</v>
      </c>
      <c r="C290" s="153">
        <v>10000000</v>
      </c>
      <c r="D290" s="162">
        <v>-3587988.18</v>
      </c>
      <c r="E290" s="154"/>
      <c r="F290" s="162">
        <f>1490667.33+4228928.57+685640.92+6775</f>
        <v>6412011.8200000003</v>
      </c>
      <c r="G290" s="163">
        <v>0</v>
      </c>
      <c r="H290" s="164">
        <v>0</v>
      </c>
      <c r="I290" s="163">
        <v>0</v>
      </c>
      <c r="J290" s="163">
        <v>0</v>
      </c>
      <c r="K290" s="163">
        <v>0</v>
      </c>
      <c r="L290" s="162">
        <f>G290-H290-I290-J290-K290</f>
        <v>0</v>
      </c>
      <c r="M290" s="162"/>
      <c r="N290" s="162"/>
      <c r="O290" s="162">
        <f>H288+K288</f>
        <v>0</v>
      </c>
    </row>
    <row r="291" spans="1:15" x14ac:dyDescent="0.2">
      <c r="B291" s="165" t="s">
        <v>112</v>
      </c>
      <c r="C291" s="153"/>
      <c r="D291" s="154"/>
      <c r="E291" s="154"/>
      <c r="F291" s="162"/>
      <c r="G291" s="156"/>
      <c r="H291" s="157"/>
      <c r="I291" s="156"/>
      <c r="J291" s="156"/>
      <c r="K291" s="156"/>
      <c r="L291" s="162"/>
      <c r="M291" s="162"/>
      <c r="N291" s="162"/>
      <c r="O291" s="162"/>
    </row>
    <row r="292" spans="1:15" hidden="1" x14ac:dyDescent="0.2">
      <c r="B292" s="125" t="s">
        <v>113</v>
      </c>
      <c r="C292" s="153">
        <v>7300000</v>
      </c>
      <c r="D292" s="154"/>
      <c r="E292" s="154"/>
      <c r="F292" s="162">
        <f>1586225.13+1035205.6+2985974.53+1290489.45+235900.14+166205.15</f>
        <v>7300000</v>
      </c>
      <c r="G292" s="163">
        <v>0</v>
      </c>
      <c r="H292" s="164">
        <v>0</v>
      </c>
      <c r="I292" s="163">
        <v>0</v>
      </c>
      <c r="J292" s="163">
        <v>0</v>
      </c>
      <c r="K292" s="163">
        <v>0</v>
      </c>
      <c r="L292" s="162">
        <f>G292-H292-I292-J292</f>
        <v>0</v>
      </c>
      <c r="M292" s="162"/>
      <c r="N292" s="162"/>
      <c r="O292" s="162">
        <f>H292+I292+J292+K292</f>
        <v>0</v>
      </c>
    </row>
    <row r="293" spans="1:15" ht="13.5" customHeight="1" x14ac:dyDescent="0.2">
      <c r="B293" s="125" t="s">
        <v>114</v>
      </c>
      <c r="C293" s="153">
        <v>2674000</v>
      </c>
      <c r="E293" s="126">
        <v>-800000</v>
      </c>
      <c r="F293" s="167">
        <f>247579.5+271847.12+26480.3+18123.72+1798.8+65682.01+467252.3+681184.63+1679.43+51875.56+24575.41+271.73+679.68</f>
        <v>1859030.1899999997</v>
      </c>
      <c r="G293" s="163">
        <v>14969.809999999772</v>
      </c>
      <c r="H293" s="164">
        <v>14969.81</v>
      </c>
      <c r="I293" s="163">
        <v>0</v>
      </c>
      <c r="J293" s="163">
        <v>0</v>
      </c>
      <c r="K293" s="163">
        <v>0</v>
      </c>
      <c r="L293" s="162">
        <f t="shared" ref="L293:L302" si="42">G293-H293-I293-J293-K293</f>
        <v>-2.2737367544323206E-10</v>
      </c>
      <c r="M293" s="162">
        <f>H293-N293-O293</f>
        <v>0</v>
      </c>
      <c r="N293" s="162">
        <v>0</v>
      </c>
      <c r="O293" s="162">
        <v>14969.81</v>
      </c>
    </row>
    <row r="294" spans="1:15" hidden="1" x14ac:dyDescent="0.2">
      <c r="B294" s="125" t="s">
        <v>115</v>
      </c>
      <c r="C294" s="153">
        <v>645000</v>
      </c>
      <c r="D294" s="154"/>
      <c r="E294" s="154"/>
      <c r="F294" s="162">
        <f>552010.38+92989.62</f>
        <v>645000</v>
      </c>
      <c r="G294" s="163">
        <v>0</v>
      </c>
      <c r="H294" s="164">
        <v>0</v>
      </c>
      <c r="I294" s="163">
        <v>0</v>
      </c>
      <c r="J294" s="163">
        <v>0</v>
      </c>
      <c r="K294" s="163">
        <v>0</v>
      </c>
      <c r="L294" s="162">
        <f t="shared" si="42"/>
        <v>0</v>
      </c>
      <c r="M294" s="162"/>
      <c r="N294" s="162"/>
      <c r="O294" s="162">
        <f t="shared" ref="O294:O302" si="43">H294+I294+J294+K294</f>
        <v>0</v>
      </c>
    </row>
    <row r="295" spans="1:15" hidden="1" x14ac:dyDescent="0.2">
      <c r="B295" s="125" t="s">
        <v>116</v>
      </c>
      <c r="C295" s="153">
        <v>1451000</v>
      </c>
      <c r="D295" s="162">
        <v>-0.4</v>
      </c>
      <c r="E295" s="154"/>
      <c r="F295" s="162">
        <f>72685.58+84332.3+18769.98+600591.65+200303.9+189111.37+27678.28+5000+96937.87+155588.67</f>
        <v>1450999.6</v>
      </c>
      <c r="G295" s="163">
        <v>0</v>
      </c>
      <c r="H295" s="164">
        <v>0</v>
      </c>
      <c r="I295" s="163">
        <v>0</v>
      </c>
      <c r="J295" s="163">
        <v>0</v>
      </c>
      <c r="K295" s="163">
        <v>0</v>
      </c>
      <c r="L295" s="162">
        <f t="shared" si="42"/>
        <v>0</v>
      </c>
      <c r="M295" s="162"/>
      <c r="N295" s="162"/>
      <c r="O295" s="162">
        <f t="shared" si="43"/>
        <v>0</v>
      </c>
    </row>
    <row r="296" spans="1:15" hidden="1" x14ac:dyDescent="0.2">
      <c r="B296" s="125" t="s">
        <v>117</v>
      </c>
      <c r="C296" s="153">
        <v>318000</v>
      </c>
      <c r="D296" s="154"/>
      <c r="E296" s="154"/>
      <c r="F296" s="162">
        <f>8056.72+39424.28+260025.8+4241+6252.2</f>
        <v>318000</v>
      </c>
      <c r="G296" s="163">
        <v>0</v>
      </c>
      <c r="H296" s="164">
        <v>0</v>
      </c>
      <c r="I296" s="163">
        <v>0</v>
      </c>
      <c r="J296" s="163">
        <v>0</v>
      </c>
      <c r="K296" s="163">
        <v>0</v>
      </c>
      <c r="L296" s="162">
        <f t="shared" si="42"/>
        <v>0</v>
      </c>
      <c r="M296" s="162"/>
      <c r="N296" s="162"/>
      <c r="O296" s="162">
        <f t="shared" si="43"/>
        <v>0</v>
      </c>
    </row>
    <row r="297" spans="1:15" hidden="1" x14ac:dyDescent="0.2">
      <c r="B297" s="125" t="s">
        <v>118</v>
      </c>
      <c r="C297" s="153">
        <v>660000</v>
      </c>
      <c r="D297" s="154"/>
      <c r="E297" s="154"/>
      <c r="F297" s="162">
        <f>7000+316983.72+195053.08+17200.1+123763.1</f>
        <v>659999.99999999988</v>
      </c>
      <c r="G297" s="163">
        <v>0</v>
      </c>
      <c r="H297" s="164">
        <v>0</v>
      </c>
      <c r="I297" s="163">
        <v>0</v>
      </c>
      <c r="J297" s="163">
        <v>0</v>
      </c>
      <c r="K297" s="163">
        <v>0</v>
      </c>
      <c r="L297" s="162">
        <f t="shared" si="42"/>
        <v>0</v>
      </c>
      <c r="M297" s="162"/>
      <c r="N297" s="162"/>
      <c r="O297" s="162">
        <f t="shared" si="43"/>
        <v>0</v>
      </c>
    </row>
    <row r="298" spans="1:15" hidden="1" x14ac:dyDescent="0.2">
      <c r="B298" s="125" t="s">
        <v>119</v>
      </c>
      <c r="C298" s="153">
        <v>410000</v>
      </c>
      <c r="D298" s="154"/>
      <c r="E298" s="154"/>
      <c r="F298" s="162">
        <f>286501.5+123498.5</f>
        <v>410000</v>
      </c>
      <c r="G298" s="163">
        <v>0</v>
      </c>
      <c r="H298" s="164">
        <v>0</v>
      </c>
      <c r="I298" s="163">
        <v>0</v>
      </c>
      <c r="J298" s="163">
        <v>0</v>
      </c>
      <c r="K298" s="163">
        <v>0</v>
      </c>
      <c r="L298" s="162">
        <f t="shared" si="42"/>
        <v>0</v>
      </c>
      <c r="M298" s="162"/>
      <c r="N298" s="162"/>
      <c r="O298" s="162">
        <f t="shared" si="43"/>
        <v>0</v>
      </c>
    </row>
    <row r="299" spans="1:15" hidden="1" x14ac:dyDescent="0.2">
      <c r="B299" s="125" t="s">
        <v>120</v>
      </c>
      <c r="C299" s="153">
        <v>645000</v>
      </c>
      <c r="D299" s="154"/>
      <c r="E299" s="154"/>
      <c r="F299" s="162">
        <f>314260.2+312045.14+13335+5359.66</f>
        <v>645000.00000000012</v>
      </c>
      <c r="G299" s="163">
        <v>0</v>
      </c>
      <c r="H299" s="164">
        <v>0</v>
      </c>
      <c r="I299" s="163">
        <v>0</v>
      </c>
      <c r="J299" s="163">
        <v>0</v>
      </c>
      <c r="K299" s="163">
        <f>[2]FSU!K170</f>
        <v>0</v>
      </c>
      <c r="L299" s="162">
        <f>G299-H299-I299-J299-K299</f>
        <v>0</v>
      </c>
      <c r="M299" s="162"/>
      <c r="N299" s="162"/>
      <c r="O299" s="162">
        <f t="shared" si="43"/>
        <v>0</v>
      </c>
    </row>
    <row r="300" spans="1:15" hidden="1" x14ac:dyDescent="0.2">
      <c r="B300" s="125" t="s">
        <v>137</v>
      </c>
      <c r="C300" s="153">
        <v>536000</v>
      </c>
      <c r="D300" s="154"/>
      <c r="E300" s="154"/>
      <c r="F300" s="162">
        <f>248700.5+287299.5</f>
        <v>536000</v>
      </c>
      <c r="G300" s="163">
        <v>0</v>
      </c>
      <c r="H300" s="164">
        <v>0</v>
      </c>
      <c r="I300" s="163">
        <v>0</v>
      </c>
      <c r="J300" s="163">
        <v>0</v>
      </c>
      <c r="K300" s="163">
        <f>[2]SU!K151</f>
        <v>0</v>
      </c>
      <c r="L300" s="162">
        <f t="shared" si="42"/>
        <v>0</v>
      </c>
      <c r="M300" s="162"/>
      <c r="N300" s="162"/>
      <c r="O300" s="162">
        <f t="shared" si="43"/>
        <v>0</v>
      </c>
    </row>
    <row r="301" spans="1:15" hidden="1" x14ac:dyDescent="0.2">
      <c r="B301" s="125" t="s">
        <v>122</v>
      </c>
      <c r="C301" s="153">
        <v>1589000</v>
      </c>
      <c r="D301" s="154"/>
      <c r="E301" s="154"/>
      <c r="F301" s="162">
        <f>1800+509723+84116.52+68578+170040.86+15741+3765+650035.62+75181.61+10018.39</f>
        <v>1589000</v>
      </c>
      <c r="G301" s="163">
        <v>0</v>
      </c>
      <c r="H301" s="164">
        <v>0</v>
      </c>
      <c r="I301" s="163">
        <v>0</v>
      </c>
      <c r="J301" s="163">
        <v>0</v>
      </c>
      <c r="K301" s="163">
        <v>0</v>
      </c>
      <c r="L301" s="162">
        <f t="shared" si="42"/>
        <v>0</v>
      </c>
      <c r="M301" s="162"/>
      <c r="N301" s="162"/>
      <c r="O301" s="162">
        <f t="shared" si="43"/>
        <v>0</v>
      </c>
    </row>
    <row r="302" spans="1:15" hidden="1" x14ac:dyDescent="0.2">
      <c r="B302" s="125" t="s">
        <v>123</v>
      </c>
      <c r="C302" s="153">
        <v>425000</v>
      </c>
      <c r="D302" s="154"/>
      <c r="E302" s="154"/>
      <c r="F302" s="162">
        <f>46860+128116+250024</f>
        <v>425000</v>
      </c>
      <c r="G302" s="163">
        <v>0</v>
      </c>
      <c r="H302" s="164">
        <v>0</v>
      </c>
      <c r="I302" s="163">
        <v>0</v>
      </c>
      <c r="J302" s="163">
        <v>0</v>
      </c>
      <c r="K302" s="163">
        <v>0</v>
      </c>
      <c r="L302" s="162">
        <f t="shared" si="42"/>
        <v>0</v>
      </c>
      <c r="M302" s="162"/>
      <c r="N302" s="162"/>
      <c r="O302" s="162">
        <f t="shared" si="43"/>
        <v>0</v>
      </c>
    </row>
    <row r="303" spans="1:15" hidden="1" x14ac:dyDescent="0.2">
      <c r="B303" s="165" t="s">
        <v>127</v>
      </c>
      <c r="C303" s="153">
        <v>347000</v>
      </c>
      <c r="D303" s="162"/>
      <c r="E303" s="162">
        <f>800000-800000-90000-175000-82000+80000-80000</f>
        <v>-347000</v>
      </c>
      <c r="F303" s="167"/>
      <c r="G303" s="163"/>
      <c r="H303" s="164"/>
      <c r="I303" s="163"/>
      <c r="J303" s="163"/>
      <c r="K303" s="163"/>
      <c r="L303" s="162"/>
      <c r="M303" s="162"/>
      <c r="N303" s="162"/>
      <c r="O303" s="162"/>
    </row>
    <row r="304" spans="1:15" ht="12.75" hidden="1" customHeight="1" x14ac:dyDescent="0.2">
      <c r="B304" s="125" t="s">
        <v>203</v>
      </c>
      <c r="C304" s="153"/>
      <c r="E304" s="162">
        <v>800000</v>
      </c>
      <c r="F304" s="167">
        <f>81417.06+68250.66+63946.13+353280.72+105599.62+3987.61+108205.87+15312.33</f>
        <v>799999.99999999988</v>
      </c>
      <c r="G304" s="163">
        <v>0</v>
      </c>
      <c r="H304" s="164">
        <v>0</v>
      </c>
      <c r="I304" s="163">
        <v>0</v>
      </c>
      <c r="J304" s="163">
        <v>0</v>
      </c>
      <c r="K304" s="163">
        <v>0</v>
      </c>
      <c r="L304" s="162">
        <f>G304-H304-I304-J304-K304</f>
        <v>0</v>
      </c>
      <c r="M304" s="162"/>
      <c r="N304" s="162"/>
      <c r="O304" s="162">
        <f>H304+I304+J304+K304</f>
        <v>0</v>
      </c>
    </row>
    <row r="305" spans="1:15" hidden="1" x14ac:dyDescent="0.2">
      <c r="B305" s="125" t="s">
        <v>204</v>
      </c>
      <c r="C305" s="153"/>
      <c r="E305" s="162">
        <v>90000</v>
      </c>
      <c r="F305" s="167">
        <f>71795.27+18204.73</f>
        <v>90000</v>
      </c>
      <c r="G305" s="163">
        <v>0</v>
      </c>
      <c r="H305" s="164">
        <v>0</v>
      </c>
      <c r="I305" s="163">
        <v>0</v>
      </c>
      <c r="J305" s="163">
        <v>0</v>
      </c>
      <c r="K305" s="163">
        <v>0</v>
      </c>
      <c r="L305" s="162">
        <f>G305-H305-I305-J305-K305</f>
        <v>0</v>
      </c>
      <c r="M305" s="162"/>
      <c r="N305" s="162"/>
      <c r="O305" s="162">
        <f>H305+I305+J305+K305</f>
        <v>0</v>
      </c>
    </row>
    <row r="306" spans="1:15" hidden="1" x14ac:dyDescent="0.2">
      <c r="B306" s="125" t="s">
        <v>205</v>
      </c>
      <c r="C306" s="153"/>
      <c r="E306" s="162">
        <f>175000+80000</f>
        <v>255000</v>
      </c>
      <c r="F306" s="167">
        <f>248792.86+6207.14</f>
        <v>255000</v>
      </c>
      <c r="G306" s="163">
        <v>0</v>
      </c>
      <c r="H306" s="164">
        <v>0</v>
      </c>
      <c r="I306" s="163">
        <v>0</v>
      </c>
      <c r="J306" s="163">
        <v>0</v>
      </c>
      <c r="K306" s="163">
        <v>0</v>
      </c>
      <c r="L306" s="162">
        <f>G306-H306-I306-J306-K306</f>
        <v>0</v>
      </c>
      <c r="M306" s="162"/>
      <c r="N306" s="162"/>
      <c r="O306" s="162">
        <f>H306+I306+J306+K306</f>
        <v>0</v>
      </c>
    </row>
    <row r="307" spans="1:15" x14ac:dyDescent="0.2">
      <c r="B307" s="165"/>
      <c r="C307" s="153"/>
      <c r="D307" s="162"/>
      <c r="E307" s="154"/>
      <c r="F307" s="162"/>
      <c r="G307" s="156"/>
      <c r="H307" s="157"/>
      <c r="I307" s="156"/>
      <c r="J307" s="156"/>
      <c r="K307" s="156"/>
      <c r="L307" s="154"/>
      <c r="M307" s="154"/>
      <c r="N307" s="154"/>
      <c r="O307" s="154"/>
    </row>
    <row r="308" spans="1:15" ht="13.5" thickBot="1" x14ac:dyDescent="0.25">
      <c r="B308" s="168" t="s">
        <v>206</v>
      </c>
      <c r="C308" s="169">
        <f>SUM(C290:C306)</f>
        <v>27000000</v>
      </c>
      <c r="D308" s="169">
        <f>SUM(D289:D306)</f>
        <v>-3587988.58</v>
      </c>
      <c r="E308" s="169">
        <f>SUM(E289:E306)</f>
        <v>-2000</v>
      </c>
      <c r="F308" s="192">
        <f t="shared" ref="F308:O308" si="44">SUM(F290:F306)</f>
        <v>23395041.609999999</v>
      </c>
      <c r="G308" s="169">
        <f t="shared" si="44"/>
        <v>14969.809999999772</v>
      </c>
      <c r="H308" s="169">
        <f t="shared" si="44"/>
        <v>14969.81</v>
      </c>
      <c r="I308" s="169">
        <f t="shared" si="44"/>
        <v>0</v>
      </c>
      <c r="J308" s="169">
        <f t="shared" si="44"/>
        <v>0</v>
      </c>
      <c r="K308" s="169">
        <f t="shared" si="44"/>
        <v>0</v>
      </c>
      <c r="L308" s="169">
        <f t="shared" si="44"/>
        <v>-2.2737367544323206E-10</v>
      </c>
      <c r="M308" s="169">
        <f t="shared" si="44"/>
        <v>0</v>
      </c>
      <c r="N308" s="169">
        <f t="shared" si="44"/>
        <v>0</v>
      </c>
      <c r="O308" s="169">
        <f t="shared" si="44"/>
        <v>14969.81</v>
      </c>
    </row>
    <row r="309" spans="1:15" ht="13.5" thickTop="1" x14ac:dyDescent="0.2">
      <c r="B309" s="165"/>
      <c r="C309" s="153"/>
      <c r="D309" s="154"/>
      <c r="E309" s="154"/>
      <c r="F309" s="191"/>
      <c r="G309" s="156"/>
      <c r="H309" s="157"/>
      <c r="I309" s="156"/>
      <c r="J309" s="156"/>
      <c r="K309" s="156"/>
      <c r="L309" s="154"/>
      <c r="M309" s="154"/>
      <c r="N309" s="154"/>
      <c r="O309" s="154"/>
    </row>
    <row r="310" spans="1:15" x14ac:dyDescent="0.2">
      <c r="A310" s="165" t="s">
        <v>207</v>
      </c>
      <c r="C310" s="153"/>
      <c r="D310" s="154"/>
      <c r="E310" s="156"/>
      <c r="F310" s="162"/>
      <c r="G310" s="154"/>
      <c r="H310" s="158"/>
      <c r="I310" s="154"/>
      <c r="J310" s="154"/>
      <c r="K310" s="154"/>
      <c r="L310" s="154"/>
      <c r="M310" s="154"/>
      <c r="N310" s="154"/>
      <c r="O310" s="154"/>
    </row>
    <row r="311" spans="1:15" hidden="1" x14ac:dyDescent="0.2">
      <c r="A311" s="165"/>
      <c r="B311" s="125" t="s">
        <v>208</v>
      </c>
      <c r="C311" s="153">
        <v>9000000</v>
      </c>
      <c r="D311" s="154"/>
      <c r="E311" s="156"/>
      <c r="F311" s="162">
        <f>5977649.54+217797.59+2137758.66+6607.32+14930.21+31859.85+29432.82+5202.72+6795.29+69907.85+22554.51+6238.44+282835.57+163400.25+5340.99+21688.39</f>
        <v>9000000</v>
      </c>
      <c r="G311" s="163">
        <v>0</v>
      </c>
      <c r="H311" s="164">
        <v>0</v>
      </c>
      <c r="I311" s="163"/>
      <c r="J311" s="163">
        <v>0</v>
      </c>
      <c r="K311" s="163">
        <v>0</v>
      </c>
      <c r="L311" s="162">
        <f>G311-H311-I311-J311-K311</f>
        <v>0</v>
      </c>
      <c r="M311" s="162"/>
      <c r="N311" s="162"/>
      <c r="O311" s="162">
        <f>H311+I311+J311+K311</f>
        <v>0</v>
      </c>
    </row>
    <row r="312" spans="1:15" hidden="1" x14ac:dyDescent="0.2">
      <c r="A312" s="165"/>
      <c r="B312" s="125" t="s">
        <v>209</v>
      </c>
      <c r="C312" s="153">
        <v>1000000</v>
      </c>
      <c r="D312" s="154"/>
      <c r="E312" s="156"/>
      <c r="F312" s="162">
        <f>16000+12600+34902+936498</f>
        <v>1000000</v>
      </c>
      <c r="G312" s="163">
        <v>0</v>
      </c>
      <c r="H312" s="164">
        <v>0</v>
      </c>
      <c r="I312" s="163"/>
      <c r="J312" s="163">
        <v>0</v>
      </c>
      <c r="K312" s="163">
        <v>0</v>
      </c>
      <c r="L312" s="162">
        <f>G312-H312-I312-J312</f>
        <v>0</v>
      </c>
      <c r="M312" s="162"/>
      <c r="N312" s="162"/>
      <c r="O312" s="162">
        <f>H312+I312+J312+K312</f>
        <v>0</v>
      </c>
    </row>
    <row r="313" spans="1:15" x14ac:dyDescent="0.2">
      <c r="A313" s="165"/>
      <c r="B313" s="165" t="s">
        <v>112</v>
      </c>
      <c r="C313" s="153"/>
      <c r="D313" s="154"/>
      <c r="E313" s="156"/>
      <c r="F313" s="162"/>
      <c r="G313" s="162"/>
      <c r="H313" s="167"/>
      <c r="I313" s="162"/>
      <c r="J313" s="162"/>
      <c r="K313" s="162"/>
      <c r="L313" s="162"/>
      <c r="M313" s="162"/>
      <c r="N313" s="162"/>
      <c r="O313" s="162"/>
    </row>
    <row r="314" spans="1:15" ht="12.75" hidden="1" customHeight="1" x14ac:dyDescent="0.2">
      <c r="A314" s="165"/>
      <c r="B314" s="125" t="s">
        <v>113</v>
      </c>
      <c r="C314" s="153">
        <v>7060000</v>
      </c>
      <c r="D314" s="154"/>
      <c r="E314" s="156"/>
      <c r="F314" s="162">
        <f>1546923.37+1447116.35+1273174.6+1135336.22+666923.08+196580.58+793945.8</f>
        <v>7060000</v>
      </c>
      <c r="G314" s="162">
        <v>0</v>
      </c>
      <c r="H314" s="167">
        <v>0</v>
      </c>
      <c r="I314" s="162">
        <v>0</v>
      </c>
      <c r="J314" s="162">
        <v>0</v>
      </c>
      <c r="K314" s="162">
        <v>0</v>
      </c>
      <c r="L314" s="162">
        <v>0</v>
      </c>
      <c r="M314" s="162"/>
      <c r="N314" s="162"/>
      <c r="O314" s="162">
        <f>H314+I314+J314+K314</f>
        <v>0</v>
      </c>
    </row>
    <row r="315" spans="1:15" x14ac:dyDescent="0.2">
      <c r="A315" s="165"/>
      <c r="B315" s="125" t="s">
        <v>114</v>
      </c>
      <c r="C315" s="153">
        <v>2515000</v>
      </c>
      <c r="D315" s="162"/>
      <c r="E315" s="156"/>
      <c r="F315" s="162">
        <f>95799+121126.6+382459+312204.5+91850.75+520650.28+194790.24+138986.95+1242.65+83400.01+10990.51+50953.36+313263.98+113226.25+37149.1+20376.32+588+7140+4708.2+235.2</f>
        <v>2501140.9000000004</v>
      </c>
      <c r="G315" s="162">
        <v>13859.099999999868</v>
      </c>
      <c r="H315" s="167">
        <v>13859.1</v>
      </c>
      <c r="I315" s="162">
        <f>[4]UMB!I407</f>
        <v>0</v>
      </c>
      <c r="J315" s="162">
        <f>[4]UMB!J407</f>
        <v>0</v>
      </c>
      <c r="K315" s="162">
        <f>[4]UMB!K407</f>
        <v>0</v>
      </c>
      <c r="L315" s="162">
        <f t="shared" ref="L315:L325" si="45">G315-H315-I315-J315-K315</f>
        <v>-1.3278622645884752E-10</v>
      </c>
      <c r="M315" s="162">
        <f>H315-N315-O315</f>
        <v>0</v>
      </c>
      <c r="N315" s="162">
        <v>0</v>
      </c>
      <c r="O315" s="162">
        <v>13859.1</v>
      </c>
    </row>
    <row r="316" spans="1:15" hidden="1" x14ac:dyDescent="0.2">
      <c r="A316" s="165"/>
      <c r="B316" s="125" t="s">
        <v>210</v>
      </c>
      <c r="C316" s="153">
        <v>568000</v>
      </c>
      <c r="D316" s="162"/>
      <c r="E316" s="163">
        <v>-311231.58</v>
      </c>
      <c r="F316" s="162">
        <f>56077+12000+96109.43+78749.97+1280.78+9591.83+2959.41</f>
        <v>256768.41999999998</v>
      </c>
      <c r="G316" s="162">
        <f>[4]UMBI!F65</f>
        <v>0</v>
      </c>
      <c r="H316" s="167">
        <v>0</v>
      </c>
      <c r="I316" s="162">
        <f>[4]UMBI!I65</f>
        <v>0</v>
      </c>
      <c r="J316" s="162">
        <f>[4]UMBI!J65</f>
        <v>0</v>
      </c>
      <c r="K316" s="162">
        <f>[4]UMBI!K65</f>
        <v>0</v>
      </c>
      <c r="L316" s="162">
        <f t="shared" si="45"/>
        <v>0</v>
      </c>
      <c r="M316" s="162"/>
      <c r="N316" s="162"/>
      <c r="O316" s="162">
        <f t="shared" ref="O316:O325" si="46">H316+I316+J316+K316</f>
        <v>0</v>
      </c>
    </row>
    <row r="317" spans="1:15" hidden="1" x14ac:dyDescent="0.2">
      <c r="A317" s="165"/>
      <c r="B317" s="125" t="s">
        <v>115</v>
      </c>
      <c r="C317" s="153">
        <v>642000</v>
      </c>
      <c r="D317" s="162">
        <v>-76885.95</v>
      </c>
      <c r="E317" s="163"/>
      <c r="F317" s="167">
        <f>192000+99265.52+176366.44+44494.69+35172.5+1180+8589.9+8045</f>
        <v>565114.05000000005</v>
      </c>
      <c r="G317" s="163">
        <v>0</v>
      </c>
      <c r="H317" s="164">
        <v>0</v>
      </c>
      <c r="I317" s="163"/>
      <c r="J317" s="163">
        <v>0</v>
      </c>
      <c r="K317" s="163">
        <v>0</v>
      </c>
      <c r="L317" s="162">
        <f t="shared" si="45"/>
        <v>0</v>
      </c>
      <c r="M317" s="162"/>
      <c r="N317" s="162"/>
      <c r="O317" s="162">
        <f t="shared" si="46"/>
        <v>0</v>
      </c>
    </row>
    <row r="318" spans="1:15" hidden="1" x14ac:dyDescent="0.2">
      <c r="A318" s="165"/>
      <c r="B318" s="125" t="s">
        <v>116</v>
      </c>
      <c r="C318" s="153">
        <v>1247000</v>
      </c>
      <c r="D318" s="162"/>
      <c r="E318" s="156"/>
      <c r="F318" s="162">
        <f>240381.96+696788.93+130744.47+128930.15+10239.46+279.7+39635.33</f>
        <v>1247000</v>
      </c>
      <c r="G318" s="163">
        <v>0</v>
      </c>
      <c r="H318" s="164">
        <v>0</v>
      </c>
      <c r="I318" s="163"/>
      <c r="J318" s="163">
        <v>0</v>
      </c>
      <c r="K318" s="163">
        <v>0</v>
      </c>
      <c r="L318" s="162">
        <f t="shared" si="45"/>
        <v>0</v>
      </c>
      <c r="M318" s="162"/>
      <c r="N318" s="162"/>
      <c r="O318" s="162">
        <f t="shared" si="46"/>
        <v>0</v>
      </c>
    </row>
    <row r="319" spans="1:15" hidden="1" x14ac:dyDescent="0.2">
      <c r="A319" s="165"/>
      <c r="B319" s="125" t="s">
        <v>117</v>
      </c>
      <c r="C319" s="153">
        <v>317000</v>
      </c>
      <c r="D319" s="162"/>
      <c r="E319" s="156"/>
      <c r="F319" s="162">
        <f>11475+138157.46+57562.54+109805</f>
        <v>317000</v>
      </c>
      <c r="G319" s="163">
        <v>0</v>
      </c>
      <c r="H319" s="164">
        <v>0</v>
      </c>
      <c r="I319" s="163"/>
      <c r="J319" s="163">
        <v>0</v>
      </c>
      <c r="K319" s="163">
        <v>0</v>
      </c>
      <c r="L319" s="162">
        <f t="shared" si="45"/>
        <v>0</v>
      </c>
      <c r="M319" s="162"/>
      <c r="N319" s="162"/>
      <c r="O319" s="162">
        <f t="shared" si="46"/>
        <v>0</v>
      </c>
    </row>
    <row r="320" spans="1:15" hidden="1" x14ac:dyDescent="0.2">
      <c r="A320" s="165"/>
      <c r="B320" s="125" t="s">
        <v>118</v>
      </c>
      <c r="C320" s="153">
        <v>554000</v>
      </c>
      <c r="D320" s="162"/>
      <c r="E320" s="156"/>
      <c r="F320" s="162">
        <f>286415+179353.1-127025.1+82343.07+132381.4+532.53</f>
        <v>554000</v>
      </c>
      <c r="G320" s="163">
        <v>0</v>
      </c>
      <c r="H320" s="164">
        <v>0</v>
      </c>
      <c r="I320" s="163"/>
      <c r="J320" s="163">
        <v>0</v>
      </c>
      <c r="K320" s="163">
        <v>0</v>
      </c>
      <c r="L320" s="162">
        <f t="shared" si="45"/>
        <v>0</v>
      </c>
      <c r="M320" s="162"/>
      <c r="N320" s="162"/>
      <c r="O320" s="162">
        <f t="shared" si="46"/>
        <v>0</v>
      </c>
    </row>
    <row r="321" spans="1:15" ht="12" hidden="1" customHeight="1" x14ac:dyDescent="0.2">
      <c r="A321" s="165"/>
      <c r="B321" s="125" t="s">
        <v>119</v>
      </c>
      <c r="C321" s="153">
        <v>409000</v>
      </c>
      <c r="D321" s="167">
        <v>-8568.82</v>
      </c>
      <c r="E321" s="156"/>
      <c r="F321" s="167">
        <f>108040+77049+82340+68444.01+7410+36958.17+20190</f>
        <v>400431.18</v>
      </c>
      <c r="G321" s="163">
        <v>0</v>
      </c>
      <c r="H321" s="164">
        <v>0</v>
      </c>
      <c r="I321" s="163"/>
      <c r="J321" s="163">
        <v>0</v>
      </c>
      <c r="K321" s="163">
        <v>0</v>
      </c>
      <c r="L321" s="162">
        <f t="shared" si="45"/>
        <v>0</v>
      </c>
      <c r="M321" s="162"/>
      <c r="N321" s="162"/>
      <c r="O321" s="162">
        <f t="shared" si="46"/>
        <v>0</v>
      </c>
    </row>
    <row r="322" spans="1:15" hidden="1" x14ac:dyDescent="0.2">
      <c r="A322" s="165"/>
      <c r="B322" s="125" t="s">
        <v>120</v>
      </c>
      <c r="C322" s="153">
        <v>645000</v>
      </c>
      <c r="D322" s="137"/>
      <c r="E322" s="162">
        <f>-200000-245000</f>
        <v>-445000</v>
      </c>
      <c r="F322" s="162">
        <f>105562.16+60760.54+24788.48+8888.82</f>
        <v>200000.00000000003</v>
      </c>
      <c r="G322" s="163">
        <v>0</v>
      </c>
      <c r="H322" s="164">
        <v>0</v>
      </c>
      <c r="I322" s="163"/>
      <c r="J322" s="163">
        <v>0</v>
      </c>
      <c r="K322" s="163">
        <v>0</v>
      </c>
      <c r="L322" s="162">
        <f t="shared" si="45"/>
        <v>0</v>
      </c>
      <c r="M322" s="162"/>
      <c r="N322" s="162"/>
      <c r="O322" s="162">
        <f t="shared" si="46"/>
        <v>0</v>
      </c>
    </row>
    <row r="323" spans="1:15" hidden="1" x14ac:dyDescent="0.2">
      <c r="A323" s="165"/>
      <c r="B323" s="125" t="s">
        <v>137</v>
      </c>
      <c r="C323" s="153">
        <v>536000</v>
      </c>
      <c r="D323" s="162"/>
      <c r="E323" s="156"/>
      <c r="F323" s="162">
        <f>532299.33+3700.67</f>
        <v>536000</v>
      </c>
      <c r="G323" s="163">
        <v>0</v>
      </c>
      <c r="H323" s="164">
        <v>0</v>
      </c>
      <c r="I323" s="163"/>
      <c r="J323" s="163">
        <v>0</v>
      </c>
      <c r="K323" s="163">
        <v>0</v>
      </c>
      <c r="L323" s="162">
        <f t="shared" si="45"/>
        <v>0</v>
      </c>
      <c r="M323" s="162"/>
      <c r="N323" s="162"/>
      <c r="O323" s="162">
        <f t="shared" si="46"/>
        <v>0</v>
      </c>
    </row>
    <row r="324" spans="1:15" hidden="1" x14ac:dyDescent="0.2">
      <c r="A324" s="165"/>
      <c r="B324" s="125" t="s">
        <v>122</v>
      </c>
      <c r="C324" s="153">
        <v>1589000</v>
      </c>
      <c r="D324" s="162"/>
      <c r="E324" s="156"/>
      <c r="F324" s="162">
        <f>209782.92+216303.98+5869.82+689000+2483.6+465269.68+290</f>
        <v>1589000</v>
      </c>
      <c r="G324" s="163">
        <v>0</v>
      </c>
      <c r="H324" s="164">
        <v>0</v>
      </c>
      <c r="I324" s="163"/>
      <c r="J324" s="163">
        <v>0</v>
      </c>
      <c r="K324" s="163">
        <v>0</v>
      </c>
      <c r="L324" s="162">
        <f t="shared" si="45"/>
        <v>0</v>
      </c>
      <c r="M324" s="162"/>
      <c r="N324" s="162"/>
      <c r="O324" s="162">
        <f t="shared" si="46"/>
        <v>0</v>
      </c>
    </row>
    <row r="325" spans="1:15" hidden="1" x14ac:dyDescent="0.2">
      <c r="A325" s="165"/>
      <c r="B325" s="125" t="s">
        <v>123</v>
      </c>
      <c r="C325" s="153">
        <v>418000</v>
      </c>
      <c r="D325" s="154"/>
      <c r="E325" s="156"/>
      <c r="F325" s="162">
        <f>33775+86196.55+298028.45</f>
        <v>418000</v>
      </c>
      <c r="G325" s="163">
        <v>0</v>
      </c>
      <c r="H325" s="164">
        <v>0</v>
      </c>
      <c r="I325" s="163"/>
      <c r="J325" s="163">
        <v>0</v>
      </c>
      <c r="K325" s="163">
        <v>0</v>
      </c>
      <c r="L325" s="162">
        <f t="shared" si="45"/>
        <v>0</v>
      </c>
      <c r="M325" s="162"/>
      <c r="N325" s="162"/>
      <c r="O325" s="162">
        <f t="shared" si="46"/>
        <v>0</v>
      </c>
    </row>
    <row r="326" spans="1:15" hidden="1" x14ac:dyDescent="0.2">
      <c r="A326" s="165"/>
      <c r="B326" s="165" t="s">
        <v>127</v>
      </c>
      <c r="C326" s="153">
        <v>500000</v>
      </c>
      <c r="E326" s="162">
        <f>200000+245000-200000-245000-30290-23236-75000-250000-68000-5000-48474</f>
        <v>-500000</v>
      </c>
      <c r="F326" s="162"/>
      <c r="G326" s="162">
        <f>'[4]Emergency Funds'!G152</f>
        <v>0</v>
      </c>
      <c r="H326" s="167"/>
      <c r="I326" s="162"/>
      <c r="J326" s="162"/>
      <c r="K326" s="162"/>
      <c r="L326" s="162"/>
      <c r="M326" s="162"/>
      <c r="N326" s="162"/>
      <c r="O326" s="162"/>
    </row>
    <row r="327" spans="1:15" hidden="1" x14ac:dyDescent="0.2">
      <c r="A327" s="165"/>
      <c r="B327" s="125" t="s">
        <v>211</v>
      </c>
      <c r="C327" s="153"/>
      <c r="E327" s="162">
        <v>75000</v>
      </c>
      <c r="F327" s="162">
        <f>75000</f>
        <v>75000</v>
      </c>
      <c r="G327" s="162">
        <v>0</v>
      </c>
      <c r="H327" s="167">
        <v>0</v>
      </c>
      <c r="I327" s="162">
        <v>0</v>
      </c>
      <c r="J327" s="162">
        <v>0</v>
      </c>
      <c r="K327" s="162">
        <v>0</v>
      </c>
      <c r="L327" s="162">
        <v>0</v>
      </c>
      <c r="M327" s="162"/>
      <c r="N327" s="162"/>
      <c r="O327" s="162">
        <f t="shared" ref="O327:O332" si="47">H327+I327+J327+K327</f>
        <v>0</v>
      </c>
    </row>
    <row r="328" spans="1:15" hidden="1" x14ac:dyDescent="0.2">
      <c r="A328" s="165"/>
      <c r="B328" s="125" t="s">
        <v>212</v>
      </c>
      <c r="C328" s="135"/>
      <c r="E328" s="196">
        <f>30290+23236</f>
        <v>53526</v>
      </c>
      <c r="F328" s="162">
        <f>53526</f>
        <v>53526</v>
      </c>
      <c r="G328" s="163">
        <v>0</v>
      </c>
      <c r="H328" s="164">
        <v>0</v>
      </c>
      <c r="I328" s="163"/>
      <c r="J328" s="163">
        <v>0</v>
      </c>
      <c r="K328" s="163">
        <v>0</v>
      </c>
      <c r="L328" s="162">
        <f>G328-H328-I328-J328-K328</f>
        <v>0</v>
      </c>
      <c r="M328" s="162"/>
      <c r="N328" s="162"/>
      <c r="O328" s="162">
        <f t="shared" si="47"/>
        <v>0</v>
      </c>
    </row>
    <row r="329" spans="1:15" hidden="1" x14ac:dyDescent="0.2">
      <c r="A329" s="165"/>
      <c r="B329" s="197" t="s">
        <v>213</v>
      </c>
      <c r="C329" s="153"/>
      <c r="E329" s="162">
        <v>250000</v>
      </c>
      <c r="F329" s="162">
        <f>250000</f>
        <v>250000</v>
      </c>
      <c r="G329" s="163">
        <v>0</v>
      </c>
      <c r="H329" s="164">
        <v>0</v>
      </c>
      <c r="I329" s="163"/>
      <c r="J329" s="163">
        <v>0</v>
      </c>
      <c r="K329" s="163">
        <v>0</v>
      </c>
      <c r="L329" s="162">
        <f>G329-H329-I329-J329-K329</f>
        <v>0</v>
      </c>
      <c r="M329" s="162"/>
      <c r="N329" s="162"/>
      <c r="O329" s="162">
        <f t="shared" si="47"/>
        <v>0</v>
      </c>
    </row>
    <row r="330" spans="1:15" hidden="1" x14ac:dyDescent="0.2">
      <c r="A330" s="165"/>
      <c r="B330" s="197" t="s">
        <v>214</v>
      </c>
      <c r="C330" s="153"/>
      <c r="E330" s="162">
        <f>68000+5000-30</f>
        <v>72970</v>
      </c>
      <c r="F330" s="167">
        <f>72970</f>
        <v>72970</v>
      </c>
      <c r="G330" s="163">
        <v>0</v>
      </c>
      <c r="H330" s="164">
        <v>0</v>
      </c>
      <c r="I330" s="163"/>
      <c r="J330" s="163">
        <v>0</v>
      </c>
      <c r="K330" s="163">
        <v>0</v>
      </c>
      <c r="L330" s="162">
        <f>G330-H330-I330-J330-K330</f>
        <v>0</v>
      </c>
      <c r="M330" s="162"/>
      <c r="N330" s="162"/>
      <c r="O330" s="162">
        <f t="shared" si="47"/>
        <v>0</v>
      </c>
    </row>
    <row r="331" spans="1:15" hidden="1" x14ac:dyDescent="0.2">
      <c r="A331" s="165"/>
      <c r="B331" s="198" t="s">
        <v>215</v>
      </c>
      <c r="C331" s="153"/>
      <c r="E331" s="167">
        <v>200000</v>
      </c>
      <c r="F331" s="167">
        <v>200000</v>
      </c>
      <c r="G331" s="163">
        <v>0</v>
      </c>
      <c r="H331" s="164">
        <v>0</v>
      </c>
      <c r="I331" s="163"/>
      <c r="J331" s="163">
        <v>0</v>
      </c>
      <c r="K331" s="163">
        <v>0</v>
      </c>
      <c r="L331" s="162">
        <f>G331-H331-I331-J331-K331</f>
        <v>0</v>
      </c>
      <c r="M331" s="162"/>
      <c r="N331" s="162"/>
      <c r="O331" s="162">
        <f t="shared" si="47"/>
        <v>0</v>
      </c>
    </row>
    <row r="332" spans="1:15" hidden="1" x14ac:dyDescent="0.2">
      <c r="A332" s="165"/>
      <c r="B332" s="197" t="s">
        <v>216</v>
      </c>
      <c r="C332" s="153"/>
      <c r="E332" s="167">
        <v>245000</v>
      </c>
      <c r="F332" s="167">
        <v>245000</v>
      </c>
      <c r="G332" s="163">
        <v>0</v>
      </c>
      <c r="H332" s="164">
        <v>0</v>
      </c>
      <c r="I332" s="163"/>
      <c r="J332" s="163">
        <v>0</v>
      </c>
      <c r="K332" s="163">
        <v>0</v>
      </c>
      <c r="L332" s="162">
        <f>G332-H332-I332-J332-K332</f>
        <v>0</v>
      </c>
      <c r="M332" s="162"/>
      <c r="N332" s="162"/>
      <c r="O332" s="162">
        <f t="shared" si="47"/>
        <v>0</v>
      </c>
    </row>
    <row r="333" spans="1:15" x14ac:dyDescent="0.2">
      <c r="C333" s="153"/>
      <c r="D333" s="154"/>
      <c r="E333" s="154"/>
      <c r="F333" s="162"/>
      <c r="G333" s="156"/>
      <c r="H333" s="157"/>
      <c r="I333" s="156"/>
      <c r="J333" s="156"/>
      <c r="K333" s="156"/>
      <c r="L333" s="154"/>
      <c r="M333" s="154"/>
      <c r="N333" s="154"/>
      <c r="O333" s="154"/>
    </row>
    <row r="334" spans="1:15" ht="13.5" thickBot="1" x14ac:dyDescent="0.25">
      <c r="B334" s="168" t="s">
        <v>217</v>
      </c>
      <c r="C334" s="169">
        <f t="shared" ref="C334:K334" si="48">SUM(C311:C333)</f>
        <v>27000000</v>
      </c>
      <c r="D334" s="169">
        <f>SUM(D311:D333)</f>
        <v>-85454.76999999999</v>
      </c>
      <c r="E334" s="169">
        <f t="shared" si="48"/>
        <v>-359735.58000000007</v>
      </c>
      <c r="F334" s="192">
        <f t="shared" si="48"/>
        <v>26540950.550000001</v>
      </c>
      <c r="G334" s="169">
        <f t="shared" si="48"/>
        <v>13859.099999999868</v>
      </c>
      <c r="H334" s="169">
        <f t="shared" si="48"/>
        <v>13859.1</v>
      </c>
      <c r="I334" s="169">
        <f t="shared" si="48"/>
        <v>0</v>
      </c>
      <c r="J334" s="169">
        <f t="shared" si="48"/>
        <v>0</v>
      </c>
      <c r="K334" s="169">
        <f t="shared" si="48"/>
        <v>0</v>
      </c>
      <c r="L334" s="169">
        <f>SUM(L311:L333)</f>
        <v>-1.3278622645884752E-10</v>
      </c>
      <c r="M334" s="169">
        <f>SUM(M311:M333)</f>
        <v>0</v>
      </c>
      <c r="N334" s="169">
        <f>SUM(N311:N333)</f>
        <v>0</v>
      </c>
      <c r="O334" s="169">
        <f>SUM(O311:O333)</f>
        <v>13859.1</v>
      </c>
    </row>
    <row r="335" spans="1:15" ht="13.5" thickTop="1" x14ac:dyDescent="0.2">
      <c r="B335" s="165"/>
      <c r="C335" s="153"/>
      <c r="D335" s="153"/>
      <c r="E335" s="153"/>
      <c r="F335" s="191"/>
      <c r="G335" s="153"/>
      <c r="H335" s="166"/>
      <c r="I335" s="153"/>
      <c r="J335" s="153"/>
      <c r="K335" s="153"/>
      <c r="L335" s="153"/>
      <c r="M335" s="153"/>
      <c r="N335" s="153"/>
      <c r="O335" s="153"/>
    </row>
    <row r="336" spans="1:15" x14ac:dyDescent="0.2">
      <c r="B336" s="199" t="s">
        <v>218</v>
      </c>
      <c r="C336" s="200">
        <f t="shared" ref="C336:M336" si="49">C67+C76+C95+C119+C143+C163+C181+C203+C225+C245+C264+C334+C308+C287+C47+C25</f>
        <v>516168103</v>
      </c>
      <c r="D336" s="200">
        <f t="shared" si="49"/>
        <v>-11583509.399999999</v>
      </c>
      <c r="E336" s="200">
        <f t="shared" si="49"/>
        <v>1651730.79</v>
      </c>
      <c r="F336" s="200">
        <f t="shared" si="49"/>
        <v>374364661.56999999</v>
      </c>
      <c r="G336" s="200">
        <f t="shared" si="49"/>
        <v>131871662.81699997</v>
      </c>
      <c r="H336" s="200">
        <f t="shared" si="49"/>
        <v>51400988.009999998</v>
      </c>
      <c r="I336" s="200">
        <f t="shared" si="49"/>
        <v>6760280.4299999997</v>
      </c>
      <c r="J336" s="200">
        <f t="shared" si="49"/>
        <v>0</v>
      </c>
      <c r="K336" s="200">
        <f t="shared" si="49"/>
        <v>0</v>
      </c>
      <c r="L336" s="200">
        <f t="shared" si="49"/>
        <v>78217247.996999994</v>
      </c>
      <c r="M336" s="200">
        <f t="shared" si="49"/>
        <v>20111348.089999996</v>
      </c>
      <c r="N336" s="200">
        <f>N67+N76+N95+N119+N143+N163+N181+N203+N225+N245+N264+N334+N308+N287+N47+N25</f>
        <v>20232613.030000001</v>
      </c>
      <c r="O336" s="200">
        <f>O67+O76+O95+O119+O143+O163+O181+O203+O225+O245+O264+O334+O308+O287+O47+O25</f>
        <v>13310453.700000005</v>
      </c>
    </row>
    <row r="337" spans="1:15" x14ac:dyDescent="0.2">
      <c r="B337" s="197"/>
      <c r="C337" s="166"/>
      <c r="D337" s="166"/>
      <c r="E337" s="166"/>
      <c r="F337" s="166"/>
      <c r="G337" s="166"/>
      <c r="H337" s="166"/>
      <c r="I337" s="166"/>
      <c r="J337" s="166"/>
      <c r="K337" s="166"/>
      <c r="L337" s="166"/>
      <c r="M337" s="166"/>
      <c r="N337" s="166"/>
      <c r="O337" s="166"/>
    </row>
    <row r="338" spans="1:15" x14ac:dyDescent="0.2">
      <c r="A338" s="165" t="s">
        <v>220</v>
      </c>
      <c r="C338" s="153"/>
      <c r="D338" s="166"/>
      <c r="E338" s="166"/>
      <c r="F338" s="166"/>
      <c r="G338" s="166"/>
      <c r="H338" s="166"/>
      <c r="I338" s="166"/>
      <c r="J338" s="166"/>
      <c r="K338" s="166"/>
      <c r="L338" s="166"/>
      <c r="M338" s="166"/>
      <c r="N338" s="162"/>
      <c r="O338" s="166"/>
    </row>
    <row r="339" spans="1:15" x14ac:dyDescent="0.2">
      <c r="B339" s="197" t="s">
        <v>221</v>
      </c>
      <c r="C339" s="166">
        <v>8000000</v>
      </c>
      <c r="D339" s="166"/>
      <c r="E339" s="166"/>
      <c r="F339" s="166"/>
      <c r="G339" s="166">
        <v>8000000</v>
      </c>
      <c r="H339" s="166">
        <v>0</v>
      </c>
      <c r="I339" s="166"/>
      <c r="J339" s="166"/>
      <c r="K339" s="166"/>
      <c r="L339" s="162">
        <f>G339-H339-I339-J339-K339</f>
        <v>8000000</v>
      </c>
      <c r="M339" s="162">
        <f>H339-N339-O339</f>
        <v>0</v>
      </c>
      <c r="N339" s="162">
        <v>0</v>
      </c>
      <c r="O339" s="166"/>
    </row>
    <row r="340" spans="1:15" x14ac:dyDescent="0.2">
      <c r="B340" s="197" t="s">
        <v>222</v>
      </c>
      <c r="C340" s="166">
        <v>10000000</v>
      </c>
      <c r="D340" s="166"/>
      <c r="E340" s="166"/>
      <c r="F340" s="166"/>
      <c r="G340" s="166">
        <v>10000000</v>
      </c>
      <c r="H340" s="166">
        <v>0</v>
      </c>
      <c r="I340" s="166"/>
      <c r="J340" s="166"/>
      <c r="K340" s="166"/>
      <c r="L340" s="162">
        <f>G340-H340-I340-J340-K340</f>
        <v>10000000</v>
      </c>
      <c r="M340" s="162">
        <f>H340-N340-O340</f>
        <v>0</v>
      </c>
      <c r="N340" s="162">
        <v>0</v>
      </c>
      <c r="O340" s="166"/>
    </row>
    <row r="341" spans="1:15" x14ac:dyDescent="0.2">
      <c r="B341" s="197"/>
      <c r="C341" s="166"/>
      <c r="D341" s="166"/>
      <c r="E341" s="166"/>
      <c r="F341" s="166"/>
      <c r="G341" s="166"/>
      <c r="H341" s="166"/>
      <c r="I341" s="166"/>
      <c r="J341" s="166"/>
      <c r="K341" s="166"/>
      <c r="L341" s="166"/>
      <c r="M341" s="166"/>
      <c r="N341" s="166"/>
      <c r="O341" s="166"/>
    </row>
    <row r="342" spans="1:15" ht="13.5" thickBot="1" x14ac:dyDescent="0.25">
      <c r="B342" s="201" t="s">
        <v>223</v>
      </c>
      <c r="C342" s="169">
        <f t="shared" ref="C342:M342" si="50">SUM(C339:C341)</f>
        <v>18000000</v>
      </c>
      <c r="D342" s="169">
        <f t="shared" si="50"/>
        <v>0</v>
      </c>
      <c r="E342" s="169">
        <f t="shared" si="50"/>
        <v>0</v>
      </c>
      <c r="F342" s="169">
        <f t="shared" si="50"/>
        <v>0</v>
      </c>
      <c r="G342" s="169">
        <f t="shared" si="50"/>
        <v>18000000</v>
      </c>
      <c r="H342" s="169">
        <f t="shared" si="50"/>
        <v>0</v>
      </c>
      <c r="I342" s="169">
        <f t="shared" si="50"/>
        <v>0</v>
      </c>
      <c r="J342" s="169">
        <f t="shared" si="50"/>
        <v>0</v>
      </c>
      <c r="K342" s="169">
        <f t="shared" si="50"/>
        <v>0</v>
      </c>
      <c r="L342" s="169">
        <f t="shared" si="50"/>
        <v>18000000</v>
      </c>
      <c r="M342" s="169">
        <f t="shared" si="50"/>
        <v>0</v>
      </c>
      <c r="N342" s="169">
        <f>SUM(N339:N341)</f>
        <v>0</v>
      </c>
      <c r="O342" s="169">
        <f>SUM(O339:O341)</f>
        <v>0</v>
      </c>
    </row>
    <row r="343" spans="1:15" ht="13.5" thickTop="1" x14ac:dyDescent="0.2">
      <c r="B343" s="202"/>
      <c r="C343" s="153"/>
      <c r="D343" s="153"/>
      <c r="E343" s="153"/>
      <c r="F343" s="153"/>
      <c r="G343" s="153"/>
      <c r="H343" s="153"/>
      <c r="I343" s="153"/>
      <c r="J343" s="153"/>
      <c r="K343" s="153"/>
      <c r="L343" s="153"/>
      <c r="M343" s="153"/>
      <c r="N343" s="153"/>
      <c r="O343" s="153"/>
    </row>
    <row r="344" spans="1:15" x14ac:dyDescent="0.2">
      <c r="A344" s="165" t="s">
        <v>225</v>
      </c>
      <c r="C344" s="153"/>
      <c r="D344" s="166"/>
      <c r="E344" s="166"/>
      <c r="F344" s="166"/>
      <c r="G344" s="166"/>
      <c r="H344" s="166"/>
      <c r="I344" s="166"/>
      <c r="J344" s="166"/>
      <c r="K344" s="166"/>
      <c r="L344" s="166"/>
      <c r="M344" s="166"/>
      <c r="N344" s="162"/>
      <c r="O344" s="166"/>
    </row>
    <row r="345" spans="1:15" x14ac:dyDescent="0.2">
      <c r="B345" s="197" t="s">
        <v>226</v>
      </c>
      <c r="C345" s="166">
        <v>6850000</v>
      </c>
      <c r="D345" s="166"/>
      <c r="E345" s="166"/>
      <c r="F345" s="166"/>
      <c r="G345" s="166">
        <v>6850000</v>
      </c>
      <c r="H345" s="166">
        <v>0</v>
      </c>
      <c r="I345" s="166"/>
      <c r="J345" s="166"/>
      <c r="K345" s="166">
        <f>[2]UMCP!K631</f>
        <v>0</v>
      </c>
      <c r="L345" s="162">
        <f>G345-H345-I345-J345-K345</f>
        <v>6850000</v>
      </c>
      <c r="M345" s="162">
        <f>H345-N345-O345</f>
        <v>0</v>
      </c>
      <c r="N345" s="162">
        <v>0</v>
      </c>
      <c r="O345" s="166"/>
    </row>
    <row r="346" spans="1:15" x14ac:dyDescent="0.2">
      <c r="B346" s="197" t="s">
        <v>227</v>
      </c>
      <c r="C346" s="166">
        <v>9046000</v>
      </c>
      <c r="D346" s="166"/>
      <c r="E346" s="166"/>
      <c r="F346" s="166"/>
      <c r="G346" s="166">
        <v>9046000</v>
      </c>
      <c r="H346" s="166">
        <v>0</v>
      </c>
      <c r="I346" s="166"/>
      <c r="J346" s="166"/>
      <c r="K346" s="166">
        <f>[2]TU!K494</f>
        <v>0</v>
      </c>
      <c r="L346" s="162">
        <f>G346-H346-I346-J346-K346</f>
        <v>9046000</v>
      </c>
      <c r="M346" s="162">
        <f>H346-N346-O346</f>
        <v>0</v>
      </c>
      <c r="N346" s="162">
        <v>0</v>
      </c>
      <c r="O346" s="166"/>
    </row>
    <row r="347" spans="1:15" x14ac:dyDescent="0.2">
      <c r="B347" s="197" t="s">
        <v>222</v>
      </c>
      <c r="C347" s="166">
        <v>5000000</v>
      </c>
      <c r="D347" s="166"/>
      <c r="E347" s="166"/>
      <c r="F347" s="166"/>
      <c r="G347" s="166">
        <v>5000000</v>
      </c>
      <c r="H347" s="166">
        <v>0</v>
      </c>
      <c r="I347" s="166"/>
      <c r="J347" s="166"/>
      <c r="K347" s="166">
        <f>[2]TU!K445</f>
        <v>0</v>
      </c>
      <c r="L347" s="162">
        <f>G347-H347-I347-J347-K347</f>
        <v>5000000</v>
      </c>
      <c r="M347" s="162">
        <f>H347-N347-O347</f>
        <v>0</v>
      </c>
      <c r="N347" s="162">
        <v>0</v>
      </c>
      <c r="O347" s="166"/>
    </row>
    <row r="348" spans="1:15" x14ac:dyDescent="0.2">
      <c r="B348" s="197"/>
      <c r="C348" s="166"/>
      <c r="D348" s="166"/>
      <c r="E348" s="166"/>
      <c r="F348" s="166"/>
      <c r="G348" s="166"/>
      <c r="H348" s="166"/>
      <c r="I348" s="166"/>
      <c r="J348" s="166"/>
      <c r="K348" s="166"/>
      <c r="L348" s="166"/>
      <c r="M348" s="166"/>
      <c r="N348" s="166"/>
      <c r="O348" s="166"/>
    </row>
    <row r="349" spans="1:15" ht="13.5" thickBot="1" x14ac:dyDescent="0.25">
      <c r="B349" s="201" t="s">
        <v>228</v>
      </c>
      <c r="C349" s="169">
        <f>SUM(C345:C348)</f>
        <v>20896000</v>
      </c>
      <c r="D349" s="169">
        <f t="shared" ref="D349:O349" si="51">SUM(D345:D348)</f>
        <v>0</v>
      </c>
      <c r="E349" s="169">
        <f t="shared" si="51"/>
        <v>0</v>
      </c>
      <c r="F349" s="169">
        <f t="shared" si="51"/>
        <v>0</v>
      </c>
      <c r="G349" s="169">
        <f t="shared" si="51"/>
        <v>20896000</v>
      </c>
      <c r="H349" s="169">
        <f t="shared" si="51"/>
        <v>0</v>
      </c>
      <c r="I349" s="169">
        <f t="shared" si="51"/>
        <v>0</v>
      </c>
      <c r="J349" s="169">
        <f t="shared" si="51"/>
        <v>0</v>
      </c>
      <c r="K349" s="169">
        <f t="shared" si="51"/>
        <v>0</v>
      </c>
      <c r="L349" s="169">
        <f t="shared" si="51"/>
        <v>20896000</v>
      </c>
      <c r="M349" s="169">
        <f t="shared" si="51"/>
        <v>0</v>
      </c>
      <c r="N349" s="169">
        <f t="shared" si="51"/>
        <v>0</v>
      </c>
      <c r="O349" s="169">
        <f t="shared" si="51"/>
        <v>0</v>
      </c>
    </row>
    <row r="350" spans="1:15" ht="13.5" thickTop="1" x14ac:dyDescent="0.2">
      <c r="B350" s="197"/>
      <c r="C350" s="166"/>
      <c r="D350" s="166"/>
      <c r="E350" s="166"/>
      <c r="F350" s="166"/>
      <c r="G350" s="166"/>
      <c r="H350" s="166"/>
      <c r="I350" s="166"/>
      <c r="J350" s="166"/>
      <c r="K350" s="166"/>
      <c r="L350" s="166"/>
      <c r="M350" s="166"/>
      <c r="N350" s="166"/>
      <c r="O350" s="166"/>
    </row>
    <row r="351" spans="1:15" x14ac:dyDescent="0.2">
      <c r="A351" s="165" t="s">
        <v>229</v>
      </c>
      <c r="C351" s="153"/>
      <c r="D351" s="166"/>
      <c r="E351" s="166"/>
      <c r="F351" s="128"/>
      <c r="G351" s="166"/>
      <c r="H351" s="166"/>
      <c r="I351" s="166"/>
      <c r="J351" s="166"/>
      <c r="K351" s="166"/>
      <c r="L351" s="166"/>
      <c r="M351" s="166"/>
      <c r="N351" s="166"/>
      <c r="O351" s="166"/>
    </row>
    <row r="352" spans="1:15" x14ac:dyDescent="0.2">
      <c r="B352" s="197" t="s">
        <v>230</v>
      </c>
      <c r="C352" s="166">
        <v>1045430</v>
      </c>
      <c r="D352" s="166"/>
      <c r="E352" s="166"/>
      <c r="F352" s="166">
        <f>677619.08</f>
        <v>677619.08</v>
      </c>
      <c r="G352" s="166">
        <v>367810.92000000004</v>
      </c>
      <c r="H352" s="166">
        <v>367810.92</v>
      </c>
      <c r="I352" s="166"/>
      <c r="J352" s="166">
        <f>[4]UMES!J214</f>
        <v>0</v>
      </c>
      <c r="K352" s="166">
        <f>[4]UMES!K214</f>
        <v>0</v>
      </c>
      <c r="L352" s="162">
        <f>G352-H352-I352-J352-K352</f>
        <v>5.8207660913467407E-11</v>
      </c>
      <c r="M352" s="162">
        <f>H352-N352-O352</f>
        <v>104246.32</v>
      </c>
      <c r="N352" s="162">
        <v>263564.59999999998</v>
      </c>
      <c r="O352" s="162">
        <v>0</v>
      </c>
    </row>
    <row r="353" spans="1:15" x14ac:dyDescent="0.2">
      <c r="B353" s="197" t="s">
        <v>231</v>
      </c>
      <c r="C353" s="166">
        <v>8000000</v>
      </c>
      <c r="D353" s="166"/>
      <c r="E353" s="166"/>
      <c r="F353" s="166">
        <f>4156585.88+673518.08+260562</f>
        <v>5090665.96</v>
      </c>
      <c r="G353" s="166">
        <v>2909334.04</v>
      </c>
      <c r="H353" s="166">
        <v>2227422.2399999998</v>
      </c>
      <c r="I353" s="166"/>
      <c r="J353" s="166">
        <f>[4]TU!J623</f>
        <v>0</v>
      </c>
      <c r="K353" s="166">
        <f>[4]TU!K623</f>
        <v>0</v>
      </c>
      <c r="L353" s="162">
        <f>G353-H353-I353-J353-K353</f>
        <v>681911.80000000028</v>
      </c>
      <c r="M353" s="162">
        <f>H353-N353-O353</f>
        <v>1970019.2199999997</v>
      </c>
      <c r="N353" s="162">
        <v>257403.02</v>
      </c>
      <c r="O353" s="162">
        <v>0</v>
      </c>
    </row>
    <row r="354" spans="1:15" x14ac:dyDescent="0.2">
      <c r="B354" s="197"/>
      <c r="C354" s="166"/>
      <c r="D354" s="166"/>
      <c r="E354" s="166"/>
      <c r="F354" s="166"/>
      <c r="G354" s="166"/>
      <c r="H354" s="166"/>
      <c r="I354" s="166"/>
      <c r="J354" s="166"/>
      <c r="K354" s="166"/>
      <c r="L354" s="166"/>
      <c r="M354" s="166"/>
      <c r="N354" s="166"/>
      <c r="O354" s="166"/>
    </row>
    <row r="355" spans="1:15" ht="13.5" thickBot="1" x14ac:dyDescent="0.25">
      <c r="B355" s="201" t="s">
        <v>232</v>
      </c>
      <c r="C355" s="169">
        <f>SUM(C352:C354)</f>
        <v>9045430</v>
      </c>
      <c r="D355" s="169">
        <f t="shared" ref="D355:O355" si="52">SUM(D352:D354)</f>
        <v>0</v>
      </c>
      <c r="E355" s="169">
        <f t="shared" si="52"/>
        <v>0</v>
      </c>
      <c r="F355" s="169">
        <f t="shared" si="52"/>
        <v>5768285.04</v>
      </c>
      <c r="G355" s="169">
        <f t="shared" si="52"/>
        <v>3277144.96</v>
      </c>
      <c r="H355" s="169">
        <f t="shared" si="52"/>
        <v>2595233.1599999997</v>
      </c>
      <c r="I355" s="169">
        <f t="shared" si="52"/>
        <v>0</v>
      </c>
      <c r="J355" s="169">
        <f t="shared" si="52"/>
        <v>0</v>
      </c>
      <c r="K355" s="169">
        <f t="shared" si="52"/>
        <v>0</v>
      </c>
      <c r="L355" s="169">
        <f t="shared" si="52"/>
        <v>681911.80000000028</v>
      </c>
      <c r="M355" s="169">
        <f t="shared" si="52"/>
        <v>2074265.5399999998</v>
      </c>
      <c r="N355" s="169">
        <f t="shared" si="52"/>
        <v>520967.62</v>
      </c>
      <c r="O355" s="169">
        <f t="shared" si="52"/>
        <v>0</v>
      </c>
    </row>
    <row r="356" spans="1:15" ht="13.5" thickTop="1" x14ac:dyDescent="0.2">
      <c r="B356" s="197"/>
      <c r="C356" s="166"/>
      <c r="D356" s="166"/>
      <c r="E356" s="166"/>
      <c r="F356" s="166"/>
      <c r="G356" s="166"/>
      <c r="H356" s="166"/>
      <c r="I356" s="166"/>
      <c r="J356" s="166"/>
      <c r="K356" s="166"/>
      <c r="L356" s="166"/>
      <c r="M356" s="166"/>
      <c r="N356" s="166"/>
      <c r="O356" s="166"/>
    </row>
    <row r="357" spans="1:15" x14ac:dyDescent="0.2">
      <c r="A357" s="165" t="s">
        <v>233</v>
      </c>
      <c r="C357" s="153"/>
      <c r="D357" s="166"/>
      <c r="E357" s="166"/>
      <c r="F357" s="166"/>
      <c r="G357" s="166"/>
      <c r="H357" s="166"/>
      <c r="I357" s="166"/>
      <c r="J357" s="166"/>
      <c r="K357" s="166"/>
      <c r="L357" s="166"/>
      <c r="M357" s="166"/>
      <c r="N357" s="166"/>
      <c r="O357" s="166"/>
    </row>
    <row r="358" spans="1:15" x14ac:dyDescent="0.2">
      <c r="A358" s="165"/>
      <c r="B358" s="125" t="s">
        <v>234</v>
      </c>
      <c r="C358" s="153">
        <v>2700000</v>
      </c>
      <c r="D358" s="166"/>
      <c r="E358" s="166"/>
      <c r="F358" s="166"/>
      <c r="G358" s="166">
        <v>2700000</v>
      </c>
      <c r="H358" s="166">
        <v>0</v>
      </c>
      <c r="I358" s="166"/>
      <c r="J358" s="166">
        <f>[4]UMB!J426</f>
        <v>0</v>
      </c>
      <c r="K358" s="166">
        <f>[4]UMB!K426</f>
        <v>0</v>
      </c>
      <c r="L358" s="162">
        <f>G358-H358-I358-J358-K358</f>
        <v>2700000</v>
      </c>
      <c r="M358" s="162">
        <f>H358-N358-O358</f>
        <v>0</v>
      </c>
      <c r="N358" s="162">
        <v>0</v>
      </c>
      <c r="O358" s="162">
        <v>0</v>
      </c>
    </row>
    <row r="359" spans="1:15" x14ac:dyDescent="0.2">
      <c r="A359" s="165"/>
      <c r="B359" s="125" t="s">
        <v>235</v>
      </c>
      <c r="C359" s="153">
        <v>1000000</v>
      </c>
      <c r="D359" s="166"/>
      <c r="E359" s="166"/>
      <c r="F359" s="166"/>
      <c r="G359" s="166">
        <v>1000000</v>
      </c>
      <c r="H359" s="166">
        <v>0</v>
      </c>
      <c r="I359" s="166"/>
      <c r="J359" s="166">
        <f>[4]FSU!J237</f>
        <v>0</v>
      </c>
      <c r="K359" s="166">
        <f>[4]FSU!K237</f>
        <v>0</v>
      </c>
      <c r="L359" s="162">
        <f>G359-H359-I359-J359-K359</f>
        <v>1000000</v>
      </c>
      <c r="M359" s="162">
        <f>H359-N359-O359</f>
        <v>0</v>
      </c>
      <c r="N359" s="162">
        <v>0</v>
      </c>
      <c r="O359" s="162">
        <v>0</v>
      </c>
    </row>
    <row r="360" spans="1:15" x14ac:dyDescent="0.2">
      <c r="A360" s="165"/>
      <c r="B360" s="125" t="s">
        <v>236</v>
      </c>
      <c r="C360" s="153">
        <v>20000000</v>
      </c>
      <c r="D360" s="166"/>
      <c r="E360" s="166"/>
      <c r="F360" s="166">
        <f>2665098.06+996336.78+299</f>
        <v>3661733.84</v>
      </c>
      <c r="G360" s="166">
        <v>16338266.16</v>
      </c>
      <c r="H360" s="166">
        <v>7819700.6999999993</v>
      </c>
      <c r="I360" s="166"/>
      <c r="J360" s="166">
        <f>[4]TU!J402</f>
        <v>0</v>
      </c>
      <c r="K360" s="166">
        <f>[4]TU!K402</f>
        <v>0</v>
      </c>
      <c r="L360" s="162">
        <f>G360-H360-I360-J360-K360</f>
        <v>8518565.4600000009</v>
      </c>
      <c r="M360" s="162">
        <f>H360-N360-O360</f>
        <v>6833493.0999999996</v>
      </c>
      <c r="N360" s="162">
        <v>986207.6</v>
      </c>
      <c r="O360" s="162">
        <v>0</v>
      </c>
    </row>
    <row r="361" spans="1:15" x14ac:dyDescent="0.2">
      <c r="B361" s="197"/>
      <c r="C361" s="166"/>
      <c r="D361" s="166"/>
      <c r="E361" s="166"/>
      <c r="F361" s="166"/>
      <c r="G361" s="166"/>
      <c r="H361" s="166"/>
      <c r="I361" s="166"/>
      <c r="J361" s="166"/>
      <c r="K361" s="166"/>
      <c r="L361" s="166"/>
      <c r="M361" s="166"/>
      <c r="N361" s="166"/>
      <c r="O361" s="166"/>
    </row>
    <row r="362" spans="1:15" ht="13.5" thickBot="1" x14ac:dyDescent="0.25">
      <c r="B362" s="201" t="s">
        <v>237</v>
      </c>
      <c r="C362" s="169">
        <f>SUM(C358:C361)</f>
        <v>23700000</v>
      </c>
      <c r="D362" s="169">
        <f t="shared" ref="D362:O362" si="53">SUM(D358:D361)</f>
        <v>0</v>
      </c>
      <c r="E362" s="169">
        <f t="shared" si="53"/>
        <v>0</v>
      </c>
      <c r="F362" s="169">
        <f>SUM(F358:F361)</f>
        <v>3661733.84</v>
      </c>
      <c r="G362" s="169">
        <f t="shared" si="53"/>
        <v>20038266.16</v>
      </c>
      <c r="H362" s="169">
        <f t="shared" si="53"/>
        <v>7819700.6999999993</v>
      </c>
      <c r="I362" s="169">
        <f t="shared" si="53"/>
        <v>0</v>
      </c>
      <c r="J362" s="169">
        <f t="shared" si="53"/>
        <v>0</v>
      </c>
      <c r="K362" s="169">
        <f t="shared" si="53"/>
        <v>0</v>
      </c>
      <c r="L362" s="169">
        <f t="shared" si="53"/>
        <v>12218565.460000001</v>
      </c>
      <c r="M362" s="169">
        <f t="shared" si="53"/>
        <v>6833493.0999999996</v>
      </c>
      <c r="N362" s="169">
        <f t="shared" si="53"/>
        <v>986207.6</v>
      </c>
      <c r="O362" s="169">
        <f t="shared" si="53"/>
        <v>0</v>
      </c>
    </row>
    <row r="363" spans="1:15" ht="13.5" thickTop="1" x14ac:dyDescent="0.2">
      <c r="A363" s="165"/>
      <c r="C363" s="153"/>
      <c r="D363" s="166"/>
      <c r="E363" s="166"/>
      <c r="F363" s="166"/>
      <c r="G363" s="166"/>
      <c r="H363" s="166"/>
      <c r="I363" s="166"/>
      <c r="J363" s="166"/>
      <c r="K363" s="166"/>
      <c r="L363" s="166"/>
      <c r="M363" s="166"/>
      <c r="N363" s="166"/>
      <c r="O363" s="166"/>
    </row>
    <row r="364" spans="1:15" x14ac:dyDescent="0.2">
      <c r="A364" s="165" t="s">
        <v>238</v>
      </c>
      <c r="C364" s="153"/>
      <c r="D364" s="166"/>
      <c r="E364" s="166"/>
      <c r="F364" s="166"/>
      <c r="G364" s="166"/>
      <c r="H364" s="166"/>
      <c r="I364" s="166"/>
      <c r="J364" s="166"/>
      <c r="K364" s="166"/>
      <c r="L364" s="166"/>
      <c r="M364" s="166"/>
      <c r="N364" s="166"/>
      <c r="O364" s="166"/>
    </row>
    <row r="365" spans="1:15" x14ac:dyDescent="0.2">
      <c r="B365" s="197" t="s">
        <v>239</v>
      </c>
      <c r="C365" s="166">
        <v>25000000</v>
      </c>
      <c r="D365" s="166"/>
      <c r="E365" s="166"/>
      <c r="F365" s="166">
        <v>0</v>
      </c>
      <c r="G365" s="166">
        <v>25000000</v>
      </c>
      <c r="H365" s="166">
        <v>25000000.000000011</v>
      </c>
      <c r="I365" s="166"/>
      <c r="J365" s="166">
        <f>[4]UMCP!J378</f>
        <v>0</v>
      </c>
      <c r="K365" s="166">
        <f>[4]UMCP!K378</f>
        <v>0</v>
      </c>
      <c r="L365" s="162">
        <f>G365-H365-I365-J365-K365</f>
        <v>-1.1175870895385742E-8</v>
      </c>
      <c r="M365" s="162">
        <f>H365-N365-O365</f>
        <v>395672.48000000417</v>
      </c>
      <c r="N365" s="162">
        <v>2878845.1800000072</v>
      </c>
      <c r="O365" s="162">
        <v>21725482.34</v>
      </c>
    </row>
    <row r="366" spans="1:15" x14ac:dyDescent="0.2">
      <c r="B366" s="197" t="s">
        <v>240</v>
      </c>
      <c r="C366" s="166">
        <v>15000000</v>
      </c>
      <c r="D366" s="166"/>
      <c r="E366" s="166"/>
      <c r="F366" s="166">
        <v>0</v>
      </c>
      <c r="G366" s="166">
        <v>15000000</v>
      </c>
      <c r="H366" s="166">
        <v>15000000</v>
      </c>
      <c r="I366" s="166"/>
      <c r="J366" s="166">
        <f>[4]UMCP!J413</f>
        <v>0</v>
      </c>
      <c r="K366" s="166">
        <f>[4]UMCP!K413</f>
        <v>0</v>
      </c>
      <c r="L366" s="162">
        <f>G366-H366-I366-J366-K366</f>
        <v>0</v>
      </c>
      <c r="M366" s="162">
        <f>H366-N366-O366</f>
        <v>0</v>
      </c>
      <c r="N366" s="162">
        <v>0</v>
      </c>
      <c r="O366" s="162">
        <v>15000000</v>
      </c>
    </row>
    <row r="367" spans="1:15" x14ac:dyDescent="0.2">
      <c r="B367" s="197"/>
      <c r="C367" s="166"/>
      <c r="D367" s="166"/>
      <c r="E367" s="166"/>
      <c r="F367" s="166"/>
      <c r="G367" s="166"/>
      <c r="H367" s="166"/>
      <c r="I367" s="166"/>
      <c r="J367" s="166"/>
      <c r="K367" s="166"/>
      <c r="L367" s="166"/>
      <c r="M367" s="166"/>
      <c r="N367" s="166"/>
      <c r="O367" s="166"/>
    </row>
    <row r="368" spans="1:15" ht="13.5" thickBot="1" x14ac:dyDescent="0.25">
      <c r="B368" s="201" t="s">
        <v>241</v>
      </c>
      <c r="C368" s="169">
        <f>SUM(C365:C367)</f>
        <v>40000000</v>
      </c>
      <c r="D368" s="169">
        <f t="shared" ref="D368:O368" si="54">SUM(D365:D367)</f>
        <v>0</v>
      </c>
      <c r="E368" s="169">
        <f t="shared" si="54"/>
        <v>0</v>
      </c>
      <c r="F368" s="169">
        <f t="shared" si="54"/>
        <v>0</v>
      </c>
      <c r="G368" s="169">
        <f t="shared" si="54"/>
        <v>40000000</v>
      </c>
      <c r="H368" s="169">
        <f t="shared" si="54"/>
        <v>40000000.000000015</v>
      </c>
      <c r="I368" s="169">
        <f t="shared" si="54"/>
        <v>0</v>
      </c>
      <c r="J368" s="169">
        <f t="shared" si="54"/>
        <v>0</v>
      </c>
      <c r="K368" s="169">
        <f t="shared" si="54"/>
        <v>0</v>
      </c>
      <c r="L368" s="169">
        <f t="shared" si="54"/>
        <v>-1.1175870895385742E-8</v>
      </c>
      <c r="M368" s="169">
        <f t="shared" si="54"/>
        <v>395672.48000000417</v>
      </c>
      <c r="N368" s="169">
        <f t="shared" si="54"/>
        <v>2878845.1800000072</v>
      </c>
      <c r="O368" s="169">
        <f t="shared" si="54"/>
        <v>36725482.340000004</v>
      </c>
    </row>
    <row r="369" spans="1:15" ht="13.5" thickTop="1" x14ac:dyDescent="0.2">
      <c r="B369" s="197"/>
      <c r="C369" s="166"/>
      <c r="D369" s="166"/>
      <c r="E369" s="166"/>
      <c r="F369" s="166"/>
      <c r="G369" s="166"/>
      <c r="H369" s="166"/>
      <c r="I369" s="166"/>
      <c r="J369" s="166"/>
      <c r="K369" s="166"/>
      <c r="L369" s="166"/>
      <c r="M369" s="166"/>
      <c r="N369" s="166"/>
      <c r="O369" s="166"/>
    </row>
    <row r="370" spans="1:15" x14ac:dyDescent="0.2">
      <c r="A370" s="165" t="s">
        <v>242</v>
      </c>
      <c r="C370" s="153"/>
      <c r="D370" s="166"/>
      <c r="E370" s="166"/>
      <c r="F370" s="203"/>
      <c r="G370" s="166"/>
      <c r="H370" s="166"/>
      <c r="I370" s="166"/>
      <c r="J370" s="166"/>
      <c r="K370" s="166"/>
      <c r="L370" s="166"/>
      <c r="M370" s="166"/>
      <c r="N370" s="166"/>
      <c r="O370" s="166"/>
    </row>
    <row r="371" spans="1:15" x14ac:dyDescent="0.2">
      <c r="B371" s="197" t="s">
        <v>243</v>
      </c>
      <c r="C371" s="166">
        <v>4000000</v>
      </c>
      <c r="D371" s="166"/>
      <c r="E371" s="166"/>
      <c r="F371" s="166">
        <v>0</v>
      </c>
      <c r="G371" s="166">
        <v>4000000</v>
      </c>
      <c r="H371" s="166">
        <v>4000000</v>
      </c>
      <c r="I371" s="166"/>
      <c r="J371" s="166"/>
      <c r="K371" s="166">
        <f>[4]UMCP!K421</f>
        <v>0</v>
      </c>
      <c r="L371" s="162">
        <f>G371-H371-I371-J371-K371</f>
        <v>0</v>
      </c>
      <c r="M371" s="162">
        <f>H371-N371-O371</f>
        <v>0</v>
      </c>
      <c r="N371" s="162">
        <v>0</v>
      </c>
      <c r="O371" s="162">
        <v>4000000</v>
      </c>
    </row>
    <row r="372" spans="1:15" x14ac:dyDescent="0.2">
      <c r="B372" s="197" t="s">
        <v>244</v>
      </c>
      <c r="C372" s="166">
        <f>1000000+8780000</f>
        <v>9780000</v>
      </c>
      <c r="D372" s="166"/>
      <c r="E372" s="166"/>
      <c r="F372" s="166">
        <f>9312023.08</f>
        <v>9312023.0800000001</v>
      </c>
      <c r="G372" s="166">
        <v>467976.91999999993</v>
      </c>
      <c r="H372" s="166">
        <v>467976.92</v>
      </c>
      <c r="I372" s="166"/>
      <c r="J372" s="166"/>
      <c r="K372" s="166">
        <f>[4]UMCP!K389</f>
        <v>0</v>
      </c>
      <c r="L372" s="162">
        <f>G372-H372-I372-J372-K372</f>
        <v>-5.8207660913467407E-11</v>
      </c>
      <c r="M372" s="162">
        <f>H372-N372-O372</f>
        <v>0</v>
      </c>
      <c r="N372" s="162">
        <v>0</v>
      </c>
      <c r="O372" s="162">
        <v>467976.92</v>
      </c>
    </row>
    <row r="373" spans="1:15" x14ac:dyDescent="0.2">
      <c r="B373" s="197" t="s">
        <v>245</v>
      </c>
      <c r="C373" s="166">
        <v>13100000</v>
      </c>
      <c r="D373" s="166"/>
      <c r="E373" s="166"/>
      <c r="F373" s="166">
        <f>5842776.86+7257223.14</f>
        <v>13100000</v>
      </c>
      <c r="G373" s="166">
        <v>0</v>
      </c>
      <c r="H373" s="166">
        <v>0</v>
      </c>
      <c r="I373" s="166"/>
      <c r="J373" s="166"/>
      <c r="K373" s="166"/>
      <c r="L373" s="162">
        <f>G373-H373-I373-J373-K373</f>
        <v>0</v>
      </c>
      <c r="M373" s="162">
        <f>H373-N373-O373</f>
        <v>0</v>
      </c>
      <c r="N373" s="162">
        <v>0</v>
      </c>
      <c r="O373" s="162">
        <v>0</v>
      </c>
    </row>
    <row r="374" spans="1:15" x14ac:dyDescent="0.2">
      <c r="B374" s="197" t="s">
        <v>246</v>
      </c>
      <c r="C374" s="166">
        <v>25100000</v>
      </c>
      <c r="D374" s="166"/>
      <c r="E374" s="166"/>
      <c r="F374" s="166">
        <f>1995.27+25052096.18</f>
        <v>25054091.449999999</v>
      </c>
      <c r="G374" s="166">
        <v>45908.550000000745</v>
      </c>
      <c r="H374" s="166">
        <v>5000</v>
      </c>
      <c r="I374" s="166"/>
      <c r="J374" s="166"/>
      <c r="K374" s="166"/>
      <c r="L374" s="162">
        <f>G374-H374-I374-J374-K374</f>
        <v>40908.550000000745</v>
      </c>
      <c r="M374" s="162">
        <f>H374-N374-O374</f>
        <v>5000</v>
      </c>
      <c r="N374" s="162">
        <v>0</v>
      </c>
      <c r="O374" s="162">
        <v>0</v>
      </c>
    </row>
    <row r="375" spans="1:15" x14ac:dyDescent="0.2">
      <c r="B375" s="197" t="s">
        <v>227</v>
      </c>
      <c r="C375" s="166">
        <v>20513000</v>
      </c>
      <c r="D375" s="166"/>
      <c r="E375" s="166"/>
      <c r="F375" s="166">
        <v>20513000</v>
      </c>
      <c r="G375" s="166">
        <v>0</v>
      </c>
      <c r="H375" s="166">
        <v>0</v>
      </c>
      <c r="I375" s="166"/>
      <c r="J375" s="166"/>
      <c r="K375" s="166"/>
      <c r="L375" s="162">
        <f>G375-H375-I375-J375-K375</f>
        <v>0</v>
      </c>
      <c r="M375" s="162">
        <f>H375-N375-O375</f>
        <v>0</v>
      </c>
      <c r="N375" s="162">
        <v>0</v>
      </c>
      <c r="O375" s="162">
        <v>0</v>
      </c>
    </row>
    <row r="376" spans="1:15" x14ac:dyDescent="0.2">
      <c r="B376" s="197"/>
      <c r="C376" s="166"/>
      <c r="D376" s="166"/>
      <c r="E376" s="166"/>
      <c r="F376" s="166"/>
      <c r="G376" s="166"/>
      <c r="H376" s="166"/>
      <c r="I376" s="166"/>
      <c r="J376" s="166"/>
      <c r="K376" s="166"/>
      <c r="L376" s="166"/>
      <c r="M376" s="166"/>
      <c r="N376" s="166"/>
      <c r="O376" s="166"/>
    </row>
    <row r="377" spans="1:15" ht="13.5" thickBot="1" x14ac:dyDescent="0.25">
      <c r="B377" s="201" t="s">
        <v>247</v>
      </c>
      <c r="C377" s="169">
        <f t="shared" ref="C377:O377" si="55">SUM(C371:C376)</f>
        <v>72493000</v>
      </c>
      <c r="D377" s="169">
        <f t="shared" si="55"/>
        <v>0</v>
      </c>
      <c r="E377" s="169">
        <f t="shared" si="55"/>
        <v>0</v>
      </c>
      <c r="F377" s="169">
        <f t="shared" si="55"/>
        <v>67979114.530000001</v>
      </c>
      <c r="G377" s="169">
        <f t="shared" si="55"/>
        <v>4513885.4700000007</v>
      </c>
      <c r="H377" s="169">
        <f t="shared" si="55"/>
        <v>4472976.92</v>
      </c>
      <c r="I377" s="169">
        <f t="shared" si="55"/>
        <v>0</v>
      </c>
      <c r="J377" s="169">
        <f t="shared" si="55"/>
        <v>0</v>
      </c>
      <c r="K377" s="169">
        <f t="shared" si="55"/>
        <v>0</v>
      </c>
      <c r="L377" s="169">
        <f t="shared" si="55"/>
        <v>40908.550000000687</v>
      </c>
      <c r="M377" s="169">
        <f t="shared" si="55"/>
        <v>5000</v>
      </c>
      <c r="N377" s="169">
        <f t="shared" si="55"/>
        <v>0</v>
      </c>
      <c r="O377" s="169">
        <f t="shared" si="55"/>
        <v>4467976.92</v>
      </c>
    </row>
    <row r="378" spans="1:15" ht="13.5" thickTop="1" x14ac:dyDescent="0.2">
      <c r="B378" s="197"/>
      <c r="C378" s="166"/>
      <c r="D378" s="166"/>
      <c r="E378" s="166"/>
      <c r="F378" s="166"/>
      <c r="G378" s="166"/>
      <c r="H378" s="166"/>
      <c r="I378" s="166"/>
      <c r="J378" s="166"/>
      <c r="K378" s="166"/>
      <c r="L378" s="166"/>
      <c r="M378" s="166"/>
      <c r="N378" s="166"/>
      <c r="O378" s="166"/>
    </row>
    <row r="379" spans="1:15" x14ac:dyDescent="0.2">
      <c r="A379" s="165" t="s">
        <v>248</v>
      </c>
      <c r="C379" s="153"/>
      <c r="D379" s="166"/>
      <c r="E379" s="166"/>
      <c r="F379" s="166"/>
      <c r="G379" s="166"/>
      <c r="H379" s="166"/>
      <c r="I379" s="166"/>
      <c r="J379" s="166"/>
      <c r="K379" s="166"/>
      <c r="L379" s="166"/>
      <c r="M379" s="166"/>
      <c r="N379" s="166"/>
      <c r="O379" s="166"/>
    </row>
    <row r="380" spans="1:15" x14ac:dyDescent="0.2">
      <c r="B380" s="197" t="s">
        <v>249</v>
      </c>
      <c r="C380" s="166">
        <v>12000000</v>
      </c>
      <c r="D380" s="166"/>
      <c r="E380" s="166"/>
      <c r="F380" s="166">
        <f>3999642.27+8000357.73</f>
        <v>12000000</v>
      </c>
      <c r="G380" s="166">
        <v>0</v>
      </c>
      <c r="H380" s="166">
        <v>0</v>
      </c>
      <c r="I380" s="166"/>
      <c r="J380" s="166"/>
      <c r="K380" s="166"/>
      <c r="L380" s="162">
        <f>G380-H380-I380-J380-K380</f>
        <v>0</v>
      </c>
      <c r="M380" s="162">
        <f>H380-N380-O380</f>
        <v>0</v>
      </c>
      <c r="N380" s="162"/>
      <c r="O380" s="162">
        <v>0</v>
      </c>
    </row>
    <row r="381" spans="1:15" x14ac:dyDescent="0.2">
      <c r="B381" s="197" t="s">
        <v>250</v>
      </c>
      <c r="C381" s="166">
        <v>92500000</v>
      </c>
      <c r="D381" s="166">
        <f>-6000000-86491803.38</f>
        <v>-92491803.379999995</v>
      </c>
      <c r="E381" s="166"/>
      <c r="F381" s="166">
        <f>8196.62</f>
        <v>8196.6200000000008</v>
      </c>
      <c r="G381" s="166">
        <v>0</v>
      </c>
      <c r="H381" s="166">
        <v>0</v>
      </c>
      <c r="I381" s="166"/>
      <c r="J381" s="166"/>
      <c r="K381" s="166">
        <f>[4]SU!K97</f>
        <v>0</v>
      </c>
      <c r="L381" s="162">
        <f>G381-H381-I381-J381-K381</f>
        <v>0</v>
      </c>
      <c r="M381" s="162">
        <f>H381-N381-O381</f>
        <v>0</v>
      </c>
      <c r="N381" s="162">
        <v>0</v>
      </c>
      <c r="O381" s="162">
        <v>0</v>
      </c>
    </row>
    <row r="382" spans="1:15" x14ac:dyDescent="0.2">
      <c r="B382" s="197"/>
      <c r="C382" s="166"/>
      <c r="D382" s="166"/>
      <c r="E382" s="166"/>
      <c r="F382" s="166"/>
      <c r="G382" s="166"/>
      <c r="H382" s="166"/>
      <c r="I382" s="166"/>
      <c r="J382" s="166"/>
      <c r="K382" s="166"/>
      <c r="L382" s="166"/>
      <c r="M382" s="166"/>
      <c r="N382" s="166"/>
      <c r="O382" s="166"/>
    </row>
    <row r="383" spans="1:15" ht="13.5" thickBot="1" x14ac:dyDescent="0.25">
      <c r="B383" s="201" t="s">
        <v>251</v>
      </c>
      <c r="C383" s="169">
        <f>SUM(C380:C382)</f>
        <v>104500000</v>
      </c>
      <c r="D383" s="169">
        <f t="shared" ref="D383:O383" si="56">SUM(D380:D382)</f>
        <v>-92491803.379999995</v>
      </c>
      <c r="E383" s="169">
        <f t="shared" si="56"/>
        <v>0</v>
      </c>
      <c r="F383" s="169">
        <f t="shared" si="56"/>
        <v>12008196.619999999</v>
      </c>
      <c r="G383" s="169">
        <f t="shared" si="56"/>
        <v>0</v>
      </c>
      <c r="H383" s="169">
        <f t="shared" si="56"/>
        <v>0</v>
      </c>
      <c r="I383" s="169">
        <f t="shared" si="56"/>
        <v>0</v>
      </c>
      <c r="J383" s="169">
        <f t="shared" si="56"/>
        <v>0</v>
      </c>
      <c r="K383" s="169">
        <f t="shared" si="56"/>
        <v>0</v>
      </c>
      <c r="L383" s="169">
        <f t="shared" si="56"/>
        <v>0</v>
      </c>
      <c r="M383" s="169">
        <f t="shared" si="56"/>
        <v>0</v>
      </c>
      <c r="N383" s="169">
        <f t="shared" si="56"/>
        <v>0</v>
      </c>
      <c r="O383" s="169">
        <f t="shared" si="56"/>
        <v>0</v>
      </c>
    </row>
    <row r="384" spans="1:15" ht="13.5" thickTop="1" x14ac:dyDescent="0.2">
      <c r="B384" s="197"/>
      <c r="C384" s="166"/>
      <c r="D384" s="166"/>
      <c r="E384" s="166"/>
      <c r="F384" s="166"/>
      <c r="G384" s="166"/>
      <c r="H384" s="166"/>
      <c r="I384" s="166"/>
      <c r="J384" s="166"/>
      <c r="K384" s="166"/>
      <c r="L384" s="166"/>
      <c r="M384" s="166"/>
      <c r="N384" s="166"/>
      <c r="O384" s="166"/>
    </row>
    <row r="385" spans="1:15" x14ac:dyDescent="0.2">
      <c r="A385" s="165" t="s">
        <v>252</v>
      </c>
      <c r="C385" s="153"/>
      <c r="D385" s="153"/>
      <c r="E385" s="163"/>
      <c r="F385" s="130"/>
      <c r="G385" s="162"/>
      <c r="H385" s="167"/>
      <c r="I385" s="162"/>
      <c r="J385" s="162"/>
      <c r="K385" s="162"/>
      <c r="L385" s="162"/>
      <c r="M385" s="162"/>
      <c r="N385" s="162"/>
      <c r="O385" s="162"/>
    </row>
    <row r="386" spans="1:15" x14ac:dyDescent="0.2">
      <c r="B386" s="125" t="s">
        <v>253</v>
      </c>
      <c r="C386" s="153">
        <v>12000000</v>
      </c>
      <c r="D386" s="153"/>
      <c r="E386" s="163"/>
      <c r="F386" s="162">
        <f>154530.8+7892487.67+3952981.53</f>
        <v>12000000</v>
      </c>
      <c r="G386" s="162">
        <v>0</v>
      </c>
      <c r="H386" s="167">
        <v>0</v>
      </c>
      <c r="I386" s="162">
        <f>[4]UMCP!I399</f>
        <v>0</v>
      </c>
      <c r="J386" s="162">
        <f>[4]UMCP!J399</f>
        <v>0</v>
      </c>
      <c r="K386" s="162">
        <f>[4]UMCP!K399</f>
        <v>0</v>
      </c>
      <c r="L386" s="162">
        <f t="shared" ref="L386:L393" si="57">G386-H386-I386-J386-K386</f>
        <v>0</v>
      </c>
      <c r="M386" s="162">
        <f t="shared" ref="M386:M393" si="58">H386-N386-O386</f>
        <v>0</v>
      </c>
      <c r="N386" s="162">
        <v>0</v>
      </c>
      <c r="O386" s="162">
        <v>0</v>
      </c>
    </row>
    <row r="387" spans="1:15" x14ac:dyDescent="0.2">
      <c r="B387" s="125" t="s">
        <v>243</v>
      </c>
      <c r="C387" s="153">
        <v>26500000</v>
      </c>
      <c r="D387" s="153"/>
      <c r="E387" s="163"/>
      <c r="F387" s="162">
        <f>20828474.09</f>
        <v>20828474.09</v>
      </c>
      <c r="G387" s="162">
        <v>5671525.9100000001</v>
      </c>
      <c r="H387" s="167">
        <v>5671525.9100000001</v>
      </c>
      <c r="I387" s="162">
        <f>[4]UMCP!I430</f>
        <v>0</v>
      </c>
      <c r="J387" s="162">
        <f>[4]UMCP!J430</f>
        <v>0</v>
      </c>
      <c r="K387" s="162">
        <f>[4]UMCP!K430</f>
        <v>0</v>
      </c>
      <c r="L387" s="162">
        <f>G387-H387-I387-J387-K387</f>
        <v>0</v>
      </c>
      <c r="M387" s="162">
        <f t="shared" si="58"/>
        <v>0</v>
      </c>
      <c r="N387" s="162">
        <v>0</v>
      </c>
      <c r="O387" s="162">
        <v>5671525.9100000001</v>
      </c>
    </row>
    <row r="388" spans="1:15" x14ac:dyDescent="0.2">
      <c r="B388" s="125" t="s">
        <v>255</v>
      </c>
      <c r="C388" s="166">
        <v>1500000</v>
      </c>
      <c r="D388" s="153"/>
      <c r="E388" s="163"/>
      <c r="F388" s="203"/>
      <c r="G388" s="162">
        <v>1500000</v>
      </c>
      <c r="H388" s="167">
        <v>7873.27</v>
      </c>
      <c r="I388" s="162">
        <f>[4]UMCP!I341</f>
        <v>0</v>
      </c>
      <c r="J388" s="162">
        <f>[4]UMCP!J341</f>
        <v>0</v>
      </c>
      <c r="K388" s="162">
        <f>[4]UMCP!K341</f>
        <v>0</v>
      </c>
      <c r="L388" s="162">
        <f t="shared" si="57"/>
        <v>1492126.73</v>
      </c>
      <c r="M388" s="162">
        <f t="shared" si="58"/>
        <v>7873.27</v>
      </c>
      <c r="N388" s="162">
        <v>0</v>
      </c>
      <c r="O388" s="162">
        <v>0</v>
      </c>
    </row>
    <row r="389" spans="1:15" hidden="1" x14ac:dyDescent="0.2">
      <c r="B389" s="125" t="s">
        <v>245</v>
      </c>
      <c r="C389" s="166">
        <v>9900000</v>
      </c>
      <c r="D389" s="153"/>
      <c r="E389" s="163"/>
      <c r="F389" s="162">
        <f>26214.56+9873785.44</f>
        <v>9900000</v>
      </c>
      <c r="G389" s="162">
        <v>0</v>
      </c>
      <c r="H389" s="167">
        <v>0</v>
      </c>
      <c r="I389" s="162">
        <v>0</v>
      </c>
      <c r="J389" s="162">
        <v>0</v>
      </c>
      <c r="K389" s="162">
        <v>0</v>
      </c>
      <c r="L389" s="162">
        <f t="shared" si="57"/>
        <v>0</v>
      </c>
      <c r="M389" s="162">
        <f t="shared" si="58"/>
        <v>0</v>
      </c>
      <c r="N389" s="162">
        <v>0</v>
      </c>
      <c r="O389" s="162">
        <v>0</v>
      </c>
    </row>
    <row r="390" spans="1:15" x14ac:dyDescent="0.2">
      <c r="B390" s="125" t="s">
        <v>256</v>
      </c>
      <c r="C390" s="153">
        <v>13330000</v>
      </c>
      <c r="D390" s="153"/>
      <c r="E390" s="163"/>
      <c r="F390" s="162">
        <f>13317332.58</f>
        <v>13317332.58</v>
      </c>
      <c r="G390" s="162">
        <v>12667.419999999925</v>
      </c>
      <c r="H390" s="167">
        <v>0</v>
      </c>
      <c r="I390" s="162">
        <f>[4]FSU!I232</f>
        <v>0</v>
      </c>
      <c r="J390" s="162">
        <f>[4]FSU!J232</f>
        <v>0</v>
      </c>
      <c r="K390" s="162">
        <f>[4]FSU!K232</f>
        <v>0</v>
      </c>
      <c r="L390" s="162">
        <f t="shared" si="57"/>
        <v>12667.419999999925</v>
      </c>
      <c r="M390" s="162">
        <f t="shared" si="58"/>
        <v>0</v>
      </c>
      <c r="N390" s="162">
        <v>0</v>
      </c>
      <c r="O390" s="162">
        <v>0</v>
      </c>
    </row>
    <row r="391" spans="1:15" x14ac:dyDescent="0.2">
      <c r="B391" s="125" t="s">
        <v>257</v>
      </c>
      <c r="C391" s="153">
        <v>7700000</v>
      </c>
      <c r="D391" s="153"/>
      <c r="E391" s="163"/>
      <c r="F391" s="162">
        <f>1990561.7+1418383.39+637208.77</f>
        <v>4046153.86</v>
      </c>
      <c r="G391" s="162">
        <v>3653846.1400000011</v>
      </c>
      <c r="H391" s="167">
        <v>120864.90999999999</v>
      </c>
      <c r="I391" s="162">
        <f>[4]FSU!I219</f>
        <v>0</v>
      </c>
      <c r="J391" s="162">
        <f>[4]FSU!J219</f>
        <v>0</v>
      </c>
      <c r="K391" s="162">
        <f>[4]FSU!K219</f>
        <v>0</v>
      </c>
      <c r="L391" s="162">
        <f t="shared" si="57"/>
        <v>3532981.2300000009</v>
      </c>
      <c r="M391" s="162">
        <f t="shared" si="58"/>
        <v>74719.669999999984</v>
      </c>
      <c r="N391" s="162">
        <v>46145.24</v>
      </c>
      <c r="O391" s="162">
        <v>0</v>
      </c>
    </row>
    <row r="392" spans="1:15" x14ac:dyDescent="0.2">
      <c r="B392" s="125" t="s">
        <v>246</v>
      </c>
      <c r="C392" s="153">
        <v>13000000</v>
      </c>
      <c r="D392" s="153"/>
      <c r="E392" s="163"/>
      <c r="F392" s="162">
        <f>369384.87+12614734.63</f>
        <v>12984119.5</v>
      </c>
      <c r="G392" s="162">
        <v>15880.5</v>
      </c>
      <c r="H392" s="167">
        <v>0</v>
      </c>
      <c r="I392" s="162">
        <f>[4]TU!I640</f>
        <v>0</v>
      </c>
      <c r="J392" s="162">
        <f>[4]TU!J640</f>
        <v>0</v>
      </c>
      <c r="K392" s="162">
        <f>[4]TU!K640</f>
        <v>0</v>
      </c>
      <c r="L392" s="162">
        <f t="shared" si="57"/>
        <v>15880.5</v>
      </c>
      <c r="M392" s="162">
        <f t="shared" si="58"/>
        <v>0</v>
      </c>
      <c r="N392" s="162">
        <v>0</v>
      </c>
      <c r="O392" s="162">
        <v>0</v>
      </c>
    </row>
    <row r="393" spans="1:15" x14ac:dyDescent="0.2">
      <c r="B393" s="125" t="s">
        <v>227</v>
      </c>
      <c r="C393" s="153">
        <v>4201000</v>
      </c>
      <c r="D393" s="153"/>
      <c r="E393" s="163"/>
      <c r="F393" s="162">
        <f>2299950.22+816599.94+38991.5</f>
        <v>3155541.66</v>
      </c>
      <c r="G393" s="162">
        <v>1045458.3399999999</v>
      </c>
      <c r="H393" s="167">
        <v>182683.47999999998</v>
      </c>
      <c r="I393" s="162">
        <f>[4]TU!I435</f>
        <v>0</v>
      </c>
      <c r="J393" s="162">
        <f>[4]TU!J435</f>
        <v>0</v>
      </c>
      <c r="K393" s="167">
        <f>[4]TU!K435</f>
        <v>0</v>
      </c>
      <c r="L393" s="162">
        <f t="shared" si="57"/>
        <v>862774.85999999987</v>
      </c>
      <c r="M393" s="162">
        <f t="shared" si="58"/>
        <v>150777.43</v>
      </c>
      <c r="N393" s="162">
        <v>31906.050000000003</v>
      </c>
      <c r="O393" s="162">
        <v>0</v>
      </c>
    </row>
    <row r="394" spans="1:15" x14ac:dyDescent="0.2">
      <c r="C394" s="153"/>
      <c r="D394" s="153"/>
      <c r="E394" s="163"/>
      <c r="F394" s="163"/>
      <c r="G394" s="162"/>
      <c r="H394" s="167"/>
      <c r="I394" s="162"/>
      <c r="J394" s="162"/>
      <c r="K394" s="162"/>
      <c r="L394" s="162"/>
      <c r="M394" s="162"/>
      <c r="N394" s="162"/>
      <c r="O394" s="162"/>
    </row>
    <row r="395" spans="1:15" ht="13.5" thickBot="1" x14ac:dyDescent="0.25">
      <c r="B395" s="201" t="s">
        <v>258</v>
      </c>
      <c r="C395" s="169">
        <f>SUM(C386:C394)</f>
        <v>88131000</v>
      </c>
      <c r="D395" s="169">
        <f t="shared" ref="D395:O395" si="59">SUM(D386:D394)</f>
        <v>0</v>
      </c>
      <c r="E395" s="169">
        <f t="shared" si="59"/>
        <v>0</v>
      </c>
      <c r="F395" s="169">
        <f t="shared" si="59"/>
        <v>76231621.689999998</v>
      </c>
      <c r="G395" s="169">
        <f t="shared" si="59"/>
        <v>11899378.310000001</v>
      </c>
      <c r="H395" s="169">
        <f t="shared" si="59"/>
        <v>5982947.5700000003</v>
      </c>
      <c r="I395" s="169">
        <f t="shared" si="59"/>
        <v>0</v>
      </c>
      <c r="J395" s="169">
        <f t="shared" si="59"/>
        <v>0</v>
      </c>
      <c r="K395" s="169">
        <f t="shared" si="59"/>
        <v>0</v>
      </c>
      <c r="L395" s="169">
        <f t="shared" si="59"/>
        <v>5916430.7400000002</v>
      </c>
      <c r="M395" s="169">
        <f t="shared" si="59"/>
        <v>233370.37</v>
      </c>
      <c r="N395" s="169">
        <f t="shared" si="59"/>
        <v>78051.290000000008</v>
      </c>
      <c r="O395" s="169">
        <f t="shared" si="59"/>
        <v>5671525.9100000001</v>
      </c>
    </row>
    <row r="396" spans="1:15" ht="13.5" thickTop="1" x14ac:dyDescent="0.2">
      <c r="C396" s="153"/>
      <c r="D396" s="153"/>
      <c r="E396" s="163"/>
      <c r="F396" s="163"/>
      <c r="G396" s="162"/>
      <c r="H396" s="167"/>
      <c r="I396" s="162"/>
      <c r="J396" s="162"/>
      <c r="K396" s="162"/>
      <c r="L396" s="162"/>
      <c r="M396" s="162"/>
      <c r="N396" s="162"/>
      <c r="O396" s="162"/>
    </row>
    <row r="397" spans="1:15" x14ac:dyDescent="0.2">
      <c r="A397" s="165" t="s">
        <v>259</v>
      </c>
      <c r="C397" s="153"/>
      <c r="D397" s="153"/>
      <c r="E397" s="163"/>
      <c r="F397" s="203"/>
      <c r="G397" s="162"/>
      <c r="H397" s="167"/>
      <c r="I397" s="162"/>
      <c r="J397" s="162"/>
      <c r="K397" s="162"/>
      <c r="L397" s="162"/>
      <c r="M397" s="162"/>
      <c r="N397" s="162"/>
      <c r="O397" s="162"/>
    </row>
    <row r="398" spans="1:15" hidden="1" x14ac:dyDescent="0.2">
      <c r="B398" s="125" t="s">
        <v>260</v>
      </c>
      <c r="C398" s="153">
        <v>3000000</v>
      </c>
      <c r="D398" s="153"/>
      <c r="E398" s="163"/>
      <c r="F398" s="162">
        <f>3000000</f>
        <v>3000000</v>
      </c>
      <c r="G398" s="162">
        <v>0</v>
      </c>
      <c r="H398" s="167">
        <v>0</v>
      </c>
      <c r="I398" s="162">
        <v>0</v>
      </c>
      <c r="J398" s="162">
        <v>0</v>
      </c>
      <c r="K398" s="162">
        <v>0</v>
      </c>
      <c r="L398" s="162">
        <f>G398-H398-I398-J398-K398</f>
        <v>0</v>
      </c>
      <c r="M398" s="162"/>
      <c r="N398" s="162"/>
      <c r="O398" s="162"/>
    </row>
    <row r="399" spans="1:15" hidden="1" x14ac:dyDescent="0.2">
      <c r="B399" s="125" t="s">
        <v>243</v>
      </c>
      <c r="C399" s="153">
        <v>43000000</v>
      </c>
      <c r="D399" s="153"/>
      <c r="E399" s="163"/>
      <c r="F399" s="162">
        <f>43000000</f>
        <v>43000000</v>
      </c>
      <c r="G399" s="162">
        <f>[4]UMCP!F438</f>
        <v>0</v>
      </c>
      <c r="H399" s="167">
        <v>0</v>
      </c>
      <c r="I399" s="162">
        <f>[4]UMCP!I438</f>
        <v>0</v>
      </c>
      <c r="J399" s="162">
        <f>[4]UMCP!J438</f>
        <v>0</v>
      </c>
      <c r="K399" s="162">
        <f>[4]UMCP!K438</f>
        <v>0</v>
      </c>
      <c r="L399" s="162">
        <f>G399-H399-I399-J399-K399</f>
        <v>0</v>
      </c>
      <c r="M399" s="162"/>
      <c r="N399" s="162"/>
      <c r="O399" s="162">
        <f>H397+K397</f>
        <v>0</v>
      </c>
    </row>
    <row r="400" spans="1:15" x14ac:dyDescent="0.2">
      <c r="B400" s="125" t="s">
        <v>261</v>
      </c>
      <c r="C400" s="166">
        <v>2000000</v>
      </c>
      <c r="D400" s="153"/>
      <c r="E400" s="163"/>
      <c r="F400" s="162">
        <f>419922.48+51833</f>
        <v>471755.48</v>
      </c>
      <c r="G400" s="162">
        <v>1528244.52</v>
      </c>
      <c r="H400" s="167">
        <v>0</v>
      </c>
      <c r="I400" s="162">
        <f>[4]UMCP!I405</f>
        <v>0</v>
      </c>
      <c r="J400" s="162">
        <f>[4]UMCP!J405</f>
        <v>0</v>
      </c>
      <c r="K400" s="162">
        <f>[4]UMCP!K405</f>
        <v>0</v>
      </c>
      <c r="L400" s="162">
        <f>G400-H400-I400-J400-K400</f>
        <v>1528244.52</v>
      </c>
      <c r="M400" s="162">
        <f>H400-N400-O400</f>
        <v>0</v>
      </c>
      <c r="N400" s="162">
        <v>0</v>
      </c>
      <c r="O400" s="162">
        <v>0</v>
      </c>
    </row>
    <row r="401" spans="1:15" hidden="1" x14ac:dyDescent="0.2">
      <c r="B401" s="125" t="s">
        <v>256</v>
      </c>
      <c r="C401" s="153">
        <v>22920000</v>
      </c>
      <c r="D401" s="153"/>
      <c r="E401" s="163"/>
      <c r="F401" s="162">
        <f>16576413.36+6343586.64</f>
        <v>22920000</v>
      </c>
      <c r="G401" s="162">
        <v>0</v>
      </c>
      <c r="H401" s="167">
        <v>0</v>
      </c>
      <c r="I401" s="162">
        <v>0</v>
      </c>
      <c r="J401" s="162">
        <v>0</v>
      </c>
      <c r="K401" s="162">
        <v>0</v>
      </c>
      <c r="L401" s="162">
        <f>G401-H401-I401-J401-K401</f>
        <v>0</v>
      </c>
      <c r="M401" s="162">
        <f>H401-N401-O401</f>
        <v>0</v>
      </c>
      <c r="N401" s="162">
        <v>0</v>
      </c>
      <c r="O401" s="162">
        <v>0</v>
      </c>
    </row>
    <row r="402" spans="1:15" x14ac:dyDescent="0.2">
      <c r="B402" s="125" t="s">
        <v>246</v>
      </c>
      <c r="C402" s="153">
        <v>23000000</v>
      </c>
      <c r="D402" s="153"/>
      <c r="E402" s="163"/>
      <c r="F402" s="162">
        <f>112506.16+14549736.15+8337757.69</f>
        <v>23000000</v>
      </c>
      <c r="G402" s="162">
        <v>0</v>
      </c>
      <c r="H402" s="167">
        <v>0</v>
      </c>
      <c r="I402" s="162">
        <f>[4]TU!I650</f>
        <v>0</v>
      </c>
      <c r="J402" s="162">
        <f>[4]TU!J650</f>
        <v>0</v>
      </c>
      <c r="K402" s="162">
        <f>[4]TU!K650</f>
        <v>0</v>
      </c>
      <c r="L402" s="162">
        <f>G402-H402-I402-J402-K402</f>
        <v>0</v>
      </c>
      <c r="M402" s="162">
        <f>H402-N402-O402</f>
        <v>0</v>
      </c>
      <c r="N402" s="162">
        <v>0</v>
      </c>
      <c r="O402" s="162">
        <v>0</v>
      </c>
    </row>
    <row r="403" spans="1:15" x14ac:dyDescent="0.2">
      <c r="C403" s="153"/>
      <c r="D403" s="153"/>
      <c r="E403" s="163"/>
      <c r="F403" s="163"/>
      <c r="G403" s="162"/>
      <c r="H403" s="167"/>
      <c r="I403" s="162"/>
      <c r="J403" s="162"/>
      <c r="K403" s="162"/>
      <c r="L403" s="162"/>
      <c r="M403" s="162"/>
      <c r="N403" s="162"/>
      <c r="O403" s="162"/>
    </row>
    <row r="404" spans="1:15" ht="13.5" thickBot="1" x14ac:dyDescent="0.25">
      <c r="B404" s="201" t="s">
        <v>262</v>
      </c>
      <c r="C404" s="169">
        <f>SUM(C398:C403)</f>
        <v>93920000</v>
      </c>
      <c r="D404" s="169">
        <f t="shared" ref="D404:O404" si="60">SUM(D398:D403)</f>
        <v>0</v>
      </c>
      <c r="E404" s="169">
        <f t="shared" si="60"/>
        <v>0</v>
      </c>
      <c r="F404" s="169">
        <f t="shared" si="60"/>
        <v>92391755.479999989</v>
      </c>
      <c r="G404" s="169">
        <f t="shared" si="60"/>
        <v>1528244.52</v>
      </c>
      <c r="H404" s="169">
        <f t="shared" si="60"/>
        <v>0</v>
      </c>
      <c r="I404" s="169">
        <f t="shared" si="60"/>
        <v>0</v>
      </c>
      <c r="J404" s="169">
        <f t="shared" si="60"/>
        <v>0</v>
      </c>
      <c r="K404" s="169">
        <f t="shared" si="60"/>
        <v>0</v>
      </c>
      <c r="L404" s="169">
        <f t="shared" si="60"/>
        <v>1528244.52</v>
      </c>
      <c r="M404" s="169">
        <f t="shared" si="60"/>
        <v>0</v>
      </c>
      <c r="N404" s="169">
        <f t="shared" si="60"/>
        <v>0</v>
      </c>
      <c r="O404" s="169">
        <f t="shared" si="60"/>
        <v>0</v>
      </c>
    </row>
    <row r="405" spans="1:15" ht="13.5" thickTop="1" x14ac:dyDescent="0.2">
      <c r="C405" s="153"/>
      <c r="D405" s="153"/>
      <c r="E405" s="163"/>
      <c r="F405" s="163"/>
      <c r="G405" s="162"/>
      <c r="H405" s="167"/>
      <c r="I405" s="162"/>
      <c r="J405" s="162"/>
      <c r="K405" s="162"/>
      <c r="L405" s="162"/>
      <c r="M405" s="162"/>
      <c r="N405" s="162"/>
      <c r="O405" s="162"/>
    </row>
    <row r="406" spans="1:15" x14ac:dyDescent="0.2">
      <c r="A406" s="165" t="s">
        <v>263</v>
      </c>
      <c r="C406" s="153"/>
      <c r="D406" s="153"/>
      <c r="E406" s="163"/>
      <c r="F406" s="203"/>
      <c r="G406" s="162"/>
      <c r="H406" s="167"/>
      <c r="I406" s="162"/>
      <c r="J406" s="162"/>
      <c r="K406" s="162"/>
      <c r="L406" s="162"/>
      <c r="M406" s="162"/>
      <c r="N406" s="162"/>
      <c r="O406" s="162"/>
    </row>
    <row r="407" spans="1:15" hidden="1" x14ac:dyDescent="0.2">
      <c r="B407" s="125" t="s">
        <v>260</v>
      </c>
      <c r="C407" s="153">
        <v>1000000</v>
      </c>
      <c r="D407" s="153"/>
      <c r="E407" s="163"/>
      <c r="F407" s="162">
        <f>3173.23+996826.77</f>
        <v>1000000</v>
      </c>
      <c r="G407" s="162">
        <v>0</v>
      </c>
      <c r="H407" s="167">
        <v>0</v>
      </c>
      <c r="I407" s="162"/>
      <c r="J407" s="162"/>
      <c r="K407" s="162"/>
      <c r="L407" s="162">
        <f t="shared" ref="L407:L413" si="61">G407-H407-I407-J407-K407</f>
        <v>0</v>
      </c>
      <c r="M407" s="162"/>
      <c r="N407" s="162"/>
      <c r="O407" s="162"/>
    </row>
    <row r="408" spans="1:15" hidden="1" x14ac:dyDescent="0.2">
      <c r="B408" s="125" t="s">
        <v>243</v>
      </c>
      <c r="C408" s="153">
        <v>23500000</v>
      </c>
      <c r="D408" s="153"/>
      <c r="E408" s="163"/>
      <c r="F408" s="162">
        <f>3173.23+5947078.15+14643227.32+2906521.3</f>
        <v>23500000.000000004</v>
      </c>
      <c r="G408" s="162">
        <f>[4]UMCP!F448</f>
        <v>0</v>
      </c>
      <c r="H408" s="167">
        <v>0</v>
      </c>
      <c r="I408" s="162"/>
      <c r="J408" s="162"/>
      <c r="K408" s="162">
        <f>[4]UMCP!K448</f>
        <v>0</v>
      </c>
      <c r="L408" s="162">
        <f t="shared" si="61"/>
        <v>0</v>
      </c>
      <c r="M408" s="162"/>
      <c r="N408" s="162"/>
      <c r="O408" s="162">
        <f>H406+K406</f>
        <v>0</v>
      </c>
    </row>
    <row r="409" spans="1:15" hidden="1" x14ac:dyDescent="0.2">
      <c r="B409" s="125" t="s">
        <v>264</v>
      </c>
      <c r="C409" s="166">
        <v>11000000</v>
      </c>
      <c r="D409" s="153"/>
      <c r="E409" s="163"/>
      <c r="F409" s="162">
        <f>25911.04+10046133.64+146122.43+781832.89</f>
        <v>11000000</v>
      </c>
      <c r="G409" s="162">
        <f>[4]UMBC!F140</f>
        <v>0</v>
      </c>
      <c r="H409" s="167">
        <v>0</v>
      </c>
      <c r="I409" s="162"/>
      <c r="J409" s="162"/>
      <c r="K409" s="162">
        <f>[4]UMBC!K140</f>
        <v>0</v>
      </c>
      <c r="L409" s="162">
        <f t="shared" si="61"/>
        <v>0</v>
      </c>
      <c r="M409" s="162"/>
      <c r="N409" s="162"/>
      <c r="O409" s="162">
        <f>H407+K407</f>
        <v>0</v>
      </c>
    </row>
    <row r="410" spans="1:15" x14ac:dyDescent="0.2">
      <c r="B410" s="125" t="s">
        <v>257</v>
      </c>
      <c r="C410" s="153">
        <v>4400000</v>
      </c>
      <c r="D410" s="153"/>
      <c r="E410" s="163"/>
      <c r="F410" s="162">
        <f>4314201.49+85798.51</f>
        <v>4400000</v>
      </c>
      <c r="G410" s="162">
        <v>-2.1827872842550278E-10</v>
      </c>
      <c r="H410" s="167">
        <v>0</v>
      </c>
      <c r="I410" s="162"/>
      <c r="J410" s="162"/>
      <c r="K410" s="162"/>
      <c r="L410" s="162">
        <f t="shared" si="61"/>
        <v>-2.1827872842550278E-10</v>
      </c>
      <c r="M410" s="162">
        <f>H410-N410-O410</f>
        <v>0</v>
      </c>
      <c r="N410" s="162">
        <v>0</v>
      </c>
      <c r="O410" s="162">
        <v>0</v>
      </c>
    </row>
    <row r="411" spans="1:15" x14ac:dyDescent="0.2">
      <c r="B411" s="125" t="s">
        <v>265</v>
      </c>
      <c r="C411" s="153">
        <v>2500000</v>
      </c>
      <c r="D411" s="153">
        <v>-2498684.27</v>
      </c>
      <c r="E411" s="163"/>
      <c r="F411" s="162">
        <f>629.58+686.15</f>
        <v>1315.73</v>
      </c>
      <c r="G411" s="162">
        <v>0</v>
      </c>
      <c r="H411" s="167">
        <v>0</v>
      </c>
      <c r="I411" s="162"/>
      <c r="J411" s="162"/>
      <c r="K411" s="162"/>
      <c r="L411" s="162">
        <f t="shared" si="61"/>
        <v>0</v>
      </c>
      <c r="M411" s="162">
        <f>H411-N411-O411</f>
        <v>0</v>
      </c>
      <c r="N411" s="162">
        <v>0</v>
      </c>
      <c r="O411" s="162">
        <v>0</v>
      </c>
    </row>
    <row r="412" spans="1:15" x14ac:dyDescent="0.2">
      <c r="B412" s="125" t="s">
        <v>246</v>
      </c>
      <c r="C412" s="153">
        <v>39000000</v>
      </c>
      <c r="D412" s="153"/>
      <c r="E412" s="163"/>
      <c r="F412" s="162">
        <f>21476541.59+17271552.08+151612.85+7394.63+2849.23</f>
        <v>38909950.380000003</v>
      </c>
      <c r="G412" s="162">
        <v>90049.61999999074</v>
      </c>
      <c r="H412" s="167">
        <v>13853.66</v>
      </c>
      <c r="I412" s="162"/>
      <c r="J412" s="162"/>
      <c r="K412" s="162">
        <f>[4]TU!K666</f>
        <v>0</v>
      </c>
      <c r="L412" s="162">
        <f t="shared" si="61"/>
        <v>76195.959999990737</v>
      </c>
      <c r="M412" s="162">
        <f>H412-N412-O412</f>
        <v>13853.66</v>
      </c>
      <c r="N412" s="162">
        <v>0</v>
      </c>
      <c r="O412" s="162">
        <v>0</v>
      </c>
    </row>
    <row r="413" spans="1:15" hidden="1" x14ac:dyDescent="0.2">
      <c r="B413" s="125" t="s">
        <v>266</v>
      </c>
      <c r="C413" s="153">
        <v>10000000</v>
      </c>
      <c r="D413" s="153"/>
      <c r="E413" s="163"/>
      <c r="F413" s="162">
        <f>4328782.66+5671217.34</f>
        <v>10000000</v>
      </c>
      <c r="G413" s="162">
        <f>[4]TU!F523</f>
        <v>0</v>
      </c>
      <c r="H413" s="167">
        <v>0</v>
      </c>
      <c r="I413" s="162"/>
      <c r="J413" s="162"/>
      <c r="K413" s="162">
        <f>[4]TU!K523</f>
        <v>0</v>
      </c>
      <c r="L413" s="162">
        <f t="shared" si="61"/>
        <v>0</v>
      </c>
      <c r="M413" s="162"/>
      <c r="N413" s="162"/>
      <c r="O413" s="162"/>
    </row>
    <row r="414" spans="1:15" x14ac:dyDescent="0.2">
      <c r="C414" s="153"/>
      <c r="D414" s="153"/>
      <c r="E414" s="163"/>
      <c r="F414" s="163"/>
      <c r="G414" s="162"/>
      <c r="H414" s="167"/>
      <c r="I414" s="162"/>
      <c r="J414" s="162"/>
      <c r="K414" s="162"/>
      <c r="L414" s="162"/>
      <c r="M414" s="162"/>
      <c r="N414" s="162"/>
      <c r="O414" s="162"/>
    </row>
    <row r="415" spans="1:15" ht="13.5" thickBot="1" x14ac:dyDescent="0.25">
      <c r="B415" s="201" t="s">
        <v>267</v>
      </c>
      <c r="C415" s="169">
        <f>SUM(C407:C414)</f>
        <v>91400000</v>
      </c>
      <c r="D415" s="169">
        <f t="shared" ref="D415:O415" si="62">SUM(D407:D414)</f>
        <v>-2498684.27</v>
      </c>
      <c r="E415" s="169">
        <f t="shared" si="62"/>
        <v>0</v>
      </c>
      <c r="F415" s="169">
        <f t="shared" si="62"/>
        <v>88811266.109999999</v>
      </c>
      <c r="G415" s="169">
        <f t="shared" si="62"/>
        <v>90049.619999990522</v>
      </c>
      <c r="H415" s="169">
        <f t="shared" si="62"/>
        <v>13853.66</v>
      </c>
      <c r="I415" s="169">
        <f t="shared" si="62"/>
        <v>0</v>
      </c>
      <c r="J415" s="169">
        <f t="shared" si="62"/>
        <v>0</v>
      </c>
      <c r="K415" s="169">
        <f t="shared" si="62"/>
        <v>0</v>
      </c>
      <c r="L415" s="169">
        <f t="shared" si="62"/>
        <v>76195.959999990519</v>
      </c>
      <c r="M415" s="169">
        <f t="shared" si="62"/>
        <v>13853.66</v>
      </c>
      <c r="N415" s="169">
        <f t="shared" si="62"/>
        <v>0</v>
      </c>
      <c r="O415" s="169">
        <f t="shared" si="62"/>
        <v>0</v>
      </c>
    </row>
    <row r="416" spans="1:15" ht="13.5" thickTop="1" x14ac:dyDescent="0.2">
      <c r="C416" s="153"/>
      <c r="D416" s="153"/>
      <c r="E416" s="163"/>
      <c r="F416" s="204"/>
      <c r="G416" s="162"/>
      <c r="H416" s="167"/>
      <c r="I416" s="162"/>
      <c r="J416" s="162"/>
      <c r="K416" s="162"/>
      <c r="L416" s="162"/>
      <c r="M416" s="162"/>
      <c r="N416" s="162"/>
      <c r="O416" s="162"/>
    </row>
    <row r="417" spans="1:15" x14ac:dyDescent="0.2">
      <c r="A417" s="165" t="s">
        <v>268</v>
      </c>
      <c r="C417" s="153"/>
      <c r="D417" s="153"/>
      <c r="E417" s="163"/>
      <c r="G417" s="162"/>
      <c r="H417" s="167"/>
      <c r="I417" s="162"/>
      <c r="J417" s="162"/>
      <c r="K417" s="162"/>
      <c r="L417" s="162"/>
      <c r="M417" s="162"/>
      <c r="N417" s="162"/>
      <c r="O417" s="162"/>
    </row>
    <row r="418" spans="1:15" x14ac:dyDescent="0.2">
      <c r="B418" s="125" t="s">
        <v>269</v>
      </c>
      <c r="C418" s="153">
        <v>10300000</v>
      </c>
      <c r="D418" s="153">
        <v>-608858.49</v>
      </c>
      <c r="E418" s="163"/>
      <c r="F418" s="163">
        <f>128951.48+1603673.83+7826920.79+98949.18+32646.23</f>
        <v>9691141.5099999998</v>
      </c>
      <c r="G418" s="162">
        <v>-3.2596290111541748E-9</v>
      </c>
      <c r="H418" s="167">
        <v>0</v>
      </c>
      <c r="I418" s="162">
        <f>[4]UMCP!I328</f>
        <v>0</v>
      </c>
      <c r="J418" s="162">
        <f>[4]UMCP!J328</f>
        <v>0</v>
      </c>
      <c r="K418" s="162">
        <f>[4]UMCP!K328</f>
        <v>0</v>
      </c>
      <c r="L418" s="162">
        <f>G418-H418-I418-J418-K418</f>
        <v>-3.2596290111541748E-9</v>
      </c>
      <c r="M418" s="162">
        <f>H418-N418-O418</f>
        <v>0</v>
      </c>
      <c r="N418" s="162">
        <v>0</v>
      </c>
      <c r="O418" s="162">
        <v>0</v>
      </c>
    </row>
    <row r="419" spans="1:15" hidden="1" x14ac:dyDescent="0.2">
      <c r="B419" s="125" t="s">
        <v>264</v>
      </c>
      <c r="C419" s="166">
        <v>31600000</v>
      </c>
      <c r="D419" s="153"/>
      <c r="E419" s="163"/>
      <c r="F419" s="162">
        <f>30939995.52+660004.48</f>
        <v>31600000</v>
      </c>
      <c r="G419" s="162">
        <v>0</v>
      </c>
      <c r="H419" s="167">
        <v>0</v>
      </c>
      <c r="I419" s="162">
        <v>0</v>
      </c>
      <c r="J419" s="162">
        <v>0</v>
      </c>
      <c r="K419" s="162">
        <v>0</v>
      </c>
      <c r="L419" s="162">
        <f>G419-H419-I419-J419-K419</f>
        <v>0</v>
      </c>
      <c r="M419" s="162">
        <f>H419-N419-O419</f>
        <v>0</v>
      </c>
      <c r="N419" s="162">
        <v>0</v>
      </c>
      <c r="O419" s="162">
        <v>0</v>
      </c>
    </row>
    <row r="420" spans="1:15" x14ac:dyDescent="0.2">
      <c r="B420" s="125" t="s">
        <v>246</v>
      </c>
      <c r="C420" s="153">
        <v>8670000</v>
      </c>
      <c r="D420" s="153"/>
      <c r="E420" s="163"/>
      <c r="F420" s="162">
        <f>4886174.55+2710737.4+583070.54+490017.51</f>
        <v>8670000</v>
      </c>
      <c r="G420" s="162">
        <v>0</v>
      </c>
      <c r="H420" s="167">
        <v>0</v>
      </c>
      <c r="I420" s="162">
        <f>[4]TU!I679</f>
        <v>0</v>
      </c>
      <c r="J420" s="162">
        <f>[4]TU!J679</f>
        <v>0</v>
      </c>
      <c r="K420" s="162">
        <f>[4]TU!K679</f>
        <v>0</v>
      </c>
      <c r="L420" s="162">
        <f>G420-H420-I420-J420-K420</f>
        <v>0</v>
      </c>
      <c r="M420" s="162">
        <f>H420-N420-O420</f>
        <v>0</v>
      </c>
      <c r="N420" s="162">
        <v>0</v>
      </c>
      <c r="O420" s="162">
        <v>0</v>
      </c>
    </row>
    <row r="421" spans="1:15" x14ac:dyDescent="0.2">
      <c r="B421" s="125" t="s">
        <v>266</v>
      </c>
      <c r="C421" s="153">
        <v>19600000</v>
      </c>
      <c r="D421" s="153">
        <v>-1918.62</v>
      </c>
      <c r="E421" s="163"/>
      <c r="F421" s="164">
        <f>511240.72+19085910.06+930.6</f>
        <v>19598081.379999999</v>
      </c>
      <c r="G421" s="162">
        <v>2.5333974917884916E-9</v>
      </c>
      <c r="H421" s="167">
        <v>0</v>
      </c>
      <c r="I421" s="162">
        <f>[4]TU!I534</f>
        <v>0</v>
      </c>
      <c r="J421" s="162">
        <f>[4]TU!J534</f>
        <v>0</v>
      </c>
      <c r="K421" s="162">
        <f>[4]TU!K534</f>
        <v>0</v>
      </c>
      <c r="L421" s="162">
        <f>G421-H421-I421-J421-K421</f>
        <v>2.5333974917884916E-9</v>
      </c>
      <c r="M421" s="162">
        <f>H421-N421-O421</f>
        <v>0</v>
      </c>
      <c r="N421" s="162">
        <v>0</v>
      </c>
      <c r="O421" s="162">
        <v>0</v>
      </c>
    </row>
    <row r="422" spans="1:15" x14ac:dyDescent="0.2">
      <c r="C422" s="153"/>
      <c r="D422" s="153"/>
      <c r="E422" s="163"/>
      <c r="F422" s="163"/>
      <c r="G422" s="162"/>
      <c r="H422" s="167"/>
      <c r="I422" s="162"/>
      <c r="J422" s="162"/>
      <c r="K422" s="162"/>
      <c r="L422" s="162"/>
      <c r="M422" s="162"/>
      <c r="N422" s="162"/>
      <c r="O422" s="162"/>
    </row>
    <row r="423" spans="1:15" ht="13.5" thickBot="1" x14ac:dyDescent="0.25">
      <c r="B423" s="201" t="s">
        <v>270</v>
      </c>
      <c r="C423" s="193">
        <f t="shared" ref="C423:J423" si="63">SUM(C418:C422)</f>
        <v>70170000</v>
      </c>
      <c r="D423" s="193">
        <f t="shared" si="63"/>
        <v>-610777.11</v>
      </c>
      <c r="E423" s="193">
        <f t="shared" si="63"/>
        <v>0</v>
      </c>
      <c r="F423" s="193">
        <f t="shared" si="63"/>
        <v>69559222.890000001</v>
      </c>
      <c r="G423" s="193">
        <f t="shared" si="63"/>
        <v>-7.262315193656832E-10</v>
      </c>
      <c r="H423" s="193">
        <f t="shared" si="63"/>
        <v>0</v>
      </c>
      <c r="I423" s="193">
        <f t="shared" si="63"/>
        <v>0</v>
      </c>
      <c r="J423" s="193">
        <f t="shared" si="63"/>
        <v>0</v>
      </c>
      <c r="K423" s="193">
        <f>SUM(K418:K422)</f>
        <v>0</v>
      </c>
      <c r="L423" s="193">
        <f>SUM(L418:L422)</f>
        <v>-7.262315193656832E-10</v>
      </c>
      <c r="M423" s="193">
        <f>SUM(M418:M422)</f>
        <v>0</v>
      </c>
      <c r="N423" s="193">
        <f>SUM(N418:N422)</f>
        <v>0</v>
      </c>
      <c r="O423" s="193">
        <f>SUM(O418:O422)</f>
        <v>0</v>
      </c>
    </row>
    <row r="424" spans="1:15" ht="13.5" thickTop="1" x14ac:dyDescent="0.2">
      <c r="C424" s="153"/>
      <c r="D424" s="153"/>
      <c r="E424" s="163"/>
      <c r="F424" s="204"/>
      <c r="G424" s="162"/>
      <c r="H424" s="167"/>
      <c r="I424" s="162"/>
      <c r="J424" s="162"/>
      <c r="K424" s="162"/>
      <c r="L424" s="162"/>
      <c r="M424" s="162"/>
      <c r="N424" s="162"/>
      <c r="O424" s="162"/>
    </row>
    <row r="425" spans="1:15" x14ac:dyDescent="0.2">
      <c r="A425" s="165" t="s">
        <v>271</v>
      </c>
      <c r="C425" s="153"/>
      <c r="D425" s="153"/>
      <c r="E425" s="163"/>
      <c r="F425" s="163"/>
      <c r="G425" s="162"/>
      <c r="H425" s="167"/>
      <c r="I425" s="162"/>
      <c r="J425" s="162"/>
      <c r="K425" s="162"/>
      <c r="L425" s="162"/>
      <c r="M425" s="162"/>
      <c r="N425" s="162"/>
      <c r="O425" s="162"/>
    </row>
    <row r="426" spans="1:15" x14ac:dyDescent="0.2">
      <c r="B426" s="125" t="s">
        <v>272</v>
      </c>
      <c r="C426" s="153">
        <v>800000</v>
      </c>
      <c r="D426" s="153"/>
      <c r="E426" s="163"/>
      <c r="F426" s="163"/>
      <c r="G426" s="162">
        <f>[4]UMES!F219</f>
        <v>800000</v>
      </c>
      <c r="H426" s="167">
        <v>0</v>
      </c>
      <c r="I426" s="162">
        <f>[4]UMES!I219</f>
        <v>0</v>
      </c>
      <c r="J426" s="162">
        <f>[4]UMES!J219</f>
        <v>0</v>
      </c>
      <c r="K426" s="162">
        <f>[4]UMES!K219</f>
        <v>0</v>
      </c>
      <c r="L426" s="162">
        <f t="shared" ref="L426:L431" si="64">G426-H426-I426-J426-K426</f>
        <v>800000</v>
      </c>
      <c r="M426" s="162"/>
      <c r="N426" s="162"/>
      <c r="O426" s="162">
        <f>H424+K424</f>
        <v>0</v>
      </c>
    </row>
    <row r="427" spans="1:15" x14ac:dyDescent="0.2">
      <c r="B427" s="125" t="s">
        <v>264</v>
      </c>
      <c r="C427" s="166">
        <v>18200000</v>
      </c>
      <c r="D427" s="153"/>
      <c r="E427" s="163"/>
      <c r="F427" s="163">
        <f>4717881.41+13482118.59</f>
        <v>18200000</v>
      </c>
      <c r="G427" s="162">
        <v>0</v>
      </c>
      <c r="H427" s="167">
        <v>0</v>
      </c>
      <c r="I427" s="162">
        <v>0</v>
      </c>
      <c r="J427" s="162">
        <v>0</v>
      </c>
      <c r="K427" s="162">
        <v>0</v>
      </c>
      <c r="L427" s="162">
        <f t="shared" si="64"/>
        <v>0</v>
      </c>
      <c r="M427" s="162"/>
      <c r="N427" s="162"/>
      <c r="O427" s="162">
        <f>H425+K425</f>
        <v>0</v>
      </c>
    </row>
    <row r="428" spans="1:15" x14ac:dyDescent="0.2">
      <c r="B428" s="125" t="s">
        <v>273</v>
      </c>
      <c r="C428" s="153">
        <v>3900000</v>
      </c>
      <c r="D428" s="153">
        <v>-449464.43</v>
      </c>
      <c r="E428" s="163"/>
      <c r="F428" s="163">
        <f>3013034.52+437501.05</f>
        <v>3450535.57</v>
      </c>
      <c r="G428" s="162">
        <v>0</v>
      </c>
      <c r="H428" s="167">
        <v>0</v>
      </c>
      <c r="I428" s="162">
        <f>[4]UMBC!I170</f>
        <v>0</v>
      </c>
      <c r="J428" s="162">
        <f>[4]UMBC!J170</f>
        <v>0</v>
      </c>
      <c r="K428" s="162">
        <f>[4]UMBC!K170</f>
        <v>0</v>
      </c>
      <c r="L428" s="162">
        <f t="shared" si="64"/>
        <v>0</v>
      </c>
      <c r="M428" s="162">
        <f>H428-N428-O428</f>
        <v>0</v>
      </c>
      <c r="N428" s="162">
        <v>0</v>
      </c>
      <c r="O428" s="162">
        <v>0</v>
      </c>
    </row>
    <row r="429" spans="1:15" hidden="1" x14ac:dyDescent="0.2">
      <c r="B429" s="125" t="s">
        <v>266</v>
      </c>
      <c r="C429" s="153">
        <v>2960000</v>
      </c>
      <c r="D429" s="153"/>
      <c r="E429" s="163"/>
      <c r="F429" s="163">
        <f>21596+2036341.73+831056.51+60854.93+10150.83</f>
        <v>2960000.0000000005</v>
      </c>
      <c r="G429" s="162">
        <v>2.4192559067159891E-10</v>
      </c>
      <c r="H429" s="167">
        <v>0</v>
      </c>
      <c r="I429" s="162">
        <f>[4]TU!I548</f>
        <v>0</v>
      </c>
      <c r="J429" s="162">
        <f>[4]TU!J548</f>
        <v>0</v>
      </c>
      <c r="K429" s="162">
        <f>[4]TU!K548</f>
        <v>0</v>
      </c>
      <c r="L429" s="162">
        <f t="shared" si="64"/>
        <v>2.4192559067159891E-10</v>
      </c>
      <c r="M429" s="162">
        <f>H429-N429-O429</f>
        <v>0</v>
      </c>
      <c r="N429" s="162">
        <v>0</v>
      </c>
      <c r="O429" s="162">
        <v>0</v>
      </c>
    </row>
    <row r="430" spans="1:15" x14ac:dyDescent="0.2">
      <c r="B430" s="125" t="s">
        <v>274</v>
      </c>
      <c r="C430" s="153">
        <v>16900000</v>
      </c>
      <c r="D430" s="153">
        <v>-6106.18</v>
      </c>
      <c r="E430" s="163"/>
      <c r="F430" s="163">
        <f>1348866.08+12676842.69+2868185.05</f>
        <v>16893893.82</v>
      </c>
      <c r="G430" s="162">
        <v>6.3300831243395805E-10</v>
      </c>
      <c r="H430" s="167">
        <v>0</v>
      </c>
      <c r="I430" s="162">
        <f>[4]TU!I447</f>
        <v>0</v>
      </c>
      <c r="J430" s="162">
        <f>[4]TU!J447</f>
        <v>0</v>
      </c>
      <c r="K430" s="162">
        <f>[4]TU!K447</f>
        <v>0</v>
      </c>
      <c r="L430" s="162">
        <f t="shared" si="64"/>
        <v>6.3300831243395805E-10</v>
      </c>
      <c r="M430" s="162">
        <f>H430-N430-O430</f>
        <v>0</v>
      </c>
      <c r="N430" s="162">
        <v>0</v>
      </c>
      <c r="O430" s="162">
        <v>0</v>
      </c>
    </row>
    <row r="431" spans="1:15" hidden="1" x14ac:dyDescent="0.2">
      <c r="B431" s="125" t="s">
        <v>275</v>
      </c>
      <c r="C431" s="153">
        <v>4000000</v>
      </c>
      <c r="D431" s="153"/>
      <c r="E431" s="163"/>
      <c r="F431" s="163">
        <f>3795858.27+201586.7+2555.03</f>
        <v>4000000</v>
      </c>
      <c r="G431" s="162">
        <v>0</v>
      </c>
      <c r="H431" s="167">
        <v>0</v>
      </c>
      <c r="I431" s="162">
        <v>0</v>
      </c>
      <c r="J431" s="162">
        <v>0</v>
      </c>
      <c r="K431" s="162">
        <v>0</v>
      </c>
      <c r="L431" s="162">
        <f t="shared" si="64"/>
        <v>0</v>
      </c>
      <c r="M431" s="162"/>
      <c r="N431" s="162"/>
      <c r="O431" s="162">
        <f>H429+K429</f>
        <v>0</v>
      </c>
    </row>
    <row r="432" spans="1:15" x14ac:dyDescent="0.2">
      <c r="C432" s="153"/>
      <c r="D432" s="153"/>
      <c r="E432" s="163"/>
      <c r="F432" s="163"/>
      <c r="G432" s="162"/>
      <c r="H432" s="167"/>
      <c r="I432" s="162"/>
      <c r="J432" s="162"/>
      <c r="K432" s="162"/>
      <c r="L432" s="162"/>
      <c r="M432" s="162"/>
      <c r="N432" s="162"/>
      <c r="O432" s="162"/>
    </row>
    <row r="433" spans="2:15" ht="13.5" thickBot="1" x14ac:dyDescent="0.25">
      <c r="B433" s="201" t="s">
        <v>276</v>
      </c>
      <c r="C433" s="169">
        <f t="shared" ref="C433:O433" si="65">SUM(C426:C432)</f>
        <v>46760000</v>
      </c>
      <c r="D433" s="169">
        <f t="shared" si="65"/>
        <v>-455570.61</v>
      </c>
      <c r="E433" s="169">
        <f t="shared" si="65"/>
        <v>0</v>
      </c>
      <c r="F433" s="192">
        <f t="shared" si="65"/>
        <v>45504429.390000001</v>
      </c>
      <c r="G433" s="169">
        <f t="shared" si="65"/>
        <v>800000.00000000081</v>
      </c>
      <c r="H433" s="169">
        <f t="shared" si="65"/>
        <v>0</v>
      </c>
      <c r="I433" s="169">
        <f t="shared" si="65"/>
        <v>0</v>
      </c>
      <c r="J433" s="169">
        <f t="shared" si="65"/>
        <v>0</v>
      </c>
      <c r="K433" s="169">
        <f t="shared" si="65"/>
        <v>0</v>
      </c>
      <c r="L433" s="169">
        <f>SUM(L426:L432)</f>
        <v>800000.00000000081</v>
      </c>
      <c r="M433" s="169">
        <f>SUM(M426:M432)</f>
        <v>0</v>
      </c>
      <c r="N433" s="169">
        <f t="shared" si="65"/>
        <v>0</v>
      </c>
      <c r="O433" s="169">
        <f t="shared" si="65"/>
        <v>0</v>
      </c>
    </row>
    <row r="434" spans="2:15" ht="13.5" thickTop="1" x14ac:dyDescent="0.2">
      <c r="B434" s="205"/>
      <c r="C434" s="206"/>
      <c r="D434" s="206"/>
      <c r="E434" s="206"/>
      <c r="F434" s="207"/>
      <c r="G434" s="206"/>
      <c r="H434" s="208"/>
      <c r="I434" s="206"/>
      <c r="J434" s="206"/>
      <c r="K434" s="206"/>
      <c r="L434" s="206"/>
      <c r="M434" s="206"/>
      <c r="N434" s="206"/>
      <c r="O434" s="206"/>
    </row>
    <row r="435" spans="2:15" x14ac:dyDescent="0.2">
      <c r="B435" s="199" t="s">
        <v>277</v>
      </c>
      <c r="C435" s="209">
        <f t="shared" ref="C435:H435" si="66">C355+C362+C368+C377+C383+C395+C404+C415+C423+C433+C349+C342</f>
        <v>679015430</v>
      </c>
      <c r="D435" s="209">
        <f t="shared" si="66"/>
        <v>-96056835.36999999</v>
      </c>
      <c r="E435" s="209">
        <f t="shared" si="66"/>
        <v>0</v>
      </c>
      <c r="F435" s="209">
        <f t="shared" si="66"/>
        <v>461915625.58999997</v>
      </c>
      <c r="G435" s="209">
        <f t="shared" si="66"/>
        <v>121042969.03999999</v>
      </c>
      <c r="H435" s="209">
        <f t="shared" si="66"/>
        <v>60884712.010000013</v>
      </c>
      <c r="I435" s="209">
        <f>I355+I362+I368+I377+I383+I395+I404+I415+I423+I433+I349</f>
        <v>0</v>
      </c>
      <c r="J435" s="209">
        <f t="shared" ref="J435:O435" si="67">J355+J362+J368+J377+J383+J395+J404+J415+J423+J433+J349+J342</f>
        <v>0</v>
      </c>
      <c r="K435" s="209">
        <f t="shared" si="67"/>
        <v>0</v>
      </c>
      <c r="L435" s="209">
        <f>L355+L362+L368+L377+L383+L395+L404+L415+L423+L433+L349+L342</f>
        <v>60158257.029999979</v>
      </c>
      <c r="M435" s="209">
        <f t="shared" si="67"/>
        <v>9555655.1500000022</v>
      </c>
      <c r="N435" s="209">
        <f t="shared" si="67"/>
        <v>4464071.6900000069</v>
      </c>
      <c r="O435" s="209">
        <f t="shared" si="67"/>
        <v>46864985.170000002</v>
      </c>
    </row>
    <row r="436" spans="2:15" x14ac:dyDescent="0.2">
      <c r="B436" s="165"/>
      <c r="C436" s="153"/>
      <c r="D436" s="153"/>
      <c r="E436" s="153"/>
      <c r="F436" s="162"/>
      <c r="G436" s="153"/>
      <c r="H436" s="166"/>
      <c r="I436" s="153"/>
      <c r="J436" s="153"/>
      <c r="K436" s="153"/>
      <c r="L436" s="153"/>
      <c r="M436" s="153"/>
      <c r="N436" s="153"/>
      <c r="O436" s="153"/>
    </row>
    <row r="437" spans="2:15" x14ac:dyDescent="0.2">
      <c r="B437" s="125" t="s">
        <v>279</v>
      </c>
      <c r="D437" s="126">
        <f>G437</f>
        <v>399504.25</v>
      </c>
      <c r="F437" s="162"/>
      <c r="G437" s="137">
        <f>H437+J437</f>
        <v>399504.25</v>
      </c>
      <c r="H437" s="210">
        <v>337504.25</v>
      </c>
      <c r="I437" s="137"/>
      <c r="J437" s="137">
        <f>'[4]USM &amp; COI'!J134</f>
        <v>62000</v>
      </c>
      <c r="K437" s="137"/>
      <c r="L437" s="162">
        <f>G437-H437-I437-J437-K437</f>
        <v>0</v>
      </c>
      <c r="M437" s="162">
        <f>H437-N437-O437+J437</f>
        <v>44500</v>
      </c>
      <c r="N437" s="162">
        <v>40000</v>
      </c>
      <c r="O437" s="162">
        <v>315004.25</v>
      </c>
    </row>
    <row r="438" spans="2:15" x14ac:dyDescent="0.2">
      <c r="F438" s="162"/>
      <c r="H438" s="210"/>
      <c r="I438" s="137"/>
      <c r="J438" s="137"/>
      <c r="K438" s="137"/>
      <c r="L438" s="162"/>
      <c r="M438" s="162"/>
      <c r="N438" s="162"/>
      <c r="O438" s="162"/>
    </row>
    <row r="439" spans="2:15" x14ac:dyDescent="0.2">
      <c r="F439" s="162"/>
      <c r="H439" s="210"/>
      <c r="I439" s="137"/>
      <c r="J439" s="137"/>
      <c r="K439" s="137"/>
      <c r="L439" s="162"/>
      <c r="M439" s="162"/>
      <c r="N439" s="162"/>
      <c r="O439" s="162"/>
    </row>
    <row r="440" spans="2:15" s="135" customFormat="1" ht="13.5" thickBot="1" x14ac:dyDescent="0.25">
      <c r="B440" s="211" t="s">
        <v>281</v>
      </c>
      <c r="C440" s="212">
        <f t="shared" ref="C440:K440" si="68">C336+C435+C437</f>
        <v>1195183533</v>
      </c>
      <c r="D440" s="212">
        <f t="shared" si="68"/>
        <v>-107240840.51999998</v>
      </c>
      <c r="E440" s="212">
        <f t="shared" si="68"/>
        <v>1651730.79</v>
      </c>
      <c r="F440" s="212">
        <f t="shared" si="68"/>
        <v>836280287.15999997</v>
      </c>
      <c r="G440" s="212">
        <f t="shared" si="68"/>
        <v>253314136.10699996</v>
      </c>
      <c r="H440" s="212">
        <f>H336+H435+H437</f>
        <v>112623204.27000001</v>
      </c>
      <c r="I440" s="212">
        <f t="shared" si="68"/>
        <v>6760280.4299999997</v>
      </c>
      <c r="J440" s="212">
        <f t="shared" si="68"/>
        <v>62000</v>
      </c>
      <c r="K440" s="212">
        <f t="shared" si="68"/>
        <v>0</v>
      </c>
      <c r="L440" s="212">
        <f>L336+L435+L437</f>
        <v>138375505.02699998</v>
      </c>
      <c r="M440" s="212">
        <f>M336+M435+M437</f>
        <v>29711503.239999998</v>
      </c>
      <c r="N440" s="212">
        <f>N336+N435+N437</f>
        <v>24736684.720000006</v>
      </c>
      <c r="O440" s="212">
        <f>O336+O435+O437</f>
        <v>60490443.120000005</v>
      </c>
    </row>
    <row r="441" spans="2:15" ht="14.25" customHeight="1" thickTop="1" x14ac:dyDescent="0.2">
      <c r="B441" s="125" t="s">
        <v>283</v>
      </c>
      <c r="C441" s="210">
        <f>50139503+40000000+25000000</f>
        <v>115139503</v>
      </c>
      <c r="F441" s="214"/>
      <c r="H441" s="127">
        <v>0</v>
      </c>
      <c r="I441" s="162"/>
      <c r="J441" s="215">
        <v>0</v>
      </c>
    </row>
    <row r="442" spans="2:15" ht="12.75" customHeight="1" x14ac:dyDescent="0.2">
      <c r="B442" s="195" t="s">
        <v>284</v>
      </c>
      <c r="C442" s="210">
        <f>C443+C444+C445</f>
        <v>2853802.9799999893</v>
      </c>
      <c r="D442" s="216"/>
      <c r="E442" s="216"/>
      <c r="F442" s="214"/>
      <c r="G442" s="136" t="s">
        <v>285</v>
      </c>
      <c r="H442" s="171">
        <f>H443-H441</f>
        <v>1941039.9600000004</v>
      </c>
      <c r="I442" s="215"/>
      <c r="J442" s="135">
        <f>J443-J441</f>
        <v>29000</v>
      </c>
      <c r="L442" s="217" t="s">
        <v>286</v>
      </c>
      <c r="M442" s="217"/>
      <c r="N442" s="253"/>
    </row>
    <row r="443" spans="2:15" x14ac:dyDescent="0.2">
      <c r="B443" s="125" t="s">
        <v>287</v>
      </c>
      <c r="C443" s="218">
        <f>25000000-C447</f>
        <v>0</v>
      </c>
      <c r="D443" s="135"/>
      <c r="E443" s="135"/>
      <c r="F443" s="125"/>
      <c r="G443" s="219"/>
      <c r="H443" s="135">
        <v>1941039.9600000004</v>
      </c>
      <c r="I443" s="135"/>
      <c r="J443" s="196">
        <v>29000</v>
      </c>
      <c r="N443" s="253"/>
      <c r="O443" s="137">
        <f>O440-'[3]Summary 2022A'!$N$408</f>
        <v>0</v>
      </c>
    </row>
    <row r="444" spans="2:15" x14ac:dyDescent="0.2">
      <c r="B444" s="125" t="s">
        <v>288</v>
      </c>
      <c r="C444" s="196">
        <f>40000000-C448</f>
        <v>2853802.8100000024</v>
      </c>
      <c r="D444" s="135"/>
      <c r="E444" s="135"/>
      <c r="F444" s="214"/>
      <c r="G444" s="219" t="s">
        <v>289</v>
      </c>
      <c r="H444" s="171">
        <f>H445-H443</f>
        <v>42700510.449999996</v>
      </c>
      <c r="I444" s="135"/>
      <c r="J444" s="135">
        <f>J445-J443</f>
        <v>1500</v>
      </c>
      <c r="L444" s="217" t="s">
        <v>290</v>
      </c>
      <c r="M444" s="217"/>
      <c r="N444" s="254"/>
    </row>
    <row r="445" spans="2:15" ht="12" customHeight="1" x14ac:dyDescent="0.2">
      <c r="B445" s="125" t="s">
        <v>291</v>
      </c>
      <c r="C445" s="126">
        <f>50139503-C449</f>
        <v>0.16999998688697815</v>
      </c>
      <c r="D445" s="135"/>
      <c r="E445" s="135"/>
      <c r="F445" s="214"/>
      <c r="G445" s="217"/>
      <c r="H445" s="196">
        <v>44641550.409999996</v>
      </c>
      <c r="I445" s="135"/>
      <c r="J445" s="196">
        <v>30500</v>
      </c>
    </row>
    <row r="446" spans="2:15" ht="12" customHeight="1" x14ac:dyDescent="0.2">
      <c r="D446" s="135"/>
      <c r="E446" s="135"/>
      <c r="F446" s="214"/>
      <c r="G446" s="219" t="s">
        <v>292</v>
      </c>
      <c r="H446" s="171">
        <f>H447-H445</f>
        <v>1784501.3800000027</v>
      </c>
      <c r="I446" s="135"/>
      <c r="J446" s="135">
        <f>J447-J445</f>
        <v>31500</v>
      </c>
      <c r="L446" s="227" t="s">
        <v>387</v>
      </c>
    </row>
    <row r="447" spans="2:15" x14ac:dyDescent="0.2">
      <c r="B447" s="125" t="s">
        <v>293</v>
      </c>
      <c r="C447" s="126">
        <f>H336-H50-H70-H71-H72-H79-H80-H81-H98-H99-H100-H102-H101-H122-H28-H29-H73-'[4]FR using 20-yr Bond'!H2-H7</f>
        <v>24999999.999999996</v>
      </c>
      <c r="D447" s="220"/>
      <c r="F447" s="214"/>
      <c r="G447" s="221"/>
      <c r="H447" s="196">
        <v>46426051.789999999</v>
      </c>
      <c r="I447" s="222"/>
      <c r="J447" s="222">
        <v>62000</v>
      </c>
    </row>
    <row r="448" spans="2:15" x14ac:dyDescent="0.2">
      <c r="B448" s="125" t="s">
        <v>294</v>
      </c>
      <c r="C448" s="126">
        <f>H440-H437-C447-C449</f>
        <v>37146197.189999998</v>
      </c>
      <c r="G448" s="219" t="s">
        <v>295</v>
      </c>
      <c r="H448" s="171">
        <f>H449-H447</f>
        <v>409087.37000000477</v>
      </c>
    </row>
    <row r="449" spans="2:15" x14ac:dyDescent="0.2">
      <c r="B449" s="125" t="s">
        <v>296</v>
      </c>
      <c r="C449" s="126">
        <f>H365+H366+H371+H372+H387</f>
        <v>50139502.830000013</v>
      </c>
      <c r="G449" s="217"/>
      <c r="H449" s="127">
        <v>46835139.160000004</v>
      </c>
      <c r="O449" s="210"/>
    </row>
    <row r="450" spans="2:15" x14ac:dyDescent="0.2">
      <c r="G450" s="219" t="s">
        <v>297</v>
      </c>
      <c r="H450" s="171">
        <f>H451-H449</f>
        <v>16157.25</v>
      </c>
      <c r="L450" s="210"/>
      <c r="M450" s="210"/>
      <c r="N450" s="210"/>
      <c r="O450" s="210"/>
    </row>
    <row r="451" spans="2:15" x14ac:dyDescent="0.2">
      <c r="B451" s="127" t="s">
        <v>298</v>
      </c>
      <c r="C451" s="210" t="s">
        <v>299</v>
      </c>
      <c r="G451" s="217"/>
      <c r="H451" s="127">
        <v>46851296.410000004</v>
      </c>
    </row>
    <row r="452" spans="2:15" x14ac:dyDescent="0.2">
      <c r="B452" s="127" t="s">
        <v>300</v>
      </c>
      <c r="C452" s="210" t="s">
        <v>301</v>
      </c>
      <c r="G452" s="219" t="s">
        <v>302</v>
      </c>
      <c r="H452" s="171">
        <f>H453-H451</f>
        <v>2592391.3299999908</v>
      </c>
    </row>
    <row r="453" spans="2:15" hidden="1" x14ac:dyDescent="0.2">
      <c r="G453" s="217"/>
      <c r="H453" s="127">
        <v>49443687.739999995</v>
      </c>
    </row>
    <row r="454" spans="2:15" hidden="1" x14ac:dyDescent="0.2">
      <c r="G454" s="219" t="s">
        <v>303</v>
      </c>
      <c r="H454" s="135">
        <f>H455-H453</f>
        <v>1625044.9700000063</v>
      </c>
    </row>
    <row r="455" spans="2:15" hidden="1" x14ac:dyDescent="0.2">
      <c r="G455" s="217"/>
      <c r="H455" s="127">
        <v>51068732.710000001</v>
      </c>
    </row>
    <row r="456" spans="2:15" hidden="1" x14ac:dyDescent="0.2">
      <c r="G456" s="219" t="s">
        <v>304</v>
      </c>
      <c r="H456" s="135">
        <f>H457-H455</f>
        <v>399330.03000000119</v>
      </c>
    </row>
    <row r="457" spans="2:15" hidden="1" x14ac:dyDescent="0.2">
      <c r="G457" s="217"/>
      <c r="H457" s="127">
        <v>51468062.740000002</v>
      </c>
    </row>
    <row r="458" spans="2:15" hidden="1" x14ac:dyDescent="0.2">
      <c r="G458" s="219" t="s">
        <v>305</v>
      </c>
      <c r="H458" s="135">
        <f>H459-H457</f>
        <v>851972.21999999881</v>
      </c>
    </row>
    <row r="459" spans="2:15" hidden="1" x14ac:dyDescent="0.2">
      <c r="G459" s="217"/>
      <c r="H459" s="127">
        <v>52320034.960000001</v>
      </c>
    </row>
    <row r="460" spans="2:15" hidden="1" x14ac:dyDescent="0.2">
      <c r="G460" s="219" t="s">
        <v>306</v>
      </c>
      <c r="H460" s="135">
        <f>H461-H459</f>
        <v>1078847.5300000012</v>
      </c>
    </row>
    <row r="461" spans="2:15" hidden="1" x14ac:dyDescent="0.2">
      <c r="G461" s="217"/>
      <c r="H461" s="127">
        <v>53398882.490000002</v>
      </c>
    </row>
    <row r="462" spans="2:15" hidden="1" x14ac:dyDescent="0.2">
      <c r="G462" s="219" t="s">
        <v>307</v>
      </c>
      <c r="H462" s="135">
        <f>H463-H461</f>
        <v>2462179.9299999997</v>
      </c>
    </row>
    <row r="463" spans="2:15" hidden="1" x14ac:dyDescent="0.2">
      <c r="G463" s="217"/>
      <c r="H463" s="127">
        <v>55861062.420000002</v>
      </c>
      <c r="K463" s="153"/>
      <c r="L463" s="224"/>
      <c r="M463" s="224"/>
      <c r="N463" s="224"/>
      <c r="O463" s="224"/>
    </row>
    <row r="464" spans="2:15" hidden="1" x14ac:dyDescent="0.2">
      <c r="G464" s="219" t="s">
        <v>308</v>
      </c>
      <c r="H464" s="135">
        <f>H465-H463</f>
        <v>100161.94999999553</v>
      </c>
      <c r="K464" s="135"/>
      <c r="L464" s="225"/>
      <c r="M464" s="225"/>
      <c r="N464" s="225"/>
      <c r="O464" s="225"/>
    </row>
    <row r="465" spans="7:15" hidden="1" x14ac:dyDescent="0.2">
      <c r="G465" s="217"/>
      <c r="H465" s="127">
        <v>55961224.369999997</v>
      </c>
      <c r="K465" s="135"/>
      <c r="L465" s="226"/>
      <c r="M465" s="226"/>
      <c r="N465" s="226"/>
      <c r="O465" s="226"/>
    </row>
    <row r="466" spans="7:15" hidden="1" x14ac:dyDescent="0.2">
      <c r="G466" s="219" t="s">
        <v>309</v>
      </c>
      <c r="H466" s="135">
        <f>H467-H465</f>
        <v>101774.70000000298</v>
      </c>
      <c r="K466" s="135"/>
      <c r="L466" s="225"/>
      <c r="M466" s="225"/>
      <c r="N466" s="225"/>
      <c r="O466" s="225"/>
    </row>
    <row r="467" spans="7:15" hidden="1" x14ac:dyDescent="0.2">
      <c r="G467" s="217"/>
      <c r="H467" s="127">
        <v>56062999.07</v>
      </c>
      <c r="K467" s="135"/>
      <c r="L467" s="226"/>
      <c r="M467" s="226"/>
      <c r="N467" s="226"/>
      <c r="O467" s="226"/>
    </row>
    <row r="468" spans="7:15" hidden="1" x14ac:dyDescent="0.2">
      <c r="G468" s="219" t="s">
        <v>310</v>
      </c>
      <c r="H468" s="135">
        <f>H469-H467</f>
        <v>230721.17000000179</v>
      </c>
      <c r="K468" s="135"/>
      <c r="L468" s="225"/>
      <c r="M468" s="225"/>
      <c r="N468" s="225"/>
      <c r="O468" s="225"/>
    </row>
    <row r="469" spans="7:15" hidden="1" x14ac:dyDescent="0.2">
      <c r="G469" s="217"/>
      <c r="H469" s="127">
        <v>56293720.240000002</v>
      </c>
      <c r="K469" s="226"/>
      <c r="L469" s="225"/>
      <c r="M469" s="225"/>
      <c r="N469" s="225"/>
      <c r="O469" s="225"/>
    </row>
    <row r="470" spans="7:15" hidden="1" x14ac:dyDescent="0.2">
      <c r="G470" s="219" t="s">
        <v>311</v>
      </c>
      <c r="H470" s="135">
        <f>H471-H469</f>
        <v>3121389.3500000015</v>
      </c>
      <c r="K470" s="135"/>
      <c r="L470" s="225"/>
      <c r="M470" s="225"/>
      <c r="N470" s="225"/>
      <c r="O470" s="225"/>
    </row>
    <row r="471" spans="7:15" hidden="1" x14ac:dyDescent="0.2">
      <c r="G471" s="217"/>
      <c r="H471" s="127">
        <v>59415109.590000004</v>
      </c>
    </row>
    <row r="472" spans="7:15" hidden="1" x14ac:dyDescent="0.2">
      <c r="G472" s="219" t="s">
        <v>312</v>
      </c>
      <c r="H472" s="135">
        <f>H473-H471</f>
        <v>206628.31999999285</v>
      </c>
      <c r="K472" s="135"/>
      <c r="L472" s="225"/>
      <c r="M472" s="225"/>
      <c r="N472" s="225"/>
      <c r="O472" s="225"/>
    </row>
    <row r="473" spans="7:15" hidden="1" x14ac:dyDescent="0.2">
      <c r="G473" s="217"/>
      <c r="H473" s="127">
        <v>59621737.909999996</v>
      </c>
    </row>
    <row r="474" spans="7:15" hidden="1" x14ac:dyDescent="0.2">
      <c r="G474" s="219" t="s">
        <v>313</v>
      </c>
      <c r="H474" s="135">
        <f>H475-H473</f>
        <v>255723.22000000626</v>
      </c>
      <c r="J474" s="127"/>
      <c r="K474" s="135"/>
      <c r="L474" s="225"/>
      <c r="M474" s="225"/>
      <c r="N474" s="225"/>
      <c r="O474" s="225"/>
    </row>
    <row r="475" spans="7:15" hidden="1" x14ac:dyDescent="0.2">
      <c r="G475" s="217"/>
      <c r="H475" s="127">
        <v>59877461.130000003</v>
      </c>
    </row>
    <row r="476" spans="7:15" hidden="1" x14ac:dyDescent="0.2">
      <c r="G476" s="219" t="s">
        <v>314</v>
      </c>
      <c r="H476" s="135">
        <f>H477-H475</f>
        <v>612981.98999999464</v>
      </c>
      <c r="K476" s="135"/>
      <c r="L476" s="225"/>
      <c r="M476" s="225"/>
      <c r="N476" s="225"/>
      <c r="O476" s="225"/>
    </row>
    <row r="477" spans="7:15" hidden="1" x14ac:dyDescent="0.2">
      <c r="G477" s="217"/>
      <c r="H477" s="127">
        <v>60490443.119999997</v>
      </c>
    </row>
    <row r="478" spans="7:15" hidden="1" x14ac:dyDescent="0.2">
      <c r="G478" s="219" t="s">
        <v>315</v>
      </c>
      <c r="H478" s="135">
        <f>H479-H477</f>
        <v>430016.23000000417</v>
      </c>
      <c r="K478" s="135"/>
      <c r="L478" s="225"/>
      <c r="M478" s="225"/>
      <c r="N478" s="225"/>
    </row>
    <row r="479" spans="7:15" hidden="1" x14ac:dyDescent="0.2">
      <c r="G479" s="217"/>
      <c r="H479" s="127">
        <v>60920459.350000001</v>
      </c>
    </row>
    <row r="480" spans="7:15" hidden="1" x14ac:dyDescent="0.2">
      <c r="G480" s="219" t="s">
        <v>316</v>
      </c>
      <c r="H480" s="135">
        <f>H481-H479</f>
        <v>337549.54999999702</v>
      </c>
      <c r="K480" s="135"/>
      <c r="L480" s="225"/>
      <c r="M480" s="225"/>
      <c r="N480" s="225"/>
    </row>
    <row r="481" spans="7:15" hidden="1" x14ac:dyDescent="0.2">
      <c r="G481" s="217"/>
      <c r="H481" s="127">
        <v>61258008.899999999</v>
      </c>
      <c r="K481" s="132"/>
      <c r="L481" s="130"/>
      <c r="M481" s="130"/>
      <c r="N481" s="130"/>
      <c r="O481" s="130"/>
    </row>
    <row r="482" spans="7:15" hidden="1" x14ac:dyDescent="0.2">
      <c r="G482" s="227" t="s">
        <v>317</v>
      </c>
      <c r="H482" s="135">
        <f>H483-H481</f>
        <v>150728.3900000006</v>
      </c>
      <c r="K482" s="135"/>
      <c r="L482" s="225"/>
      <c r="M482" s="225"/>
      <c r="N482" s="225"/>
      <c r="O482" s="130"/>
    </row>
    <row r="483" spans="7:15" hidden="1" x14ac:dyDescent="0.2">
      <c r="G483" s="217"/>
      <c r="H483" s="127">
        <v>61408737.289999999</v>
      </c>
      <c r="K483" s="132"/>
      <c r="L483" s="130"/>
      <c r="M483" s="130"/>
      <c r="N483" s="130"/>
      <c r="O483" s="130"/>
    </row>
    <row r="484" spans="7:15" hidden="1" x14ac:dyDescent="0.2">
      <c r="G484" s="217" t="s">
        <v>318</v>
      </c>
      <c r="H484" s="135">
        <f>H485-H483</f>
        <v>199086.68999999762</v>
      </c>
      <c r="K484" s="135"/>
      <c r="L484" s="224"/>
      <c r="M484" s="224"/>
      <c r="N484" s="224"/>
      <c r="O484" s="130"/>
    </row>
    <row r="485" spans="7:15" hidden="1" x14ac:dyDescent="0.2">
      <c r="G485" s="217"/>
      <c r="H485" s="127">
        <v>61607823.979999997</v>
      </c>
      <c r="K485" s="132"/>
      <c r="L485" s="130"/>
      <c r="M485" s="130"/>
      <c r="N485" s="130"/>
      <c r="O485" s="130"/>
    </row>
    <row r="486" spans="7:15" hidden="1" x14ac:dyDescent="0.2">
      <c r="G486" s="217" t="s">
        <v>319</v>
      </c>
      <c r="H486" s="135">
        <f>H487-H485</f>
        <v>194893.69000000507</v>
      </c>
      <c r="K486" s="135"/>
      <c r="L486" s="224"/>
      <c r="M486" s="224"/>
      <c r="N486" s="224"/>
      <c r="O486" s="130"/>
    </row>
    <row r="487" spans="7:15" hidden="1" x14ac:dyDescent="0.2">
      <c r="G487" s="217"/>
      <c r="H487" s="127">
        <v>61802717.670000002</v>
      </c>
      <c r="K487" s="132"/>
      <c r="L487" s="130"/>
      <c r="M487" s="130"/>
      <c r="N487" s="130"/>
      <c r="O487" s="130"/>
    </row>
    <row r="488" spans="7:15" hidden="1" x14ac:dyDescent="0.2">
      <c r="G488" s="217" t="s">
        <v>320</v>
      </c>
      <c r="H488" s="135">
        <f>H489-H487</f>
        <v>578109.71999999881</v>
      </c>
      <c r="K488" s="135"/>
      <c r="L488" s="224"/>
      <c r="M488" s="224"/>
      <c r="N488" s="224"/>
      <c r="O488" s="130"/>
    </row>
    <row r="489" spans="7:15" hidden="1" x14ac:dyDescent="0.2">
      <c r="G489" s="217"/>
      <c r="H489" s="127">
        <v>62380827.390000001</v>
      </c>
    </row>
    <row r="490" spans="7:15" hidden="1" x14ac:dyDescent="0.2">
      <c r="G490" s="227" t="s">
        <v>321</v>
      </c>
      <c r="H490" s="135">
        <f>H491-H489</f>
        <v>344951.29000000656</v>
      </c>
      <c r="K490" s="135"/>
      <c r="L490" s="224"/>
      <c r="M490" s="224"/>
      <c r="N490" s="224"/>
    </row>
    <row r="491" spans="7:15" hidden="1" x14ac:dyDescent="0.2">
      <c r="G491" s="217"/>
      <c r="H491" s="127">
        <v>62725778.680000007</v>
      </c>
    </row>
    <row r="492" spans="7:15" hidden="1" x14ac:dyDescent="0.2">
      <c r="G492" s="227" t="s">
        <v>322</v>
      </c>
      <c r="H492" s="135">
        <f>H493-H491</f>
        <v>377237</v>
      </c>
      <c r="K492" s="135"/>
      <c r="L492" s="224"/>
      <c r="M492" s="224"/>
      <c r="N492" s="224"/>
    </row>
    <row r="493" spans="7:15" hidden="1" x14ac:dyDescent="0.2">
      <c r="G493" s="217"/>
      <c r="H493" s="127">
        <v>63103015.680000007</v>
      </c>
    </row>
    <row r="494" spans="7:15" hidden="1" x14ac:dyDescent="0.2">
      <c r="G494" s="227" t="s">
        <v>323</v>
      </c>
      <c r="H494" s="135">
        <f>H495-H493</f>
        <v>569361.15000000596</v>
      </c>
      <c r="K494" s="135"/>
      <c r="L494" s="228"/>
      <c r="M494" s="228"/>
      <c r="N494" s="228"/>
    </row>
    <row r="495" spans="7:15" hidden="1" x14ac:dyDescent="0.2">
      <c r="G495" s="217"/>
      <c r="H495" s="127">
        <v>63672376.830000013</v>
      </c>
    </row>
    <row r="496" spans="7:15" hidden="1" x14ac:dyDescent="0.2">
      <c r="G496" s="227" t="s">
        <v>324</v>
      </c>
      <c r="H496" s="135">
        <f>H497-H495</f>
        <v>215403</v>
      </c>
      <c r="K496" s="135"/>
      <c r="L496" s="228"/>
      <c r="M496" s="228"/>
      <c r="N496" s="228"/>
    </row>
    <row r="497" spans="2:14" hidden="1" x14ac:dyDescent="0.2">
      <c r="B497" s="125" t="s">
        <v>325</v>
      </c>
      <c r="C497" s="126">
        <f>'[2]Summary 2021A'!$C$791</f>
        <v>242000000</v>
      </c>
      <c r="G497" s="217"/>
      <c r="H497" s="127">
        <v>63887779.830000013</v>
      </c>
    </row>
    <row r="498" spans="2:14" hidden="1" x14ac:dyDescent="0.2">
      <c r="G498" s="227" t="s">
        <v>326</v>
      </c>
      <c r="H498" s="135">
        <f>H499-H497</f>
        <v>76886.269999995828</v>
      </c>
      <c r="K498" s="135"/>
      <c r="L498" s="217"/>
      <c r="M498" s="217"/>
      <c r="N498" s="228"/>
    </row>
    <row r="499" spans="2:14" hidden="1" x14ac:dyDescent="0.2">
      <c r="G499" s="217"/>
      <c r="H499" s="126">
        <v>63964666.100000009</v>
      </c>
      <c r="L499" s="217"/>
      <c r="M499" s="217"/>
    </row>
    <row r="500" spans="2:14" hidden="1" x14ac:dyDescent="0.2">
      <c r="G500" s="227" t="s">
        <v>327</v>
      </c>
      <c r="H500" s="135">
        <f>H501-H499</f>
        <v>44536.930000007153</v>
      </c>
      <c r="K500" s="135"/>
      <c r="L500" s="217"/>
      <c r="M500" s="217"/>
      <c r="N500" s="228"/>
    </row>
    <row r="501" spans="2:14" hidden="1" x14ac:dyDescent="0.2">
      <c r="G501" s="217"/>
      <c r="H501" s="127">
        <v>64009203.030000016</v>
      </c>
    </row>
    <row r="502" spans="2:14" hidden="1" x14ac:dyDescent="0.2">
      <c r="F502" s="229">
        <v>45216</v>
      </c>
      <c r="G502" s="227" t="s">
        <v>328</v>
      </c>
      <c r="H502" s="135">
        <f>H503-H501</f>
        <v>3812242.6199999899</v>
      </c>
      <c r="K502" s="135"/>
      <c r="L502" s="228"/>
      <c r="M502" s="228"/>
      <c r="N502" s="228"/>
    </row>
    <row r="503" spans="2:14" hidden="1" x14ac:dyDescent="0.2">
      <c r="F503" s="229"/>
      <c r="G503" s="217"/>
      <c r="H503" s="127">
        <v>67821445.650000006</v>
      </c>
    </row>
    <row r="504" spans="2:14" hidden="1" x14ac:dyDescent="0.2">
      <c r="F504" s="229">
        <v>45219</v>
      </c>
      <c r="G504" s="227" t="s">
        <v>329</v>
      </c>
      <c r="H504" s="135">
        <f>H505-H503</f>
        <v>100987.70000000298</v>
      </c>
      <c r="K504" s="135"/>
      <c r="L504" s="228"/>
      <c r="M504" s="228"/>
      <c r="N504" s="228"/>
    </row>
    <row r="505" spans="2:14" hidden="1" x14ac:dyDescent="0.2">
      <c r="F505" s="229"/>
      <c r="G505" s="217"/>
      <c r="H505" s="131">
        <v>67922433.350000009</v>
      </c>
    </row>
    <row r="506" spans="2:14" hidden="1" x14ac:dyDescent="0.2">
      <c r="F506" s="229"/>
      <c r="G506" s="227" t="s">
        <v>330</v>
      </c>
      <c r="H506" s="135">
        <f>H507-H505</f>
        <v>198</v>
      </c>
      <c r="K506" s="135"/>
      <c r="L506" s="230"/>
      <c r="M506" s="230"/>
      <c r="N506" s="230"/>
    </row>
    <row r="507" spans="2:14" ht="13.5" hidden="1" customHeight="1" x14ac:dyDescent="0.2">
      <c r="F507" s="229"/>
      <c r="G507" s="217"/>
      <c r="H507" s="131">
        <v>67922631.350000009</v>
      </c>
      <c r="L507" s="230"/>
      <c r="M507" s="230"/>
      <c r="N507" s="230"/>
    </row>
    <row r="508" spans="2:14" hidden="1" x14ac:dyDescent="0.2">
      <c r="F508" s="229">
        <v>45226</v>
      </c>
      <c r="G508" s="227" t="s">
        <v>331</v>
      </c>
      <c r="H508" s="135">
        <f>H509-H507</f>
        <v>2960.0400000065565</v>
      </c>
      <c r="K508" s="135"/>
      <c r="L508" s="230"/>
      <c r="M508" s="230"/>
      <c r="N508" s="230"/>
    </row>
    <row r="509" spans="2:14" hidden="1" x14ac:dyDescent="0.2">
      <c r="F509" s="229"/>
      <c r="G509" s="217"/>
      <c r="H509" s="127">
        <v>67925591.390000015</v>
      </c>
      <c r="L509" s="230"/>
      <c r="M509" s="230"/>
      <c r="N509" s="230"/>
    </row>
    <row r="510" spans="2:14" hidden="1" x14ac:dyDescent="0.2">
      <c r="F510" s="229">
        <v>45237</v>
      </c>
      <c r="G510" s="227" t="s">
        <v>332</v>
      </c>
      <c r="H510" s="135">
        <f>H511-H509</f>
        <v>131078.72999998927</v>
      </c>
      <c r="K510" s="135"/>
      <c r="L510" s="230"/>
      <c r="M510" s="230"/>
      <c r="N510" s="230"/>
    </row>
    <row r="511" spans="2:14" hidden="1" x14ac:dyDescent="0.2">
      <c r="F511" s="229"/>
      <c r="G511" s="217"/>
      <c r="H511" s="127">
        <v>68056670.120000005</v>
      </c>
      <c r="N511" s="230"/>
    </row>
    <row r="512" spans="2:14" hidden="1" x14ac:dyDescent="0.2">
      <c r="F512" s="229">
        <v>45246</v>
      </c>
      <c r="G512" s="227" t="s">
        <v>333</v>
      </c>
      <c r="H512" s="135">
        <f>H513-H511</f>
        <v>217976.22999998927</v>
      </c>
      <c r="N512" s="230"/>
    </row>
    <row r="513" spans="6:14" hidden="1" x14ac:dyDescent="0.2">
      <c r="F513" s="229"/>
      <c r="G513" s="217"/>
      <c r="H513" s="127">
        <v>68274646.349999994</v>
      </c>
      <c r="N513" s="230"/>
    </row>
    <row r="514" spans="6:14" hidden="1" x14ac:dyDescent="0.2">
      <c r="F514" s="229">
        <v>45251</v>
      </c>
      <c r="G514" s="227" t="s">
        <v>334</v>
      </c>
      <c r="H514" s="135">
        <f>H515-H513</f>
        <v>57363.640000015497</v>
      </c>
      <c r="N514" s="231"/>
    </row>
    <row r="515" spans="6:14" hidden="1" x14ac:dyDescent="0.2">
      <c r="F515" s="229"/>
      <c r="G515" s="217"/>
      <c r="H515" s="127">
        <v>68332009.99000001</v>
      </c>
      <c r="L515" s="230"/>
      <c r="M515" s="230"/>
      <c r="N515" s="230"/>
    </row>
    <row r="516" spans="6:14" hidden="1" x14ac:dyDescent="0.2">
      <c r="F516" s="229">
        <v>45265</v>
      </c>
      <c r="G516" s="227" t="s">
        <v>335</v>
      </c>
      <c r="H516" s="135">
        <f>H517-H515</f>
        <v>79790.949999988079</v>
      </c>
      <c r="K516" s="135"/>
      <c r="L516" s="230"/>
      <c r="M516" s="230"/>
      <c r="N516" s="231"/>
    </row>
    <row r="517" spans="6:14" hidden="1" x14ac:dyDescent="0.2">
      <c r="F517" s="229"/>
      <c r="G517" s="217"/>
      <c r="H517" s="127">
        <v>68411800.939999998</v>
      </c>
      <c r="L517" s="230"/>
      <c r="M517" s="230"/>
      <c r="N517" s="230"/>
    </row>
    <row r="518" spans="6:14" hidden="1" x14ac:dyDescent="0.2">
      <c r="F518" s="229">
        <v>45273</v>
      </c>
      <c r="G518" s="227" t="s">
        <v>336</v>
      </c>
      <c r="H518" s="135">
        <f>H519-H517</f>
        <v>1612407.650000006</v>
      </c>
      <c r="K518" s="135"/>
      <c r="L518" s="231"/>
      <c r="M518" s="231"/>
      <c r="N518" s="231"/>
    </row>
    <row r="519" spans="6:14" hidden="1" x14ac:dyDescent="0.2">
      <c r="F519" s="229"/>
      <c r="G519" s="217"/>
      <c r="H519" s="127">
        <v>70024208.590000004</v>
      </c>
      <c r="L519" s="230"/>
      <c r="M519" s="230"/>
      <c r="N519" s="230"/>
    </row>
    <row r="520" spans="6:14" hidden="1" x14ac:dyDescent="0.2">
      <c r="F520" s="229">
        <v>45279</v>
      </c>
      <c r="G520" s="227" t="s">
        <v>337</v>
      </c>
      <c r="H520" s="135">
        <f>H521-H519</f>
        <v>94671.70000000298</v>
      </c>
      <c r="K520" s="135"/>
      <c r="L520" s="231"/>
      <c r="M520" s="231"/>
      <c r="N520" s="230"/>
    </row>
    <row r="521" spans="6:14" hidden="1" x14ac:dyDescent="0.2">
      <c r="F521" s="229"/>
      <c r="G521" s="217"/>
      <c r="H521" s="127">
        <v>70118880.290000007</v>
      </c>
      <c r="K521" s="230"/>
      <c r="L521" s="230"/>
      <c r="M521" s="230"/>
      <c r="N521" s="230"/>
    </row>
    <row r="522" spans="6:14" hidden="1" x14ac:dyDescent="0.2">
      <c r="F522" s="229">
        <v>45280</v>
      </c>
      <c r="G522" s="227" t="s">
        <v>338</v>
      </c>
      <c r="H522" s="135">
        <f>H523-H521</f>
        <v>2216432.9699999988</v>
      </c>
      <c r="K522" s="135"/>
      <c r="L522" s="230"/>
      <c r="M522" s="230"/>
      <c r="N522" s="230"/>
    </row>
    <row r="523" spans="6:14" hidden="1" x14ac:dyDescent="0.2">
      <c r="F523" s="229"/>
      <c r="G523" s="217"/>
      <c r="H523" s="127">
        <v>72335313.260000005</v>
      </c>
      <c r="K523" s="137"/>
    </row>
    <row r="524" spans="6:14" hidden="1" x14ac:dyDescent="0.2">
      <c r="F524" s="229">
        <v>44935</v>
      </c>
      <c r="G524" s="227" t="s">
        <v>339</v>
      </c>
      <c r="H524" s="135">
        <f>H525-H523</f>
        <v>23535.630000010133</v>
      </c>
      <c r="K524" s="135"/>
      <c r="L524" s="216"/>
      <c r="M524" s="216"/>
      <c r="N524" s="216"/>
    </row>
    <row r="525" spans="6:14" hidden="1" x14ac:dyDescent="0.2">
      <c r="F525" s="229"/>
      <c r="G525" s="217"/>
      <c r="H525" s="127">
        <v>72358848.890000015</v>
      </c>
    </row>
    <row r="526" spans="6:14" hidden="1" x14ac:dyDescent="0.2">
      <c r="F526" s="229">
        <v>44943</v>
      </c>
      <c r="G526" s="227" t="s">
        <v>340</v>
      </c>
      <c r="H526" s="135">
        <f>H527-H525</f>
        <v>201212.43999999762</v>
      </c>
      <c r="K526" s="135"/>
      <c r="L526" s="216"/>
      <c r="M526" s="216"/>
      <c r="N526" s="216"/>
    </row>
    <row r="527" spans="6:14" hidden="1" x14ac:dyDescent="0.2">
      <c r="F527" s="229"/>
      <c r="G527" s="217"/>
      <c r="H527" s="127">
        <v>72560061.330000013</v>
      </c>
    </row>
    <row r="528" spans="6:14" hidden="1" x14ac:dyDescent="0.2">
      <c r="F528" s="229">
        <v>44951</v>
      </c>
      <c r="G528" s="227" t="s">
        <v>341</v>
      </c>
      <c r="H528" s="135">
        <f>H529-H527</f>
        <v>637606.39999999106</v>
      </c>
      <c r="K528" s="135"/>
      <c r="L528" s="216"/>
      <c r="M528" s="216"/>
      <c r="N528" s="216"/>
    </row>
    <row r="529" spans="6:14" hidden="1" x14ac:dyDescent="0.2">
      <c r="F529" s="229"/>
      <c r="G529" s="217"/>
      <c r="H529" s="127">
        <v>73197667.730000004</v>
      </c>
    </row>
    <row r="530" spans="6:14" hidden="1" x14ac:dyDescent="0.2">
      <c r="F530" s="229">
        <v>44956</v>
      </c>
      <c r="G530" s="227" t="s">
        <v>342</v>
      </c>
      <c r="H530" s="135">
        <f>H531-H529</f>
        <v>2576</v>
      </c>
    </row>
    <row r="531" spans="6:14" hidden="1" x14ac:dyDescent="0.2">
      <c r="F531" s="229"/>
      <c r="G531" s="217"/>
      <c r="H531" s="127">
        <v>73200243.730000004</v>
      </c>
    </row>
    <row r="532" spans="6:14" hidden="1" x14ac:dyDescent="0.2">
      <c r="F532" s="229">
        <v>44963</v>
      </c>
      <c r="G532" s="227" t="s">
        <v>343</v>
      </c>
      <c r="H532" s="135">
        <f>H533-H531</f>
        <v>191564.38000001013</v>
      </c>
    </row>
    <row r="533" spans="6:14" hidden="1" x14ac:dyDescent="0.2">
      <c r="F533" s="229"/>
      <c r="G533" s="217"/>
      <c r="H533" s="127">
        <v>73391808.110000014</v>
      </c>
    </row>
    <row r="534" spans="6:14" hidden="1" x14ac:dyDescent="0.2">
      <c r="F534" s="229">
        <v>44970</v>
      </c>
      <c r="G534" s="227" t="s">
        <v>344</v>
      </c>
      <c r="H534" s="135">
        <f>H535-H533</f>
        <v>221824.82999999821</v>
      </c>
      <c r="K534" s="135"/>
      <c r="L534" s="216"/>
      <c r="M534" s="216"/>
      <c r="N534" s="216"/>
    </row>
    <row r="535" spans="6:14" hidden="1" x14ac:dyDescent="0.2">
      <c r="G535" s="227"/>
      <c r="H535" s="127">
        <v>73613632.940000013</v>
      </c>
      <c r="K535" s="135"/>
      <c r="L535" s="216"/>
      <c r="M535" s="216"/>
      <c r="N535" s="216"/>
    </row>
    <row r="536" spans="6:14" hidden="1" x14ac:dyDescent="0.2">
      <c r="F536" s="229">
        <v>44974</v>
      </c>
      <c r="G536" s="227" t="s">
        <v>345</v>
      </c>
      <c r="H536" s="135">
        <f>H537-H535</f>
        <v>158213.20000000298</v>
      </c>
      <c r="K536" s="135"/>
      <c r="L536" s="216"/>
      <c r="M536" s="216"/>
      <c r="N536" s="216"/>
    </row>
    <row r="537" spans="6:14" hidden="1" x14ac:dyDescent="0.2">
      <c r="G537" s="227"/>
      <c r="H537" s="127">
        <v>73771846.140000015</v>
      </c>
      <c r="K537" s="135"/>
      <c r="L537" s="216"/>
      <c r="M537" s="216"/>
      <c r="N537" s="216"/>
    </row>
    <row r="538" spans="6:14" hidden="1" x14ac:dyDescent="0.2">
      <c r="F538" s="229">
        <v>44981</v>
      </c>
      <c r="G538" s="227" t="s">
        <v>346</v>
      </c>
      <c r="H538" s="135">
        <f>H539-H537</f>
        <v>123059.37999999523</v>
      </c>
      <c r="K538" s="135"/>
      <c r="L538" s="216"/>
      <c r="M538" s="216"/>
      <c r="N538" s="216"/>
    </row>
    <row r="539" spans="6:14" hidden="1" x14ac:dyDescent="0.2">
      <c r="G539" s="227"/>
      <c r="H539" s="127">
        <v>73894905.520000011</v>
      </c>
      <c r="K539" s="135"/>
      <c r="L539" s="216"/>
      <c r="M539" s="216"/>
      <c r="N539" s="216"/>
    </row>
    <row r="540" spans="6:14" hidden="1" x14ac:dyDescent="0.2">
      <c r="F540" s="229">
        <v>44985</v>
      </c>
      <c r="G540" s="227" t="s">
        <v>347</v>
      </c>
      <c r="H540" s="135">
        <f>H541-H539</f>
        <v>1372104.7599999905</v>
      </c>
      <c r="K540" s="135"/>
      <c r="L540" s="216"/>
      <c r="M540" s="216"/>
      <c r="N540" s="216"/>
    </row>
    <row r="541" spans="6:14" hidden="1" x14ac:dyDescent="0.2">
      <c r="G541" s="227"/>
      <c r="H541" s="127">
        <v>75267010.280000001</v>
      </c>
      <c r="K541" s="135"/>
      <c r="L541" s="216"/>
      <c r="M541" s="216"/>
      <c r="N541" s="216"/>
    </row>
    <row r="542" spans="6:14" hidden="1" x14ac:dyDescent="0.2">
      <c r="F542" s="229">
        <v>44985</v>
      </c>
      <c r="G542" s="216" t="s">
        <v>348</v>
      </c>
      <c r="H542" s="135">
        <f>H543-H541</f>
        <v>-6100</v>
      </c>
      <c r="K542" s="135"/>
      <c r="L542" s="216"/>
      <c r="M542" s="216"/>
      <c r="N542" s="216"/>
    </row>
    <row r="543" spans="6:14" hidden="1" x14ac:dyDescent="0.2">
      <c r="G543" s="232"/>
      <c r="H543" s="131">
        <v>75260910.280000001</v>
      </c>
    </row>
    <row r="544" spans="6:14" hidden="1" x14ac:dyDescent="0.2">
      <c r="F544" s="229">
        <v>44991</v>
      </c>
      <c r="G544" s="227" t="s">
        <v>349</v>
      </c>
      <c r="H544" s="135">
        <f>H545-H543</f>
        <v>156097.46000000834</v>
      </c>
    </row>
    <row r="545" spans="6:14" hidden="1" x14ac:dyDescent="0.2">
      <c r="G545" s="232"/>
      <c r="H545" s="131">
        <v>75417007.74000001</v>
      </c>
    </row>
    <row r="546" spans="6:14" hidden="1" x14ac:dyDescent="0.2">
      <c r="F546" s="229">
        <v>44992</v>
      </c>
      <c r="G546" s="232" t="s">
        <v>350</v>
      </c>
      <c r="H546" s="135">
        <f>H547-H545</f>
        <v>-1012.0300000011921</v>
      </c>
    </row>
    <row r="547" spans="6:14" hidden="1" x14ac:dyDescent="0.2">
      <c r="G547" s="232"/>
      <c r="H547" s="131">
        <v>75415995.710000008</v>
      </c>
    </row>
    <row r="548" spans="6:14" hidden="1" x14ac:dyDescent="0.2">
      <c r="F548" s="229">
        <v>44992</v>
      </c>
      <c r="G548" s="227" t="s">
        <v>351</v>
      </c>
      <c r="H548" s="135">
        <f>H549-H547</f>
        <v>1012.0300000011921</v>
      </c>
    </row>
    <row r="549" spans="6:14" hidden="1" x14ac:dyDescent="0.2">
      <c r="F549" s="229"/>
      <c r="G549" s="227"/>
      <c r="H549" s="131">
        <v>75417007.74000001</v>
      </c>
    </row>
    <row r="550" spans="6:14" hidden="1" x14ac:dyDescent="0.2">
      <c r="F550" s="229">
        <v>44998</v>
      </c>
      <c r="G550" s="227" t="s">
        <v>352</v>
      </c>
      <c r="H550" s="135">
        <f>H551-H549</f>
        <v>485387.75</v>
      </c>
    </row>
    <row r="551" spans="6:14" hidden="1" x14ac:dyDescent="0.2">
      <c r="F551" s="229"/>
      <c r="G551" s="227"/>
      <c r="H551" s="131">
        <v>75902395.49000001</v>
      </c>
    </row>
    <row r="552" spans="6:14" hidden="1" x14ac:dyDescent="0.2">
      <c r="F552" s="229">
        <v>45002</v>
      </c>
      <c r="G552" s="227" t="s">
        <v>353</v>
      </c>
      <c r="H552" s="135">
        <f>H553-H551</f>
        <v>32475.95000000298</v>
      </c>
    </row>
    <row r="553" spans="6:14" hidden="1" x14ac:dyDescent="0.2">
      <c r="F553" s="229"/>
      <c r="G553" s="227"/>
      <c r="H553" s="131">
        <v>75934871.440000013</v>
      </c>
    </row>
    <row r="554" spans="6:14" hidden="1" x14ac:dyDescent="0.2">
      <c r="F554" s="229">
        <v>45012</v>
      </c>
      <c r="G554" s="227" t="s">
        <v>354</v>
      </c>
      <c r="H554" s="135">
        <f>H555-H553</f>
        <v>1046761.7499999851</v>
      </c>
    </row>
    <row r="555" spans="6:14" hidden="1" x14ac:dyDescent="0.2">
      <c r="F555" s="229"/>
      <c r="G555" s="227"/>
      <c r="H555" s="131">
        <v>76981633.189999998</v>
      </c>
    </row>
    <row r="556" spans="6:14" hidden="1" x14ac:dyDescent="0.2">
      <c r="F556" s="229">
        <v>45036</v>
      </c>
      <c r="G556" s="227" t="s">
        <v>355</v>
      </c>
      <c r="H556" s="135">
        <f>H557-H555</f>
        <v>104233.43000000715</v>
      </c>
    </row>
    <row r="557" spans="6:14" hidden="1" x14ac:dyDescent="0.2">
      <c r="G557" s="232"/>
      <c r="H557" s="131">
        <v>77085866.620000005</v>
      </c>
    </row>
    <row r="558" spans="6:14" hidden="1" x14ac:dyDescent="0.2">
      <c r="F558" s="229">
        <v>45064</v>
      </c>
      <c r="G558" s="227" t="s">
        <v>356</v>
      </c>
      <c r="H558" s="135">
        <f>H559-H557</f>
        <v>1287764.2600000054</v>
      </c>
      <c r="K558" s="135"/>
      <c r="L558" s="216"/>
      <c r="M558" s="216"/>
      <c r="N558" s="216"/>
    </row>
    <row r="559" spans="6:14" hidden="1" x14ac:dyDescent="0.2">
      <c r="G559" s="125"/>
      <c r="H559" s="130">
        <v>78373630.88000001</v>
      </c>
      <c r="I559" s="132"/>
      <c r="J559" s="132"/>
      <c r="K559" s="132"/>
    </row>
    <row r="560" spans="6:14" hidden="1" x14ac:dyDescent="0.2">
      <c r="F560" s="229">
        <v>45071</v>
      </c>
      <c r="G560" s="227" t="s">
        <v>357</v>
      </c>
      <c r="H560" s="135">
        <f>H561-H559</f>
        <v>51221.820000007749</v>
      </c>
      <c r="I560" s="132"/>
      <c r="J560" s="132"/>
      <c r="K560" s="135"/>
      <c r="L560" s="216"/>
      <c r="M560" s="216"/>
      <c r="N560" s="216"/>
    </row>
    <row r="561" spans="6:14" hidden="1" x14ac:dyDescent="0.2">
      <c r="H561" s="233">
        <v>78424852.700000018</v>
      </c>
      <c r="I561" s="132"/>
      <c r="J561" s="132"/>
      <c r="K561" s="132"/>
    </row>
    <row r="562" spans="6:14" hidden="1" x14ac:dyDescent="0.2">
      <c r="F562" s="229">
        <v>45083</v>
      </c>
      <c r="G562" s="227" t="s">
        <v>358</v>
      </c>
      <c r="H562" s="135">
        <f>H563-H561</f>
        <v>3261405.4099999964</v>
      </c>
      <c r="K562" s="135"/>
      <c r="L562" s="216"/>
      <c r="M562" s="216"/>
      <c r="N562" s="216"/>
    </row>
    <row r="563" spans="6:14" hidden="1" x14ac:dyDescent="0.2">
      <c r="G563" s="234"/>
      <c r="H563" s="135">
        <v>81686258.110000014</v>
      </c>
    </row>
    <row r="564" spans="6:14" hidden="1" x14ac:dyDescent="0.2">
      <c r="F564" s="229">
        <v>45089</v>
      </c>
      <c r="G564" s="227" t="s">
        <v>359</v>
      </c>
      <c r="H564" s="135">
        <f>H565-H563</f>
        <v>2023124.599999994</v>
      </c>
    </row>
    <row r="565" spans="6:14" hidden="1" x14ac:dyDescent="0.2">
      <c r="G565" s="234"/>
      <c r="H565" s="135">
        <v>83709382.710000008</v>
      </c>
    </row>
    <row r="566" spans="6:14" hidden="1" x14ac:dyDescent="0.2">
      <c r="F566" s="229">
        <v>45099</v>
      </c>
      <c r="G566" s="227" t="s">
        <v>360</v>
      </c>
      <c r="H566" s="135">
        <f>H567-H565</f>
        <v>1487245.1300000101</v>
      </c>
    </row>
    <row r="567" spans="6:14" hidden="1" x14ac:dyDescent="0.2">
      <c r="G567" s="234"/>
      <c r="H567" s="135">
        <v>85196627.840000018</v>
      </c>
    </row>
    <row r="568" spans="6:14" hidden="1" x14ac:dyDescent="0.2">
      <c r="F568" s="229">
        <v>45114</v>
      </c>
      <c r="G568" s="227" t="s">
        <v>361</v>
      </c>
      <c r="H568" s="135">
        <f>H569-H567</f>
        <v>1327161.0199999958</v>
      </c>
    </row>
    <row r="569" spans="6:14" hidden="1" x14ac:dyDescent="0.2">
      <c r="G569" s="234"/>
      <c r="H569" s="135">
        <v>86523788.860000014</v>
      </c>
    </row>
    <row r="570" spans="6:14" hidden="1" x14ac:dyDescent="0.2">
      <c r="F570" s="229">
        <v>45125</v>
      </c>
      <c r="G570" s="234" t="s">
        <v>362</v>
      </c>
      <c r="H570" s="135">
        <f>H571-H569</f>
        <v>950516.68000000715</v>
      </c>
    </row>
    <row r="571" spans="6:14" hidden="1" x14ac:dyDescent="0.2">
      <c r="G571" s="235"/>
      <c r="H571" s="126">
        <v>87474305.540000021</v>
      </c>
      <c r="K571" s="135"/>
      <c r="L571" s="216"/>
      <c r="M571" s="216"/>
      <c r="N571" s="216"/>
    </row>
    <row r="572" spans="6:14" hidden="1" x14ac:dyDescent="0.2">
      <c r="F572" s="229">
        <v>45127</v>
      </c>
      <c r="G572" s="234" t="s">
        <v>363</v>
      </c>
      <c r="H572" s="135">
        <f>H573-H571</f>
        <v>25155.279999986291</v>
      </c>
      <c r="J572" s="236"/>
      <c r="K572" s="135"/>
      <c r="L572" s="216"/>
      <c r="M572" s="216"/>
      <c r="N572" s="216"/>
    </row>
    <row r="573" spans="6:14" hidden="1" x14ac:dyDescent="0.2">
      <c r="G573" s="235"/>
      <c r="H573" s="237">
        <v>87499460.820000008</v>
      </c>
      <c r="J573" s="237"/>
      <c r="K573" s="135"/>
      <c r="L573" s="216"/>
      <c r="M573" s="216"/>
      <c r="N573" s="216"/>
    </row>
    <row r="574" spans="6:14" hidden="1" x14ac:dyDescent="0.2">
      <c r="F574" s="229">
        <v>45142</v>
      </c>
      <c r="G574" s="234" t="s">
        <v>377</v>
      </c>
      <c r="H574" s="135">
        <f>H575-H573</f>
        <v>2177558.8700000048</v>
      </c>
      <c r="J574" s="238"/>
      <c r="K574" s="135"/>
      <c r="L574" s="216"/>
      <c r="M574" s="216"/>
      <c r="N574" s="216"/>
    </row>
    <row r="575" spans="6:14" hidden="1" x14ac:dyDescent="0.2">
      <c r="G575" s="235"/>
      <c r="H575" s="135">
        <v>89677019.690000013</v>
      </c>
      <c r="K575" s="135"/>
      <c r="L575" s="216"/>
      <c r="M575" s="216"/>
      <c r="N575" s="216"/>
    </row>
    <row r="576" spans="6:14" hidden="1" x14ac:dyDescent="0.2">
      <c r="F576" s="229">
        <v>45149</v>
      </c>
      <c r="G576" s="255" t="s">
        <v>378</v>
      </c>
      <c r="H576" s="135">
        <f>H577-H575</f>
        <v>-32989.34999999404</v>
      </c>
      <c r="J576" s="127" t="s">
        <v>388</v>
      </c>
      <c r="K576" s="135"/>
      <c r="L576" s="216"/>
      <c r="M576" s="216"/>
      <c r="N576" s="216"/>
    </row>
    <row r="577" spans="6:14" hidden="1" x14ac:dyDescent="0.2">
      <c r="G577" s="235"/>
      <c r="H577" s="126">
        <v>89644030.340000018</v>
      </c>
      <c r="K577" s="135"/>
      <c r="L577" s="216"/>
      <c r="M577" s="216"/>
      <c r="N577" s="216"/>
    </row>
    <row r="578" spans="6:14" hidden="1" x14ac:dyDescent="0.2">
      <c r="F578" s="229">
        <v>45152</v>
      </c>
      <c r="G578" s="234" t="s">
        <v>380</v>
      </c>
      <c r="H578" s="135">
        <f>H579-H577</f>
        <v>32989.34999999404</v>
      </c>
      <c r="J578" s="126" t="s">
        <v>389</v>
      </c>
    </row>
    <row r="579" spans="6:14" hidden="1" x14ac:dyDescent="0.2">
      <c r="H579" s="127">
        <v>89677019.690000013</v>
      </c>
      <c r="K579" s="135"/>
      <c r="L579" s="216"/>
      <c r="M579" s="216"/>
      <c r="N579" s="216"/>
    </row>
    <row r="580" spans="6:14" hidden="1" x14ac:dyDescent="0.2">
      <c r="F580" s="229">
        <v>45152</v>
      </c>
      <c r="G580" s="234" t="s">
        <v>382</v>
      </c>
      <c r="H580" s="135">
        <f>H581-H579</f>
        <v>806749.12000000477</v>
      </c>
    </row>
    <row r="581" spans="6:14" hidden="1" x14ac:dyDescent="0.2">
      <c r="H581" s="127">
        <v>90483768.810000017</v>
      </c>
      <c r="K581" s="135"/>
      <c r="L581" s="228"/>
      <c r="M581" s="228"/>
      <c r="N581" s="228"/>
    </row>
    <row r="582" spans="6:14" hidden="1" x14ac:dyDescent="0.2">
      <c r="F582" s="229">
        <v>45159</v>
      </c>
      <c r="G582" s="234" t="s">
        <v>390</v>
      </c>
      <c r="H582" s="127">
        <f>H583-H581</f>
        <v>1156164.3799999952</v>
      </c>
    </row>
    <row r="583" spans="6:14" hidden="1" x14ac:dyDescent="0.2">
      <c r="H583" s="127">
        <v>91639933.190000013</v>
      </c>
      <c r="K583" s="135"/>
      <c r="L583" s="216"/>
      <c r="M583" s="216"/>
      <c r="N583" s="216"/>
    </row>
    <row r="584" spans="6:14" hidden="1" x14ac:dyDescent="0.2">
      <c r="F584" s="229">
        <v>45163</v>
      </c>
      <c r="G584" s="234" t="s">
        <v>391</v>
      </c>
      <c r="H584" s="127">
        <f>H585-H583</f>
        <v>148935.10000000894</v>
      </c>
      <c r="K584" s="135"/>
      <c r="L584" s="216"/>
      <c r="M584" s="216"/>
      <c r="N584" s="216"/>
    </row>
    <row r="585" spans="6:14" hidden="1" x14ac:dyDescent="0.2">
      <c r="H585" s="127">
        <v>91788868.290000021</v>
      </c>
      <c r="K585" s="135"/>
      <c r="L585" s="216"/>
      <c r="M585" s="216"/>
      <c r="N585" s="216"/>
    </row>
    <row r="586" spans="6:14" hidden="1" x14ac:dyDescent="0.2">
      <c r="F586" s="229">
        <v>45168</v>
      </c>
      <c r="G586" s="234" t="s">
        <v>392</v>
      </c>
      <c r="H586" s="127">
        <f>H587-H585</f>
        <v>84368</v>
      </c>
      <c r="K586" s="135"/>
      <c r="L586" s="216"/>
      <c r="M586" s="216"/>
      <c r="N586" s="216"/>
    </row>
    <row r="587" spans="6:14" hidden="1" x14ac:dyDescent="0.2">
      <c r="H587" s="127">
        <v>91873236.290000021</v>
      </c>
      <c r="K587" s="135"/>
      <c r="L587" s="216"/>
      <c r="M587" s="216"/>
      <c r="N587" s="216"/>
    </row>
    <row r="588" spans="6:14" hidden="1" x14ac:dyDescent="0.2">
      <c r="F588" s="229">
        <v>45169</v>
      </c>
      <c r="G588" s="234" t="s">
        <v>393</v>
      </c>
      <c r="H588" s="127">
        <f>H589-H587</f>
        <v>953872.83999998868</v>
      </c>
      <c r="K588" s="135"/>
      <c r="L588" s="216"/>
      <c r="M588" s="216"/>
      <c r="N588" s="216"/>
    </row>
    <row r="589" spans="6:14" hidden="1" x14ac:dyDescent="0.2">
      <c r="H589" s="127">
        <v>92827109.13000001</v>
      </c>
      <c r="K589" s="135"/>
      <c r="L589" s="216"/>
      <c r="M589" s="216"/>
      <c r="N589" s="216"/>
    </row>
    <row r="590" spans="6:14" hidden="1" x14ac:dyDescent="0.2">
      <c r="F590" s="229">
        <v>45176</v>
      </c>
      <c r="G590" s="234" t="s">
        <v>394</v>
      </c>
      <c r="H590" s="127">
        <f>H591-H589</f>
        <v>962969.28000000119</v>
      </c>
      <c r="K590" s="135"/>
      <c r="L590" s="216"/>
      <c r="M590" s="216"/>
      <c r="N590" s="216"/>
    </row>
    <row r="591" spans="6:14" hidden="1" x14ac:dyDescent="0.2">
      <c r="H591" s="127">
        <v>93790078.410000011</v>
      </c>
      <c r="K591" s="135"/>
      <c r="L591" s="216"/>
      <c r="M591" s="216"/>
      <c r="N591" s="216"/>
    </row>
    <row r="592" spans="6:14" hidden="1" x14ac:dyDescent="0.2">
      <c r="F592" s="229">
        <v>45184</v>
      </c>
      <c r="G592" s="234" t="s">
        <v>395</v>
      </c>
      <c r="H592" s="127">
        <f>H593-H591</f>
        <v>488689.38000001013</v>
      </c>
      <c r="K592" s="135"/>
      <c r="L592" s="216"/>
      <c r="M592" s="216"/>
      <c r="N592" s="216"/>
    </row>
    <row r="593" spans="2:14" hidden="1" x14ac:dyDescent="0.2">
      <c r="H593" s="166">
        <v>94278767.790000021</v>
      </c>
      <c r="K593" s="135"/>
      <c r="L593" s="216"/>
      <c r="M593" s="216"/>
      <c r="N593" s="216"/>
    </row>
    <row r="594" spans="2:14" hidden="1" x14ac:dyDescent="0.2">
      <c r="F594" s="229">
        <v>45191</v>
      </c>
      <c r="G594" s="234" t="s">
        <v>396</v>
      </c>
      <c r="H594" s="127">
        <f>H595-H593</f>
        <v>1435749.6499999911</v>
      </c>
      <c r="K594" s="135"/>
      <c r="L594" s="216"/>
      <c r="M594" s="216"/>
      <c r="N594" s="216"/>
    </row>
    <row r="595" spans="2:14" hidden="1" x14ac:dyDescent="0.2">
      <c r="H595" s="127">
        <v>95714517.440000013</v>
      </c>
      <c r="K595" s="135"/>
      <c r="L595" s="216"/>
      <c r="M595" s="216"/>
      <c r="N595" s="216"/>
    </row>
    <row r="596" spans="2:14" hidden="1" x14ac:dyDescent="0.2">
      <c r="F596" s="229">
        <v>45195</v>
      </c>
      <c r="G596" s="217" t="s">
        <v>330</v>
      </c>
      <c r="H596" s="127">
        <f>H597-H595</f>
        <v>-67293.250000014901</v>
      </c>
      <c r="J596" s="126" t="s">
        <v>397</v>
      </c>
      <c r="K596" s="135"/>
      <c r="L596" s="216"/>
      <c r="M596" s="216"/>
      <c r="N596" s="216"/>
    </row>
    <row r="597" spans="2:14" hidden="1" x14ac:dyDescent="0.2">
      <c r="H597" s="127">
        <v>95647224.189999998</v>
      </c>
      <c r="K597" s="135"/>
      <c r="L597" s="216"/>
      <c r="M597" s="216"/>
      <c r="N597" s="216"/>
    </row>
    <row r="598" spans="2:14" hidden="1" x14ac:dyDescent="0.2">
      <c r="F598" s="229">
        <v>45198</v>
      </c>
      <c r="G598" s="234" t="s">
        <v>398</v>
      </c>
      <c r="H598" s="127">
        <f>H599-H597</f>
        <v>577097.71000000834</v>
      </c>
      <c r="K598" s="135"/>
      <c r="L598" s="216"/>
      <c r="M598" s="216"/>
      <c r="N598" s="216"/>
    </row>
    <row r="599" spans="2:14" hidden="1" x14ac:dyDescent="0.2">
      <c r="F599" s="240"/>
      <c r="G599" s="217"/>
      <c r="H599" s="264">
        <v>96224321.900000006</v>
      </c>
    </row>
    <row r="600" spans="2:14" hidden="1" x14ac:dyDescent="0.2">
      <c r="B600" s="241" t="s">
        <v>368</v>
      </c>
      <c r="C600" s="242"/>
      <c r="F600" s="240"/>
      <c r="G600" s="217"/>
      <c r="K600" s="135"/>
      <c r="L600" s="216"/>
      <c r="M600" s="216"/>
      <c r="N600" s="216"/>
    </row>
    <row r="601" spans="2:14" hidden="1" x14ac:dyDescent="0.2">
      <c r="B601" s="243" t="s">
        <v>369</v>
      </c>
      <c r="C601" s="244">
        <f>L440</f>
        <v>138375505.02699998</v>
      </c>
      <c r="F601" s="240"/>
      <c r="G601" s="217"/>
    </row>
    <row r="602" spans="2:14" hidden="1" x14ac:dyDescent="0.2">
      <c r="B602" s="243" t="s">
        <v>370</v>
      </c>
      <c r="C602" s="245">
        <v>222960077.53999999</v>
      </c>
      <c r="G602" s="217"/>
      <c r="K602" s="135"/>
      <c r="L602" s="216"/>
      <c r="M602" s="216"/>
      <c r="N602" s="216"/>
    </row>
    <row r="603" spans="2:14" hidden="1" x14ac:dyDescent="0.2">
      <c r="B603" s="243" t="s">
        <v>371</v>
      </c>
      <c r="C603" s="246">
        <f>H558+H560</f>
        <v>1338986.0800000131</v>
      </c>
      <c r="G603" s="217"/>
    </row>
    <row r="604" spans="2:14" hidden="1" x14ac:dyDescent="0.2">
      <c r="B604" s="243" t="s">
        <v>372</v>
      </c>
      <c r="C604" s="126">
        <f>C602-C603-C601</f>
        <v>83245586.432999998</v>
      </c>
      <c r="G604" s="217"/>
      <c r="K604" s="135"/>
      <c r="L604" s="216"/>
      <c r="M604" s="216"/>
      <c r="N604" s="216"/>
    </row>
    <row r="605" spans="2:14" hidden="1" x14ac:dyDescent="0.2">
      <c r="B605" s="247"/>
      <c r="C605" s="248"/>
      <c r="G605" s="217"/>
      <c r="K605" s="166"/>
    </row>
    <row r="606" spans="2:14" hidden="1" x14ac:dyDescent="0.2">
      <c r="B606" s="247"/>
      <c r="C606" s="246"/>
      <c r="G606" s="217"/>
      <c r="K606" s="135"/>
      <c r="L606" s="216"/>
      <c r="M606" s="216"/>
      <c r="N606" s="216"/>
    </row>
    <row r="607" spans="2:14" hidden="1" x14ac:dyDescent="0.2">
      <c r="B607" s="247"/>
      <c r="C607" s="246"/>
      <c r="L607" s="228"/>
      <c r="M607" s="228"/>
      <c r="N607" s="228"/>
    </row>
    <row r="608" spans="2:14" hidden="1" x14ac:dyDescent="0.2">
      <c r="B608" s="247" t="s">
        <v>373</v>
      </c>
      <c r="C608" s="246">
        <f>78424852.7-324504.25</f>
        <v>78100348.450000003</v>
      </c>
      <c r="K608" s="135"/>
      <c r="L608" s="216"/>
      <c r="M608" s="216"/>
      <c r="N608" s="216"/>
    </row>
    <row r="609" spans="2:15" hidden="1" x14ac:dyDescent="0.2">
      <c r="B609" s="247" t="s">
        <v>374</v>
      </c>
      <c r="C609" s="246">
        <f>34060851.92+42700510.45</f>
        <v>76761362.370000005</v>
      </c>
      <c r="L609" s="228"/>
      <c r="M609" s="228"/>
      <c r="N609" s="228"/>
    </row>
    <row r="610" spans="2:15" hidden="1" x14ac:dyDescent="0.2">
      <c r="B610" s="247" t="s">
        <v>375</v>
      </c>
      <c r="C610" s="246">
        <f>C608-C609</f>
        <v>1338986.0799999982</v>
      </c>
      <c r="K610" s="135"/>
      <c r="L610" s="216"/>
      <c r="M610" s="216"/>
      <c r="N610" s="216"/>
    </row>
    <row r="611" spans="2:15" ht="13.5" hidden="1" thickBot="1" x14ac:dyDescent="0.25">
      <c r="B611" s="249" t="s">
        <v>376</v>
      </c>
      <c r="C611" s="250">
        <f>C610-C603</f>
        <v>-1.4901161193847656E-8</v>
      </c>
      <c r="L611" s="228"/>
      <c r="M611" s="228"/>
      <c r="N611" s="228"/>
    </row>
    <row r="612" spans="2:15" hidden="1" x14ac:dyDescent="0.2">
      <c r="C612" s="222"/>
      <c r="F612" s="229">
        <v>45204</v>
      </c>
      <c r="G612" s="234" t="s">
        <v>399</v>
      </c>
      <c r="H612" s="127">
        <f>H613-H599</f>
        <v>1120261.4399999976</v>
      </c>
      <c r="L612" s="228"/>
      <c r="M612" s="228"/>
      <c r="N612" s="228"/>
    </row>
    <row r="613" spans="2:15" hidden="1" x14ac:dyDescent="0.2">
      <c r="C613" s="222"/>
      <c r="H613" s="264">
        <v>97344583.340000004</v>
      </c>
      <c r="J613" s="127" t="s">
        <v>400</v>
      </c>
      <c r="L613" s="228"/>
      <c r="M613" s="228"/>
      <c r="N613" s="228"/>
    </row>
    <row r="614" spans="2:15" hidden="1" x14ac:dyDescent="0.2">
      <c r="C614" s="222"/>
      <c r="F614" s="229">
        <v>45211</v>
      </c>
      <c r="G614" s="227" t="s">
        <v>401</v>
      </c>
      <c r="H614" s="127">
        <f>H615-H613</f>
        <v>467351.49000000954</v>
      </c>
      <c r="L614" s="228"/>
      <c r="M614" s="228"/>
      <c r="N614" s="228"/>
    </row>
    <row r="615" spans="2:15" hidden="1" x14ac:dyDescent="0.2">
      <c r="C615" s="222"/>
      <c r="H615" s="264">
        <v>97811934.830000013</v>
      </c>
      <c r="L615" s="228"/>
      <c r="M615" s="228"/>
      <c r="N615" s="228"/>
    </row>
    <row r="616" spans="2:15" hidden="1" x14ac:dyDescent="0.2">
      <c r="C616" s="222"/>
      <c r="F616" s="229">
        <v>45217</v>
      </c>
      <c r="G616" s="227" t="s">
        <v>402</v>
      </c>
      <c r="H616" s="127">
        <f>H617-H615</f>
        <v>372531.25999999046</v>
      </c>
      <c r="L616" s="228"/>
      <c r="M616" s="228"/>
      <c r="N616" s="228"/>
    </row>
    <row r="617" spans="2:15" hidden="1" x14ac:dyDescent="0.2">
      <c r="C617" s="222"/>
      <c r="H617" s="264">
        <v>98184466.090000004</v>
      </c>
      <c r="L617" s="228"/>
      <c r="M617" s="228"/>
      <c r="N617" s="228"/>
    </row>
    <row r="618" spans="2:15" hidden="1" x14ac:dyDescent="0.2">
      <c r="C618" s="222"/>
      <c r="F618" s="229">
        <v>45225</v>
      </c>
      <c r="G618" s="227" t="s">
        <v>403</v>
      </c>
      <c r="H618" s="127">
        <f>H619-H617</f>
        <v>2160978.9399999976</v>
      </c>
      <c r="L618" s="228"/>
      <c r="M618" s="228"/>
      <c r="N618" s="228"/>
    </row>
    <row r="619" spans="2:15" hidden="1" x14ac:dyDescent="0.2">
      <c r="C619" s="222"/>
      <c r="H619" s="264">
        <v>100345445.03</v>
      </c>
      <c r="L619" s="228"/>
      <c r="M619" s="228"/>
      <c r="N619" s="228"/>
    </row>
    <row r="620" spans="2:15" hidden="1" x14ac:dyDescent="0.2">
      <c r="C620" s="222"/>
      <c r="F620" s="229">
        <v>45232</v>
      </c>
      <c r="G620" s="227" t="s">
        <v>404</v>
      </c>
      <c r="H620" s="127">
        <f>H621-H619</f>
        <v>159766.51000002027</v>
      </c>
      <c r="L620" s="228"/>
      <c r="M620" s="228"/>
      <c r="N620" s="228"/>
    </row>
    <row r="621" spans="2:15" hidden="1" x14ac:dyDescent="0.2">
      <c r="C621" s="222"/>
      <c r="H621" s="264">
        <v>100505211.54000002</v>
      </c>
      <c r="L621" s="228"/>
      <c r="M621" s="228"/>
      <c r="N621" s="228"/>
    </row>
    <row r="622" spans="2:15" hidden="1" x14ac:dyDescent="0.2">
      <c r="C622" s="222"/>
      <c r="F622" s="229">
        <v>45238</v>
      </c>
      <c r="G622" s="227" t="s">
        <v>405</v>
      </c>
      <c r="H622" s="264">
        <f>H623-H621</f>
        <v>1492704.0599999875</v>
      </c>
      <c r="L622" s="228"/>
      <c r="M622" s="228"/>
      <c r="N622" s="228"/>
    </row>
    <row r="623" spans="2:15" hidden="1" x14ac:dyDescent="0.2">
      <c r="C623" s="222"/>
      <c r="H623" s="166">
        <v>101997915.60000001</v>
      </c>
      <c r="N623" s="166"/>
      <c r="O623" s="126"/>
    </row>
    <row r="624" spans="2:15" hidden="1" x14ac:dyDescent="0.2">
      <c r="C624" s="222"/>
      <c r="F624" s="229">
        <v>45245</v>
      </c>
      <c r="G624" s="227" t="s">
        <v>406</v>
      </c>
      <c r="H624" s="127">
        <f>H625-H623</f>
        <v>826615.79999999702</v>
      </c>
      <c r="L624" s="229"/>
      <c r="M624" s="227"/>
      <c r="N624" s="131"/>
      <c r="O624" s="126"/>
    </row>
    <row r="625" spans="3:15" hidden="1" x14ac:dyDescent="0.2">
      <c r="C625" s="222"/>
      <c r="H625" s="127">
        <v>102824531.40000001</v>
      </c>
      <c r="N625" s="131"/>
      <c r="O625" s="126"/>
    </row>
    <row r="626" spans="3:15" hidden="1" x14ac:dyDescent="0.2">
      <c r="C626" s="222"/>
      <c r="F626" s="229">
        <v>45244</v>
      </c>
      <c r="G626" s="217" t="s">
        <v>407</v>
      </c>
      <c r="H626" s="127">
        <f>H627-H625</f>
        <v>-293864.98999999464</v>
      </c>
      <c r="J626" s="126" t="s">
        <v>408</v>
      </c>
      <c r="L626" s="229"/>
      <c r="M626" s="217"/>
      <c r="N626" s="131"/>
      <c r="O626" s="126"/>
    </row>
    <row r="627" spans="3:15" hidden="1" x14ac:dyDescent="0.2">
      <c r="H627" s="127">
        <v>102530666.41000001</v>
      </c>
      <c r="K627" s="135"/>
      <c r="N627" s="131"/>
      <c r="O627" s="126"/>
    </row>
    <row r="628" spans="3:15" hidden="1" x14ac:dyDescent="0.2">
      <c r="F628" s="229">
        <v>45244</v>
      </c>
      <c r="G628" s="217" t="s">
        <v>407</v>
      </c>
      <c r="H628" s="127">
        <f>H629-H627</f>
        <v>-855</v>
      </c>
      <c r="J628" s="127" t="s">
        <v>409</v>
      </c>
      <c r="K628" s="135"/>
      <c r="L628" s="229"/>
      <c r="M628" s="217"/>
      <c r="N628" s="131"/>
      <c r="O628" s="126"/>
    </row>
    <row r="629" spans="3:15" hidden="1" x14ac:dyDescent="0.2">
      <c r="H629" s="127">
        <v>102529811.41000001</v>
      </c>
      <c r="K629" s="135"/>
      <c r="N629" s="131"/>
      <c r="O629" s="126"/>
    </row>
    <row r="630" spans="3:15" hidden="1" x14ac:dyDescent="0.2">
      <c r="F630" s="229">
        <v>45251</v>
      </c>
      <c r="G630" s="227" t="s">
        <v>410</v>
      </c>
      <c r="H630" s="127">
        <f>H631-H629</f>
        <v>1839664.6299999952</v>
      </c>
      <c r="L630" s="229"/>
      <c r="M630" s="227"/>
      <c r="N630" s="131"/>
      <c r="O630" s="126"/>
    </row>
    <row r="631" spans="3:15" hidden="1" x14ac:dyDescent="0.2">
      <c r="H631" s="127">
        <v>104369476.04000001</v>
      </c>
      <c r="N631" s="131"/>
      <c r="O631" s="126"/>
    </row>
    <row r="632" spans="3:15" hidden="1" x14ac:dyDescent="0.2">
      <c r="F632" s="229">
        <v>45259</v>
      </c>
      <c r="G632" s="227" t="s">
        <v>411</v>
      </c>
      <c r="H632" s="127">
        <f>H633-H631</f>
        <v>49081.579999998212</v>
      </c>
      <c r="L632" s="229"/>
      <c r="M632" s="227"/>
      <c r="N632" s="131"/>
      <c r="O632" s="126"/>
    </row>
    <row r="633" spans="3:15" x14ac:dyDescent="0.2">
      <c r="H633" s="127">
        <v>104418557.62</v>
      </c>
      <c r="N633" s="127"/>
      <c r="O633" s="126"/>
    </row>
    <row r="634" spans="3:15" x14ac:dyDescent="0.2">
      <c r="F634" s="229">
        <v>45259</v>
      </c>
      <c r="G634" s="137" t="s">
        <v>412</v>
      </c>
      <c r="H634" s="127">
        <f>H635-H633</f>
        <v>-36252.560000002384</v>
      </c>
      <c r="O634" s="229"/>
    </row>
    <row r="635" spans="3:15" x14ac:dyDescent="0.2">
      <c r="F635" s="229"/>
      <c r="H635" s="127">
        <v>104382305.06</v>
      </c>
    </row>
    <row r="636" spans="3:15" x14ac:dyDescent="0.2">
      <c r="F636" s="229">
        <v>45266</v>
      </c>
      <c r="G636" s="227" t="s">
        <v>413</v>
      </c>
      <c r="H636" s="127">
        <f>H637-H635</f>
        <v>675631.36000001431</v>
      </c>
      <c r="L636" s="229"/>
      <c r="N636" s="127"/>
      <c r="O636" s="126"/>
    </row>
    <row r="637" spans="3:15" x14ac:dyDescent="0.2">
      <c r="H637" s="127">
        <v>105057936.42000002</v>
      </c>
      <c r="L637" s="229"/>
      <c r="N637" s="127"/>
      <c r="O637" s="126"/>
    </row>
    <row r="638" spans="3:15" x14ac:dyDescent="0.2">
      <c r="F638" s="229">
        <v>45267</v>
      </c>
      <c r="G638" s="137" t="s">
        <v>412</v>
      </c>
      <c r="H638" s="127">
        <f>H639-H637</f>
        <v>-69833.360000014305</v>
      </c>
      <c r="L638" s="229"/>
      <c r="N638" s="127"/>
      <c r="O638" s="126"/>
    </row>
    <row r="639" spans="3:15" x14ac:dyDescent="0.2">
      <c r="H639" s="127">
        <v>104988103.06</v>
      </c>
      <c r="L639" s="229"/>
      <c r="N639" s="127"/>
      <c r="O639" s="126"/>
    </row>
    <row r="640" spans="3:15" x14ac:dyDescent="0.2">
      <c r="F640" s="229">
        <v>45267</v>
      </c>
      <c r="G640" s="227" t="s">
        <v>414</v>
      </c>
      <c r="H640" s="127">
        <f>H641-H639</f>
        <v>69833.360000014305</v>
      </c>
      <c r="L640" s="228"/>
      <c r="M640" s="228"/>
      <c r="N640" s="228"/>
    </row>
    <row r="641" spans="6:14" x14ac:dyDescent="0.2">
      <c r="H641" s="127">
        <v>105057936.42000002</v>
      </c>
      <c r="L641" s="228"/>
      <c r="M641" s="228"/>
      <c r="N641" s="228"/>
    </row>
    <row r="642" spans="6:14" x14ac:dyDescent="0.2">
      <c r="F642" s="229">
        <v>45273</v>
      </c>
      <c r="G642" s="227" t="s">
        <v>415</v>
      </c>
      <c r="H642" s="127">
        <f>H643-H641</f>
        <v>454944.54999999702</v>
      </c>
      <c r="L642" s="228"/>
      <c r="M642" s="228"/>
      <c r="N642" s="228"/>
    </row>
    <row r="643" spans="6:14" x14ac:dyDescent="0.2">
      <c r="H643" s="127">
        <v>105512880.97000001</v>
      </c>
      <c r="L643" s="228"/>
      <c r="M643" s="228"/>
      <c r="N643" s="228"/>
    </row>
    <row r="644" spans="6:14" x14ac:dyDescent="0.2">
      <c r="G644" s="217" t="s">
        <v>416</v>
      </c>
      <c r="H644" s="127">
        <f>H645-H643</f>
        <v>-820349.2500000149</v>
      </c>
      <c r="L644" s="228"/>
      <c r="M644" s="228"/>
      <c r="N644" s="228"/>
    </row>
    <row r="645" spans="6:14" x14ac:dyDescent="0.2">
      <c r="H645" s="127">
        <v>104692531.72</v>
      </c>
      <c r="L645" s="228"/>
      <c r="M645" s="228"/>
      <c r="N645" s="228"/>
    </row>
    <row r="646" spans="6:14" x14ac:dyDescent="0.2">
      <c r="F646" s="229">
        <v>45275</v>
      </c>
      <c r="G646" s="227" t="s">
        <v>417</v>
      </c>
      <c r="H646" s="127">
        <f>H647-H645</f>
        <v>3101904.5500000119</v>
      </c>
      <c r="L646" s="228"/>
      <c r="M646" s="228"/>
      <c r="N646" s="228"/>
    </row>
    <row r="647" spans="6:14" x14ac:dyDescent="0.2">
      <c r="H647" s="127">
        <v>107794436.27000001</v>
      </c>
      <c r="L647" s="228"/>
      <c r="M647" s="228"/>
      <c r="N647" s="228"/>
    </row>
    <row r="648" spans="6:14" x14ac:dyDescent="0.2">
      <c r="F648" s="229">
        <v>45295</v>
      </c>
      <c r="G648" s="227" t="s">
        <v>418</v>
      </c>
      <c r="H648" s="127">
        <f>H649-H647</f>
        <v>1000616.7700000107</v>
      </c>
      <c r="L648" s="228"/>
      <c r="M648" s="228"/>
      <c r="N648" s="228"/>
    </row>
    <row r="649" spans="6:14" x14ac:dyDescent="0.2">
      <c r="H649" s="127">
        <v>108795053.04000002</v>
      </c>
      <c r="L649" s="228"/>
      <c r="M649" s="228"/>
      <c r="N649" s="228"/>
    </row>
    <row r="650" spans="6:14" x14ac:dyDescent="0.2">
      <c r="F650" s="229">
        <v>45302</v>
      </c>
      <c r="G650" s="227" t="s">
        <v>419</v>
      </c>
      <c r="H650" s="127">
        <f>H651-H649</f>
        <v>203555.62999999523</v>
      </c>
      <c r="L650" s="228"/>
      <c r="M650" s="228"/>
      <c r="N650" s="228"/>
    </row>
    <row r="651" spans="6:14" x14ac:dyDescent="0.2">
      <c r="H651" s="127">
        <v>108998608.67000002</v>
      </c>
      <c r="L651" s="228"/>
      <c r="M651" s="228"/>
      <c r="N651" s="228"/>
    </row>
    <row r="652" spans="6:14" x14ac:dyDescent="0.2">
      <c r="F652" s="229">
        <v>45302</v>
      </c>
      <c r="G652" s="137" t="s">
        <v>412</v>
      </c>
      <c r="H652" s="127">
        <f>H653-H651</f>
        <v>-17286.469999998808</v>
      </c>
      <c r="L652" s="228"/>
      <c r="M652" s="228"/>
      <c r="N652" s="228"/>
    </row>
    <row r="653" spans="6:14" x14ac:dyDescent="0.2">
      <c r="H653" s="127">
        <v>108981322.20000002</v>
      </c>
      <c r="L653" s="228"/>
      <c r="M653" s="228"/>
      <c r="N653" s="228"/>
    </row>
    <row r="654" spans="6:14" x14ac:dyDescent="0.2">
      <c r="F654" s="229">
        <v>45303</v>
      </c>
      <c r="G654" s="227" t="s">
        <v>420</v>
      </c>
      <c r="H654" s="127">
        <f>H655-H653</f>
        <v>911887.82999998331</v>
      </c>
      <c r="L654" s="228"/>
      <c r="M654" s="228"/>
      <c r="N654" s="228"/>
    </row>
    <row r="655" spans="6:14" x14ac:dyDescent="0.2">
      <c r="H655" s="127">
        <v>109893210.03</v>
      </c>
      <c r="L655" s="228"/>
      <c r="M655" s="228"/>
      <c r="N655" s="228"/>
    </row>
    <row r="656" spans="6:14" x14ac:dyDescent="0.2">
      <c r="F656" s="229">
        <v>45309</v>
      </c>
      <c r="G656" s="227" t="s">
        <v>421</v>
      </c>
      <c r="H656" s="127">
        <f>H657-H655</f>
        <v>19211.810000002384</v>
      </c>
      <c r="L656" s="228"/>
      <c r="M656" s="228"/>
      <c r="N656" s="228"/>
    </row>
    <row r="657" spans="6:14" x14ac:dyDescent="0.2">
      <c r="H657" s="127">
        <v>109912421.84</v>
      </c>
      <c r="L657" s="228"/>
      <c r="M657" s="228"/>
      <c r="N657" s="228"/>
    </row>
    <row r="658" spans="6:14" x14ac:dyDescent="0.2">
      <c r="F658" s="229">
        <v>45316</v>
      </c>
      <c r="G658" s="227" t="s">
        <v>422</v>
      </c>
      <c r="H658" s="127">
        <f>H659-H657</f>
        <v>213093.65999999642</v>
      </c>
      <c r="L658" s="228"/>
      <c r="M658" s="228"/>
      <c r="N658" s="228"/>
    </row>
    <row r="659" spans="6:14" x14ac:dyDescent="0.2">
      <c r="H659" s="127">
        <v>110125515.5</v>
      </c>
      <c r="L659" s="228"/>
      <c r="M659" s="228"/>
      <c r="N659" s="228"/>
    </row>
    <row r="660" spans="6:14" x14ac:dyDescent="0.2">
      <c r="F660" s="229">
        <v>45321</v>
      </c>
      <c r="G660" s="227" t="s">
        <v>423</v>
      </c>
      <c r="H660" s="127">
        <f>H661-H659</f>
        <v>92727.530000001192</v>
      </c>
      <c r="L660" s="228"/>
      <c r="M660" s="228"/>
      <c r="N660" s="228"/>
    </row>
    <row r="661" spans="6:14" x14ac:dyDescent="0.2">
      <c r="H661" s="127">
        <v>110218243.03</v>
      </c>
      <c r="L661" s="228"/>
      <c r="M661" s="228"/>
      <c r="N661" s="228"/>
    </row>
    <row r="662" spans="6:14" x14ac:dyDescent="0.2">
      <c r="F662" s="229">
        <v>45324</v>
      </c>
      <c r="G662" s="227" t="s">
        <v>424</v>
      </c>
      <c r="H662" s="127">
        <f>H663-H661</f>
        <v>31445</v>
      </c>
      <c r="L662" s="228"/>
      <c r="M662" s="228"/>
      <c r="N662" s="228"/>
    </row>
    <row r="663" spans="6:14" x14ac:dyDescent="0.2">
      <c r="H663" s="127">
        <v>110249688.03</v>
      </c>
      <c r="L663" s="228"/>
      <c r="M663" s="228"/>
      <c r="N663" s="228"/>
    </row>
    <row r="664" spans="6:14" x14ac:dyDescent="0.2">
      <c r="F664" s="229">
        <v>45328</v>
      </c>
      <c r="G664" s="227" t="s">
        <v>425</v>
      </c>
      <c r="H664" s="127">
        <f>H665-H663</f>
        <v>851166.95000001788</v>
      </c>
      <c r="L664" s="228"/>
      <c r="M664" s="228"/>
      <c r="N664" s="228"/>
    </row>
    <row r="665" spans="6:14" x14ac:dyDescent="0.2">
      <c r="H665" s="127">
        <v>111100854.98000002</v>
      </c>
      <c r="L665" s="228"/>
      <c r="M665" s="228"/>
      <c r="N665" s="228"/>
    </row>
    <row r="666" spans="6:14" x14ac:dyDescent="0.2">
      <c r="F666" s="229">
        <v>45330</v>
      </c>
      <c r="G666" s="227" t="s">
        <v>426</v>
      </c>
      <c r="H666" s="127">
        <f>H667-H665</f>
        <v>118855.42999997735</v>
      </c>
      <c r="L666" s="228"/>
      <c r="M666" s="228"/>
      <c r="N666" s="228"/>
    </row>
    <row r="667" spans="6:14" x14ac:dyDescent="0.2">
      <c r="H667" s="127">
        <v>111219710.41</v>
      </c>
      <c r="L667" s="228"/>
      <c r="M667" s="228"/>
      <c r="N667" s="228"/>
    </row>
    <row r="668" spans="6:14" x14ac:dyDescent="0.2">
      <c r="F668" s="229">
        <v>45331</v>
      </c>
      <c r="G668" s="227" t="s">
        <v>427</v>
      </c>
      <c r="H668" s="127">
        <f>H669-H667</f>
        <v>391104.73000001907</v>
      </c>
      <c r="L668" s="228"/>
      <c r="M668" s="228"/>
      <c r="N668" s="228"/>
    </row>
    <row r="669" spans="6:14" x14ac:dyDescent="0.2">
      <c r="H669" s="127">
        <v>111610815.14000002</v>
      </c>
      <c r="L669" s="228"/>
      <c r="M669" s="228"/>
      <c r="N669" s="228"/>
    </row>
    <row r="670" spans="6:14" x14ac:dyDescent="0.2">
      <c r="F670" s="229">
        <v>45335</v>
      </c>
      <c r="G670" s="227" t="s">
        <v>428</v>
      </c>
      <c r="H670" s="127">
        <f>H671-H669</f>
        <v>1012389.1299999803</v>
      </c>
      <c r="L670" s="228"/>
      <c r="M670" s="228"/>
      <c r="N670" s="228"/>
    </row>
    <row r="671" spans="6:14" x14ac:dyDescent="0.2">
      <c r="H671" s="127">
        <v>112623204.27</v>
      </c>
      <c r="L671" s="228"/>
      <c r="M671" s="228"/>
      <c r="N671" s="228"/>
    </row>
    <row r="672" spans="6:14" x14ac:dyDescent="0.2">
      <c r="L672" s="228"/>
      <c r="M672" s="228"/>
      <c r="N672" s="228"/>
    </row>
    <row r="673" spans="4:14" x14ac:dyDescent="0.2">
      <c r="L673" s="228"/>
      <c r="M673" s="228"/>
      <c r="N673" s="228"/>
    </row>
    <row r="674" spans="4:14" x14ac:dyDescent="0.2">
      <c r="L674" s="228"/>
      <c r="M674" s="228"/>
      <c r="N674" s="228"/>
    </row>
    <row r="675" spans="4:14" x14ac:dyDescent="0.2">
      <c r="L675" s="228"/>
      <c r="M675" s="228"/>
      <c r="N675" s="228"/>
    </row>
    <row r="676" spans="4:14" x14ac:dyDescent="0.2">
      <c r="L676" s="228"/>
      <c r="M676" s="228"/>
      <c r="N676" s="228"/>
    </row>
    <row r="677" spans="4:14" x14ac:dyDescent="0.2">
      <c r="F677" s="229"/>
      <c r="G677" s="217"/>
      <c r="L677" s="228"/>
      <c r="M677" s="228"/>
      <c r="N677" s="228"/>
    </row>
    <row r="678" spans="4:14" x14ac:dyDescent="0.2">
      <c r="F678" s="229"/>
      <c r="G678" s="217"/>
      <c r="L678" s="228"/>
      <c r="M678" s="228"/>
      <c r="N678" s="228"/>
    </row>
    <row r="679" spans="4:14" x14ac:dyDescent="0.2">
      <c r="D679" s="265">
        <v>1</v>
      </c>
      <c r="E679" s="127" t="s">
        <v>429</v>
      </c>
      <c r="F679" s="229"/>
      <c r="G679" s="217"/>
      <c r="L679" s="228"/>
      <c r="M679" s="228"/>
      <c r="N679" s="228"/>
    </row>
    <row r="680" spans="4:14" x14ac:dyDescent="0.2">
      <c r="D680" s="265">
        <v>2</v>
      </c>
      <c r="E680" s="126" t="s">
        <v>430</v>
      </c>
      <c r="F680" s="229"/>
      <c r="G680" s="217"/>
      <c r="L680" s="228"/>
      <c r="M680" s="228"/>
      <c r="N680" s="228"/>
    </row>
    <row r="681" spans="4:14" x14ac:dyDescent="0.2">
      <c r="D681" s="265">
        <v>3</v>
      </c>
      <c r="E681" s="127" t="s">
        <v>431</v>
      </c>
      <c r="F681" s="229"/>
      <c r="G681" s="217"/>
      <c r="L681" s="228"/>
      <c r="M681" s="228"/>
      <c r="N681" s="228"/>
    </row>
    <row r="682" spans="4:14" x14ac:dyDescent="0.2">
      <c r="D682" s="266">
        <v>4</v>
      </c>
      <c r="E682" s="127" t="s">
        <v>432</v>
      </c>
      <c r="L682" s="228"/>
      <c r="M682" s="228"/>
      <c r="N682" s="228"/>
    </row>
    <row r="683" spans="4:14" x14ac:dyDescent="0.2">
      <c r="D683" s="266">
        <v>5</v>
      </c>
      <c r="E683" s="127" t="s">
        <v>433</v>
      </c>
      <c r="L683" s="228"/>
      <c r="M683" s="228"/>
      <c r="N683" s="228"/>
    </row>
    <row r="684" spans="4:14" x14ac:dyDescent="0.2">
      <c r="D684" s="266">
        <v>6</v>
      </c>
      <c r="E684" s="127" t="s">
        <v>434</v>
      </c>
      <c r="L684" s="228"/>
      <c r="M684" s="228"/>
      <c r="N684" s="228"/>
    </row>
    <row r="685" spans="4:14" x14ac:dyDescent="0.2">
      <c r="D685" s="266">
        <v>7</v>
      </c>
      <c r="E685" s="127" t="s">
        <v>435</v>
      </c>
      <c r="L685" s="228"/>
      <c r="M685" s="228"/>
      <c r="N685" s="228"/>
    </row>
    <row r="686" spans="4:14" x14ac:dyDescent="0.2">
      <c r="K686" s="135"/>
      <c r="L686" s="216"/>
      <c r="M686" s="216"/>
      <c r="N686" s="216"/>
    </row>
    <row r="687" spans="4:14" x14ac:dyDescent="0.2">
      <c r="F687" s="227" t="s">
        <v>364</v>
      </c>
      <c r="G687" s="126"/>
      <c r="H687" s="228"/>
      <c r="L687" s="228"/>
      <c r="M687" s="228"/>
      <c r="N687" s="228"/>
    </row>
    <row r="688" spans="4:14" x14ac:dyDescent="0.2">
      <c r="F688" s="126">
        <f>C442</f>
        <v>2853802.9799999893</v>
      </c>
      <c r="H688" s="228"/>
      <c r="K688" s="135"/>
      <c r="L688" s="216"/>
      <c r="M688" s="216"/>
      <c r="N688" s="216"/>
    </row>
    <row r="689" spans="5:15" x14ac:dyDescent="0.2">
      <c r="F689" s="126"/>
      <c r="G689" s="126"/>
      <c r="H689" s="228"/>
      <c r="L689" s="228"/>
      <c r="M689" s="228"/>
      <c r="N689" s="228"/>
    </row>
    <row r="690" spans="5:15" x14ac:dyDescent="0.2">
      <c r="F690" s="239" t="s">
        <v>365</v>
      </c>
      <c r="G690" s="217"/>
      <c r="K690" s="135"/>
      <c r="L690" s="216"/>
      <c r="M690" s="216"/>
      <c r="N690" s="216"/>
    </row>
    <row r="691" spans="5:15" x14ac:dyDescent="0.2">
      <c r="F691" s="240" t="s">
        <v>366</v>
      </c>
      <c r="G691" s="217"/>
      <c r="L691" s="228"/>
      <c r="M691" s="228"/>
      <c r="N691" s="228"/>
    </row>
    <row r="692" spans="5:15" x14ac:dyDescent="0.2">
      <c r="F692" s="240" t="s">
        <v>367</v>
      </c>
      <c r="G692" s="217"/>
      <c r="K692" s="135"/>
      <c r="L692" s="216"/>
      <c r="M692" s="216"/>
      <c r="N692" s="216"/>
    </row>
    <row r="693" spans="5:15" x14ac:dyDescent="0.2">
      <c r="J693" s="127"/>
      <c r="L693" s="228"/>
      <c r="M693" s="228"/>
      <c r="N693" s="228"/>
    </row>
    <row r="694" spans="5:15" x14ac:dyDescent="0.2">
      <c r="J694" s="127"/>
      <c r="K694" s="135"/>
      <c r="L694" s="216"/>
      <c r="M694" s="216"/>
      <c r="N694" s="216"/>
      <c r="O694" s="228"/>
    </row>
    <row r="695" spans="5:15" x14ac:dyDescent="0.2">
      <c r="J695" s="127"/>
      <c r="L695" s="228"/>
      <c r="M695" s="228"/>
      <c r="N695" s="228"/>
      <c r="O695" s="228"/>
    </row>
    <row r="696" spans="5:15" x14ac:dyDescent="0.2">
      <c r="K696" s="127"/>
      <c r="L696" s="216"/>
      <c r="M696" s="216"/>
      <c r="N696" s="216"/>
      <c r="O696" s="228"/>
    </row>
    <row r="697" spans="5:15" x14ac:dyDescent="0.2">
      <c r="E697" s="221"/>
      <c r="F697" s="267"/>
      <c r="G697" s="268"/>
      <c r="H697"/>
      <c r="I697" s="216"/>
      <c r="J697" s="128"/>
      <c r="K697" s="34"/>
      <c r="L697" s="54"/>
      <c r="M697" s="228"/>
      <c r="N697" s="228"/>
      <c r="O697" s="228"/>
    </row>
    <row r="698" spans="5:15" x14ac:dyDescent="0.2">
      <c r="E698" s="221"/>
      <c r="F698" s="267"/>
      <c r="G698" s="268"/>
      <c r="H698"/>
      <c r="I698" s="216"/>
      <c r="J698" s="128"/>
      <c r="K698" s="34"/>
      <c r="L698" s="54"/>
      <c r="M698" s="216"/>
      <c r="N698" s="216"/>
      <c r="O698" s="228"/>
    </row>
    <row r="699" spans="5:15" x14ac:dyDescent="0.2">
      <c r="L699" s="228"/>
      <c r="M699" s="228"/>
      <c r="N699" s="228"/>
      <c r="O699" s="228"/>
    </row>
    <row r="700" spans="5:15" x14ac:dyDescent="0.2">
      <c r="L700" s="228"/>
      <c r="M700" s="228"/>
      <c r="N700" s="228"/>
      <c r="O700" s="228"/>
    </row>
    <row r="701" spans="5:15" x14ac:dyDescent="0.2">
      <c r="L701" s="228"/>
      <c r="M701" s="228"/>
      <c r="N701" s="228"/>
      <c r="O701" s="228"/>
    </row>
    <row r="702" spans="5:15" x14ac:dyDescent="0.2">
      <c r="L702" s="228"/>
      <c r="M702" s="228"/>
      <c r="N702" s="228"/>
      <c r="O702" s="228"/>
    </row>
    <row r="703" spans="5:15" x14ac:dyDescent="0.2">
      <c r="L703" s="228"/>
      <c r="M703" s="228"/>
      <c r="N703" s="228"/>
      <c r="O703" s="228"/>
    </row>
    <row r="704" spans="5:15" x14ac:dyDescent="0.2">
      <c r="L704" s="228"/>
      <c r="M704" s="228"/>
      <c r="N704" s="228"/>
      <c r="O704" s="228"/>
    </row>
    <row r="705" spans="11:15" x14ac:dyDescent="0.2">
      <c r="K705" s="135"/>
      <c r="L705" s="228"/>
      <c r="M705" s="228"/>
      <c r="N705" s="228"/>
      <c r="O705" s="228"/>
    </row>
    <row r="706" spans="11:15" x14ac:dyDescent="0.2">
      <c r="L706" s="228"/>
      <c r="M706" s="228"/>
      <c r="N706" s="228"/>
    </row>
    <row r="707" spans="11:15" x14ac:dyDescent="0.2">
      <c r="K707" s="135"/>
      <c r="L707" s="228"/>
      <c r="M707" s="228"/>
      <c r="N707" s="228"/>
      <c r="O707" s="228"/>
    </row>
    <row r="708" spans="11:15" x14ac:dyDescent="0.2">
      <c r="L708" s="228"/>
      <c r="M708" s="228"/>
      <c r="N708" s="228"/>
    </row>
    <row r="709" spans="11:15" x14ac:dyDescent="0.2">
      <c r="K709" s="135"/>
      <c r="L709" s="228"/>
      <c r="M709" s="228"/>
      <c r="N709" s="228"/>
      <c r="O709" s="217"/>
    </row>
    <row r="710" spans="11:15" x14ac:dyDescent="0.2">
      <c r="L710" s="228"/>
      <c r="M710" s="228"/>
      <c r="N710" s="228"/>
    </row>
    <row r="711" spans="11:15" x14ac:dyDescent="0.2">
      <c r="K711" s="135"/>
      <c r="L711" s="216"/>
      <c r="M711" s="216"/>
      <c r="N711" s="216"/>
      <c r="O711" s="217"/>
    </row>
    <row r="712" spans="11:15" x14ac:dyDescent="0.2">
      <c r="L712" s="228"/>
      <c r="M712" s="228"/>
      <c r="N712" s="228"/>
    </row>
    <row r="713" spans="11:15" x14ac:dyDescent="0.2">
      <c r="K713" s="135"/>
      <c r="L713" s="228"/>
      <c r="M713" s="228"/>
      <c r="N713" s="228"/>
      <c r="O713" s="217"/>
    </row>
    <row r="714" spans="11:15" x14ac:dyDescent="0.2">
      <c r="L714" s="228"/>
      <c r="M714" s="228"/>
      <c r="N714" s="228"/>
    </row>
    <row r="715" spans="11:15" x14ac:dyDescent="0.2">
      <c r="K715" s="135"/>
      <c r="L715" s="216"/>
      <c r="M715" s="216"/>
      <c r="N715" s="216"/>
      <c r="O715" s="217"/>
    </row>
    <row r="716" spans="11:15" x14ac:dyDescent="0.2">
      <c r="L716" s="228"/>
      <c r="M716" s="228"/>
      <c r="N716" s="228"/>
    </row>
    <row r="717" spans="11:15" x14ac:dyDescent="0.2">
      <c r="K717" s="135"/>
      <c r="L717" s="228"/>
      <c r="M717" s="228"/>
      <c r="N717" s="228"/>
    </row>
    <row r="718" spans="11:15" x14ac:dyDescent="0.2">
      <c r="L718" s="228"/>
      <c r="M718" s="228"/>
      <c r="N718" s="228"/>
    </row>
    <row r="719" spans="11:15" x14ac:dyDescent="0.2">
      <c r="K719" s="135"/>
      <c r="L719" s="228"/>
      <c r="M719" s="228"/>
      <c r="N719" s="228"/>
    </row>
    <row r="720" spans="11:15" x14ac:dyDescent="0.2">
      <c r="L720" s="228"/>
      <c r="M720" s="228"/>
      <c r="N720" s="228"/>
    </row>
    <row r="721" spans="11:15" x14ac:dyDescent="0.2">
      <c r="K721" s="135"/>
      <c r="L721" s="228"/>
      <c r="M721" s="228"/>
      <c r="N721" s="228"/>
      <c r="O721" s="210"/>
    </row>
    <row r="722" spans="11:15" x14ac:dyDescent="0.2">
      <c r="L722" s="228"/>
      <c r="M722" s="228"/>
      <c r="N722" s="228"/>
    </row>
    <row r="723" spans="11:15" x14ac:dyDescent="0.2">
      <c r="K723" s="135"/>
      <c r="L723" s="216"/>
      <c r="M723" s="216"/>
      <c r="N723" s="216"/>
      <c r="O723" s="135"/>
    </row>
    <row r="724" spans="11:15" x14ac:dyDescent="0.2">
      <c r="L724" s="228"/>
      <c r="M724" s="228"/>
      <c r="N724" s="228"/>
      <c r="O724" s="126"/>
    </row>
    <row r="725" spans="11:15" x14ac:dyDescent="0.2">
      <c r="K725" s="135"/>
      <c r="L725" s="216"/>
      <c r="M725" s="216"/>
      <c r="N725" s="216"/>
      <c r="O725" s="135"/>
    </row>
    <row r="726" spans="11:15" x14ac:dyDescent="0.2">
      <c r="L726" s="228"/>
      <c r="M726" s="228"/>
      <c r="N726" s="228"/>
      <c r="O726" s="126"/>
    </row>
    <row r="727" spans="11:15" x14ac:dyDescent="0.2">
      <c r="K727" s="135"/>
      <c r="L727" s="216"/>
      <c r="M727" s="216"/>
      <c r="N727" s="216"/>
      <c r="O727" s="135"/>
    </row>
    <row r="728" spans="11:15" x14ac:dyDescent="0.2">
      <c r="O728" s="126"/>
    </row>
    <row r="729" spans="11:15" x14ac:dyDescent="0.2">
      <c r="L729" s="228"/>
      <c r="M729" s="228"/>
      <c r="N729" s="228"/>
    </row>
    <row r="730" spans="11:15" x14ac:dyDescent="0.2">
      <c r="L730" s="228"/>
      <c r="M730" s="228"/>
      <c r="N730" s="228"/>
    </row>
    <row r="731" spans="11:15" x14ac:dyDescent="0.2">
      <c r="L731" s="228"/>
      <c r="M731" s="228"/>
      <c r="N731" s="228"/>
    </row>
    <row r="732" spans="11:15" x14ac:dyDescent="0.2">
      <c r="L732" s="228"/>
      <c r="M732" s="228"/>
      <c r="N732" s="228"/>
    </row>
    <row r="733" spans="11:15" x14ac:dyDescent="0.2">
      <c r="L733" s="228"/>
      <c r="M733" s="228"/>
      <c r="N733" s="228"/>
    </row>
    <row r="734" spans="11:15" x14ac:dyDescent="0.2">
      <c r="L734" s="228"/>
      <c r="M734" s="228"/>
      <c r="N734" s="228"/>
    </row>
    <row r="735" spans="11:15" x14ac:dyDescent="0.2">
      <c r="L735" s="228"/>
      <c r="M735" s="228"/>
      <c r="N735" s="228"/>
    </row>
    <row r="736" spans="11:15" x14ac:dyDescent="0.2">
      <c r="L736" s="228"/>
      <c r="M736" s="228"/>
      <c r="N736" s="228"/>
    </row>
    <row r="737" spans="12:14" x14ac:dyDescent="0.2">
      <c r="L737" s="228"/>
      <c r="M737" s="228"/>
      <c r="N737" s="228"/>
    </row>
    <row r="738" spans="12:14" x14ac:dyDescent="0.2">
      <c r="L738" s="228"/>
      <c r="M738" s="228"/>
      <c r="N738" s="228"/>
    </row>
    <row r="739" spans="12:14" x14ac:dyDescent="0.2">
      <c r="L739" s="228"/>
      <c r="M739" s="228"/>
      <c r="N739" s="228"/>
    </row>
    <row r="740" spans="12:14" x14ac:dyDescent="0.2">
      <c r="L740" s="228"/>
      <c r="M740" s="228"/>
      <c r="N740" s="228"/>
    </row>
    <row r="741" spans="12:14" x14ac:dyDescent="0.2">
      <c r="L741" s="228"/>
      <c r="M741" s="228"/>
      <c r="N741" s="228"/>
    </row>
    <row r="742" spans="12:14" x14ac:dyDescent="0.2">
      <c r="L742" s="228"/>
      <c r="M742" s="228"/>
      <c r="N742" s="228"/>
    </row>
    <row r="743" spans="12:14" x14ac:dyDescent="0.2">
      <c r="L743" s="228"/>
      <c r="M743" s="228"/>
      <c r="N743" s="228"/>
    </row>
    <row r="744" spans="12:14" x14ac:dyDescent="0.2">
      <c r="L744" s="228"/>
      <c r="M744" s="228"/>
      <c r="N744" s="228"/>
    </row>
    <row r="745" spans="12:14" x14ac:dyDescent="0.2">
      <c r="L745" s="228"/>
      <c r="M745" s="228"/>
      <c r="N745" s="228"/>
    </row>
    <row r="746" spans="12:14" x14ac:dyDescent="0.2">
      <c r="L746" s="228"/>
      <c r="M746" s="228"/>
      <c r="N746" s="228"/>
    </row>
    <row r="747" spans="12:14" x14ac:dyDescent="0.2">
      <c r="L747" s="228"/>
      <c r="M747" s="228"/>
      <c r="N747" s="228"/>
    </row>
    <row r="748" spans="12:14" x14ac:dyDescent="0.2">
      <c r="L748" s="228"/>
      <c r="M748" s="228"/>
      <c r="N748" s="228"/>
    </row>
    <row r="749" spans="12:14" x14ac:dyDescent="0.2">
      <c r="L749" s="228"/>
      <c r="M749" s="228"/>
      <c r="N749" s="228"/>
    </row>
    <row r="750" spans="12:14" x14ac:dyDescent="0.2">
      <c r="L750" s="228"/>
      <c r="M750" s="228"/>
      <c r="N750" s="228"/>
    </row>
    <row r="751" spans="12:14" x14ac:dyDescent="0.2">
      <c r="L751" s="228"/>
      <c r="M751" s="228"/>
      <c r="N751" s="228"/>
    </row>
    <row r="752" spans="12:14" x14ac:dyDescent="0.2">
      <c r="L752" s="228"/>
      <c r="M752" s="228"/>
      <c r="N752" s="228"/>
    </row>
    <row r="753" spans="12:14" x14ac:dyDescent="0.2">
      <c r="L753" s="228"/>
      <c r="M753" s="228"/>
      <c r="N753" s="228"/>
    </row>
    <row r="754" spans="12:14" x14ac:dyDescent="0.2">
      <c r="L754" s="228"/>
      <c r="M754" s="228"/>
      <c r="N754" s="228"/>
    </row>
    <row r="755" spans="12:14" x14ac:dyDescent="0.2">
      <c r="L755" s="228"/>
      <c r="M755" s="228"/>
      <c r="N755" s="228"/>
    </row>
    <row r="756" spans="12:14" x14ac:dyDescent="0.2">
      <c r="L756" s="228"/>
      <c r="M756" s="228"/>
      <c r="N756" s="228"/>
    </row>
    <row r="757" spans="12:14" x14ac:dyDescent="0.2">
      <c r="L757" s="228"/>
      <c r="M757" s="228"/>
      <c r="N757" s="228"/>
    </row>
    <row r="758" spans="12:14" x14ac:dyDescent="0.2">
      <c r="L758" s="228"/>
      <c r="M758" s="228"/>
      <c r="N758" s="228"/>
    </row>
    <row r="759" spans="12:14" x14ac:dyDescent="0.2">
      <c r="L759" s="228"/>
      <c r="M759" s="228"/>
      <c r="N759" s="228"/>
    </row>
    <row r="760" spans="12:14" x14ac:dyDescent="0.2">
      <c r="L760" s="228"/>
      <c r="M760" s="228"/>
      <c r="N760" s="228"/>
    </row>
    <row r="761" spans="12:14" x14ac:dyDescent="0.2">
      <c r="L761" s="228"/>
      <c r="M761" s="228"/>
      <c r="N761" s="228"/>
    </row>
    <row r="762" spans="12:14" x14ac:dyDescent="0.2">
      <c r="L762" s="228"/>
      <c r="M762" s="228"/>
      <c r="N762" s="228"/>
    </row>
    <row r="763" spans="12:14" x14ac:dyDescent="0.2">
      <c r="L763" s="228"/>
      <c r="M763" s="228"/>
      <c r="N763" s="228"/>
    </row>
    <row r="764" spans="12:14" x14ac:dyDescent="0.2">
      <c r="L764" s="228"/>
      <c r="M764" s="228"/>
      <c r="N764" s="228"/>
    </row>
    <row r="765" spans="12:14" x14ac:dyDescent="0.2">
      <c r="L765" s="228"/>
      <c r="M765" s="228"/>
      <c r="N765" s="228"/>
    </row>
    <row r="766" spans="12:14" x14ac:dyDescent="0.2">
      <c r="L766" s="228"/>
      <c r="M766" s="228"/>
      <c r="N766" s="228"/>
    </row>
    <row r="767" spans="12:14" x14ac:dyDescent="0.2">
      <c r="L767" s="228"/>
      <c r="M767" s="228"/>
      <c r="N767" s="228"/>
    </row>
    <row r="768" spans="12:14" x14ac:dyDescent="0.2">
      <c r="L768" s="228"/>
      <c r="M768" s="228"/>
      <c r="N768" s="228"/>
    </row>
    <row r="769" spans="12:14" x14ac:dyDescent="0.2">
      <c r="L769" s="228"/>
      <c r="M769" s="228"/>
      <c r="N769" s="228"/>
    </row>
    <row r="770" spans="12:14" x14ac:dyDescent="0.2">
      <c r="L770" s="228"/>
      <c r="M770" s="228"/>
      <c r="N770" s="228"/>
    </row>
    <row r="771" spans="12:14" x14ac:dyDescent="0.2">
      <c r="L771" s="228"/>
      <c r="M771" s="228"/>
      <c r="N771" s="228"/>
    </row>
    <row r="772" spans="12:14" x14ac:dyDescent="0.2">
      <c r="L772" s="228"/>
      <c r="M772" s="228"/>
      <c r="N772" s="228"/>
    </row>
    <row r="773" spans="12:14" x14ac:dyDescent="0.2">
      <c r="L773" s="228"/>
      <c r="M773" s="228"/>
      <c r="N773" s="228"/>
    </row>
    <row r="774" spans="12:14" x14ac:dyDescent="0.2">
      <c r="L774" s="228"/>
      <c r="M774" s="228"/>
      <c r="N774" s="228"/>
    </row>
    <row r="775" spans="12:14" x14ac:dyDescent="0.2">
      <c r="L775" s="228"/>
      <c r="M775" s="228"/>
      <c r="N775" s="228"/>
    </row>
    <row r="776" spans="12:14" x14ac:dyDescent="0.2">
      <c r="L776" s="228"/>
      <c r="M776" s="228"/>
      <c r="N776" s="228"/>
    </row>
    <row r="777" spans="12:14" x14ac:dyDescent="0.2">
      <c r="L777" s="228"/>
      <c r="M777" s="228"/>
      <c r="N777" s="228"/>
    </row>
    <row r="778" spans="12:14" x14ac:dyDescent="0.2">
      <c r="L778" s="228"/>
      <c r="M778" s="228"/>
      <c r="N778" s="228"/>
    </row>
    <row r="779" spans="12:14" x14ac:dyDescent="0.2">
      <c r="L779" s="228"/>
      <c r="M779" s="228"/>
      <c r="N779" s="228"/>
    </row>
    <row r="780" spans="12:14" x14ac:dyDescent="0.2">
      <c r="L780" s="228"/>
      <c r="M780" s="228"/>
      <c r="N780" s="228"/>
    </row>
    <row r="781" spans="12:14" x14ac:dyDescent="0.2">
      <c r="L781" s="228"/>
      <c r="M781" s="228"/>
      <c r="N781" s="228"/>
    </row>
    <row r="782" spans="12:14" x14ac:dyDescent="0.2">
      <c r="L782" s="228"/>
      <c r="M782" s="228"/>
      <c r="N782" s="228"/>
    </row>
    <row r="783" spans="12:14" x14ac:dyDescent="0.2">
      <c r="L783" s="228"/>
      <c r="M783" s="228"/>
      <c r="N783" s="228"/>
    </row>
    <row r="784" spans="12:14" x14ac:dyDescent="0.2">
      <c r="L784" s="228"/>
      <c r="M784" s="228"/>
      <c r="N784" s="228"/>
    </row>
    <row r="785" spans="12:14" x14ac:dyDescent="0.2">
      <c r="L785" s="228"/>
      <c r="M785" s="228"/>
      <c r="N785" s="228"/>
    </row>
    <row r="786" spans="12:14" x14ac:dyDescent="0.2">
      <c r="L786" s="228"/>
      <c r="M786" s="228"/>
      <c r="N786" s="228"/>
    </row>
    <row r="787" spans="12:14" x14ac:dyDescent="0.2">
      <c r="L787" s="228"/>
      <c r="M787" s="228"/>
      <c r="N787" s="228"/>
    </row>
    <row r="788" spans="12:14" x14ac:dyDescent="0.2">
      <c r="L788" s="228"/>
      <c r="M788" s="228"/>
      <c r="N788" s="228"/>
    </row>
    <row r="789" spans="12:14" x14ac:dyDescent="0.2">
      <c r="L789" s="228"/>
      <c r="M789" s="228"/>
      <c r="N789" s="228"/>
    </row>
    <row r="790" spans="12:14" x14ac:dyDescent="0.2">
      <c r="L790" s="228"/>
      <c r="M790" s="228"/>
      <c r="N790" s="228"/>
    </row>
    <row r="791" spans="12:14" x14ac:dyDescent="0.2">
      <c r="L791" s="228"/>
      <c r="M791" s="228"/>
      <c r="N791" s="228"/>
    </row>
    <row r="792" spans="12:14" x14ac:dyDescent="0.2">
      <c r="L792" s="228"/>
      <c r="M792" s="228"/>
      <c r="N792" s="228"/>
    </row>
    <row r="793" spans="12:14" x14ac:dyDescent="0.2">
      <c r="L793" s="228"/>
      <c r="M793" s="228"/>
      <c r="N793" s="228"/>
    </row>
    <row r="794" spans="12:14" x14ac:dyDescent="0.2">
      <c r="L794" s="228"/>
      <c r="M794" s="228"/>
      <c r="N794" s="228"/>
    </row>
  </sheetData>
  <conditionalFormatting sqref="A7:XFD565">
    <cfRule type="expression" dxfId="88" priority="1">
      <formula>$L7&lt;0</formula>
    </cfRule>
  </conditionalFormatting>
  <conditionalFormatting sqref="L1:L1048576 A7:K7 M7:XFD7">
    <cfRule type="cellIs" dxfId="87" priority="2" operator="lessThan">
      <formula>0</formula>
    </cfRule>
  </conditionalFormatting>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6207D-4063-4CB4-BB3B-966AB61D7648}">
  <dimension ref="A1:AC683"/>
  <sheetViews>
    <sheetView topLeftCell="A424" workbookViewId="0">
      <selection activeCell="A2" sqref="A2"/>
    </sheetView>
  </sheetViews>
  <sheetFormatPr defaultRowHeight="12.75" x14ac:dyDescent="0.2"/>
  <cols>
    <col min="2" max="2" width="76" bestFit="1" customWidth="1"/>
    <col min="3" max="3" width="18.85546875" bestFit="1" customWidth="1"/>
    <col min="4" max="4" width="15.140625" bestFit="1" customWidth="1"/>
    <col min="5" max="5" width="14" bestFit="1" customWidth="1"/>
    <col min="6" max="6" width="19.28515625" bestFit="1" customWidth="1"/>
    <col min="7" max="7" width="26.7109375" bestFit="1" customWidth="1"/>
    <col min="8" max="8" width="14.42578125" bestFit="1" customWidth="1"/>
    <col min="9" max="9" width="12.85546875" bestFit="1" customWidth="1"/>
    <col min="10" max="10" width="17" customWidth="1"/>
    <col min="11" max="11" width="12.85546875" bestFit="1" customWidth="1"/>
    <col min="12" max="12" width="14.42578125" bestFit="1" customWidth="1"/>
    <col min="13" max="15" width="13.42578125" bestFit="1" customWidth="1"/>
    <col min="19" max="23" width="8.85546875" style="125"/>
    <col min="24" max="25" width="14.140625" style="238" bestFit="1" customWidth="1"/>
    <col min="26" max="29" width="8.85546875" style="125"/>
  </cols>
  <sheetData>
    <row r="1" spans="1:26" x14ac:dyDescent="0.2">
      <c r="A1" s="258" t="s">
        <v>474</v>
      </c>
      <c r="B1" s="125"/>
      <c r="C1" s="126"/>
      <c r="D1" s="127"/>
      <c r="E1" s="128"/>
      <c r="F1" s="129" t="s">
        <v>50</v>
      </c>
      <c r="G1" s="130"/>
      <c r="H1" s="131"/>
      <c r="I1" s="132"/>
      <c r="J1" s="132"/>
      <c r="K1" s="130"/>
      <c r="L1" s="130"/>
      <c r="M1" s="130"/>
      <c r="N1" s="130"/>
      <c r="O1" s="130"/>
      <c r="P1" s="125"/>
      <c r="Q1" s="125"/>
    </row>
    <row r="2" spans="1:26" ht="13.5" thickBot="1" x14ac:dyDescent="0.25">
      <c r="A2" s="125"/>
      <c r="B2" s="125"/>
      <c r="C2" s="126"/>
      <c r="D2" s="126"/>
      <c r="E2" s="126"/>
      <c r="F2" s="129"/>
      <c r="G2" s="137"/>
      <c r="H2" s="127"/>
      <c r="I2" s="126"/>
      <c r="J2" s="126"/>
      <c r="K2" s="126"/>
      <c r="L2" s="137"/>
      <c r="M2" s="137"/>
      <c r="N2" s="137"/>
      <c r="O2" s="137"/>
      <c r="P2" s="125"/>
      <c r="Q2" s="125"/>
    </row>
    <row r="3" spans="1:26" x14ac:dyDescent="0.2">
      <c r="A3" s="125"/>
      <c r="B3" s="138" t="s">
        <v>84</v>
      </c>
      <c r="C3" s="139" t="s">
        <v>85</v>
      </c>
      <c r="D3" s="139" t="s">
        <v>86</v>
      </c>
      <c r="E3" s="139" t="s">
        <v>87</v>
      </c>
      <c r="F3" s="140" t="s">
        <v>88</v>
      </c>
      <c r="G3" s="139" t="s">
        <v>89</v>
      </c>
      <c r="H3" s="141" t="s">
        <v>0</v>
      </c>
      <c r="I3" s="139" t="s">
        <v>90</v>
      </c>
      <c r="J3" s="139" t="s">
        <v>90</v>
      </c>
      <c r="K3" s="139" t="s">
        <v>90</v>
      </c>
      <c r="L3" s="142" t="s">
        <v>91</v>
      </c>
      <c r="M3" s="143" t="s">
        <v>92</v>
      </c>
      <c r="N3" s="143" t="s">
        <v>93</v>
      </c>
      <c r="O3" s="142" t="s">
        <v>94</v>
      </c>
      <c r="P3" s="125"/>
      <c r="Q3" s="125"/>
      <c r="S3" s="125" t="s">
        <v>438</v>
      </c>
      <c r="T3" s="125" t="s">
        <v>439</v>
      </c>
      <c r="U3" s="125" t="s">
        <v>440</v>
      </c>
      <c r="V3" s="125" t="s">
        <v>441</v>
      </c>
      <c r="W3" s="125" t="s">
        <v>442</v>
      </c>
      <c r="X3" s="271" t="s">
        <v>443</v>
      </c>
      <c r="Y3" s="271" t="s">
        <v>444</v>
      </c>
      <c r="Z3" s="125" t="s">
        <v>84</v>
      </c>
    </row>
    <row r="4" spans="1:26" ht="13.5" thickBot="1" x14ac:dyDescent="0.25">
      <c r="A4" s="125"/>
      <c r="B4" s="145"/>
      <c r="C4" s="146"/>
      <c r="D4" s="147" t="s">
        <v>89</v>
      </c>
      <c r="E4" s="147" t="s">
        <v>97</v>
      </c>
      <c r="F4" s="148" t="s">
        <v>98</v>
      </c>
      <c r="G4" s="149"/>
      <c r="H4" s="150" t="s">
        <v>99</v>
      </c>
      <c r="I4" s="147" t="s">
        <v>100</v>
      </c>
      <c r="J4" s="151" t="s">
        <v>101</v>
      </c>
      <c r="K4" s="151" t="s">
        <v>102</v>
      </c>
      <c r="L4" s="147" t="s">
        <v>103</v>
      </c>
      <c r="M4" s="147" t="s">
        <v>104</v>
      </c>
      <c r="N4" s="147" t="s">
        <v>104</v>
      </c>
      <c r="O4" s="147" t="s">
        <v>104</v>
      </c>
      <c r="P4" s="125" t="s">
        <v>107</v>
      </c>
      <c r="Q4" s="125"/>
    </row>
    <row r="5" spans="1:26" x14ac:dyDescent="0.2">
      <c r="A5" s="125"/>
      <c r="B5" s="125"/>
      <c r="C5" s="153"/>
      <c r="D5" s="154"/>
      <c r="E5" s="154"/>
      <c r="F5" s="155"/>
      <c r="G5" s="156"/>
      <c r="H5" s="157"/>
      <c r="I5" s="154"/>
      <c r="J5" s="158"/>
      <c r="K5" s="158"/>
      <c r="L5" s="154"/>
      <c r="M5" s="154"/>
      <c r="N5" s="154"/>
      <c r="O5" s="154"/>
      <c r="P5" s="125"/>
      <c r="Q5" s="125"/>
    </row>
    <row r="6" spans="1:26" x14ac:dyDescent="0.2">
      <c r="A6" s="160" t="s">
        <v>108</v>
      </c>
      <c r="B6" s="161"/>
      <c r="C6" s="153"/>
      <c r="D6" s="154"/>
      <c r="E6" s="154"/>
      <c r="F6" s="162"/>
      <c r="G6" s="163"/>
      <c r="H6" s="164"/>
      <c r="I6" s="163"/>
      <c r="J6" s="163"/>
      <c r="K6" s="163"/>
      <c r="L6" s="162"/>
      <c r="M6" s="162"/>
      <c r="N6" s="162"/>
      <c r="O6" s="162"/>
      <c r="P6" s="135"/>
      <c r="Q6" s="135"/>
    </row>
    <row r="7" spans="1:26" x14ac:dyDescent="0.2">
      <c r="A7" s="125"/>
      <c r="B7" s="125" t="s">
        <v>110</v>
      </c>
      <c r="C7" s="153">
        <v>5000000</v>
      </c>
      <c r="D7" s="154"/>
      <c r="E7" s="154"/>
      <c r="F7" s="166"/>
      <c r="G7" s="163">
        <v>5000000</v>
      </c>
      <c r="H7" s="164">
        <v>160987.80000000002</v>
      </c>
      <c r="I7" s="162"/>
      <c r="J7" s="167"/>
      <c r="K7" s="167"/>
      <c r="L7" s="162">
        <f t="shared" ref="L7:L23" si="0">G7-H7-I7-J7-K7</f>
        <v>4839012.2</v>
      </c>
      <c r="M7" s="162">
        <f>H7-N7-O7</f>
        <v>160987.80000000002</v>
      </c>
      <c r="N7" s="162">
        <v>0</v>
      </c>
      <c r="O7" s="162">
        <v>0</v>
      </c>
      <c r="P7" s="136">
        <f t="shared" ref="P7:P23" si="1">C7+D7+E7-F7-G7</f>
        <v>0</v>
      </c>
      <c r="Q7" s="136" t="s">
        <v>111</v>
      </c>
      <c r="S7" s="125" t="s">
        <v>160</v>
      </c>
      <c r="T7" s="125" t="s">
        <v>160</v>
      </c>
      <c r="U7" s="125">
        <v>20</v>
      </c>
      <c r="V7" s="125" t="s">
        <v>445</v>
      </c>
      <c r="W7" s="125" t="s">
        <v>7</v>
      </c>
      <c r="X7" s="238">
        <f>H7</f>
        <v>160987.80000000002</v>
      </c>
      <c r="Y7" s="238">
        <f>L7</f>
        <v>4839012.2</v>
      </c>
      <c r="Z7" s="125" t="str">
        <f>B7</f>
        <v>UMCP Infrastructure Project</v>
      </c>
    </row>
    <row r="8" spans="1:26" x14ac:dyDescent="0.2">
      <c r="A8" s="125"/>
      <c r="B8" s="165" t="s">
        <v>112</v>
      </c>
      <c r="C8" s="153"/>
      <c r="D8" s="154"/>
      <c r="E8" s="154"/>
      <c r="F8" s="155"/>
      <c r="G8" s="163"/>
      <c r="H8" s="164"/>
      <c r="I8" s="162"/>
      <c r="J8" s="167"/>
      <c r="K8" s="167"/>
      <c r="L8" s="162"/>
      <c r="M8" s="162"/>
      <c r="N8" s="162"/>
      <c r="O8" s="162"/>
      <c r="P8" s="136">
        <f t="shared" si="1"/>
        <v>0</v>
      </c>
      <c r="Q8" s="135"/>
      <c r="W8" s="165"/>
      <c r="Z8" s="125" t="str">
        <f t="shared" ref="Z8:Z23" si="2">B8</f>
        <v>USM Facilities Renewal:</v>
      </c>
    </row>
    <row r="9" spans="1:26" x14ac:dyDescent="0.2">
      <c r="A9" s="125"/>
      <c r="B9" s="125" t="s">
        <v>113</v>
      </c>
      <c r="C9" s="153">
        <f>300000+3000000+1400000+500000+1200000+300000+150000+750000+800000+500000+491988</f>
        <v>9391988</v>
      </c>
      <c r="D9" s="154"/>
      <c r="E9" s="154"/>
      <c r="F9" s="54"/>
      <c r="G9" s="163">
        <v>9391988</v>
      </c>
      <c r="H9" s="164">
        <v>2227556.9700000002</v>
      </c>
      <c r="I9" s="162">
        <v>2253426.81</v>
      </c>
      <c r="J9" s="167"/>
      <c r="K9" s="167"/>
      <c r="L9" s="162">
        <f t="shared" si="0"/>
        <v>4911004.2199999988</v>
      </c>
      <c r="M9" s="162">
        <f>H9-N9-O9+I9</f>
        <v>4480983.78</v>
      </c>
      <c r="N9" s="162">
        <v>0</v>
      </c>
      <c r="O9" s="162">
        <v>0</v>
      </c>
      <c r="P9" s="136">
        <f t="shared" si="1"/>
        <v>0</v>
      </c>
      <c r="Q9" s="135"/>
      <c r="S9" s="125" t="s">
        <v>160</v>
      </c>
      <c r="T9" s="125" t="s">
        <v>446</v>
      </c>
      <c r="U9" s="272" t="s">
        <v>447</v>
      </c>
      <c r="V9" s="125" t="s">
        <v>445</v>
      </c>
      <c r="W9" s="125" t="s">
        <v>7</v>
      </c>
      <c r="X9" s="273">
        <f>H9+I9</f>
        <v>4480983.78</v>
      </c>
      <c r="Y9" s="238">
        <f t="shared" ref="Y9:Y23" si="3">L9</f>
        <v>4911004.2199999988</v>
      </c>
      <c r="Z9" s="125" t="str">
        <f t="shared" si="2"/>
        <v>UMCP Facilities Renewal</v>
      </c>
    </row>
    <row r="10" spans="1:26" x14ac:dyDescent="0.2">
      <c r="A10" s="125"/>
      <c r="B10" s="125" t="s">
        <v>114</v>
      </c>
      <c r="C10" s="153">
        <f>990000+990000+990000+800000+1142729</f>
        <v>4912729</v>
      </c>
      <c r="D10" s="154"/>
      <c r="E10" s="154"/>
      <c r="F10" s="155"/>
      <c r="G10" s="163">
        <v>4912729</v>
      </c>
      <c r="H10" s="164">
        <v>128610.64</v>
      </c>
      <c r="I10" s="162"/>
      <c r="J10" s="167"/>
      <c r="K10" s="167"/>
      <c r="L10" s="162">
        <f t="shared" si="0"/>
        <v>4784118.3600000003</v>
      </c>
      <c r="M10" s="162">
        <f t="shared" ref="M10:M23" si="4">H10-N10-O10</f>
        <v>128610.64</v>
      </c>
      <c r="N10" s="162">
        <v>0</v>
      </c>
      <c r="O10" s="162">
        <v>0</v>
      </c>
      <c r="P10" s="136">
        <f t="shared" si="1"/>
        <v>0</v>
      </c>
      <c r="Q10" s="135"/>
      <c r="S10" s="125" t="s">
        <v>160</v>
      </c>
      <c r="T10" s="125" t="s">
        <v>446</v>
      </c>
      <c r="U10" s="272" t="s">
        <v>447</v>
      </c>
      <c r="V10" s="125" t="s">
        <v>445</v>
      </c>
      <c r="W10" s="125" t="s">
        <v>8</v>
      </c>
      <c r="X10" s="238">
        <f t="shared" ref="X10:X23" si="5">H10</f>
        <v>128610.64</v>
      </c>
      <c r="Y10" s="238">
        <f t="shared" si="3"/>
        <v>4784118.3600000003</v>
      </c>
      <c r="Z10" s="125" t="str">
        <f t="shared" si="2"/>
        <v>UMB Facilities Renewal</v>
      </c>
    </row>
    <row r="11" spans="1:26" x14ac:dyDescent="0.2">
      <c r="A11" s="125"/>
      <c r="B11" s="125" t="s">
        <v>115</v>
      </c>
      <c r="C11" s="153">
        <v>1244579</v>
      </c>
      <c r="D11" s="154"/>
      <c r="E11" s="154"/>
      <c r="F11" s="54"/>
      <c r="G11" s="163">
        <v>1244579</v>
      </c>
      <c r="H11" s="164">
        <v>0</v>
      </c>
      <c r="I11" s="162"/>
      <c r="J11" s="167"/>
      <c r="K11" s="167"/>
      <c r="L11" s="162">
        <f t="shared" si="0"/>
        <v>1244579</v>
      </c>
      <c r="M11" s="162">
        <f t="shared" si="4"/>
        <v>0</v>
      </c>
      <c r="N11" s="162">
        <v>0</v>
      </c>
      <c r="O11" s="162">
        <v>0</v>
      </c>
      <c r="P11" s="136">
        <f t="shared" si="1"/>
        <v>0</v>
      </c>
      <c r="Q11" s="135"/>
      <c r="S11" s="125" t="s">
        <v>160</v>
      </c>
      <c r="T11" s="125" t="s">
        <v>446</v>
      </c>
      <c r="U11" s="272" t="s">
        <v>447</v>
      </c>
      <c r="V11" s="125" t="s">
        <v>445</v>
      </c>
      <c r="W11" s="125" t="s">
        <v>10</v>
      </c>
      <c r="X11" s="238">
        <f t="shared" si="5"/>
        <v>0</v>
      </c>
      <c r="Y11" s="238">
        <f t="shared" si="3"/>
        <v>1244579</v>
      </c>
      <c r="Z11" s="125" t="str">
        <f t="shared" si="2"/>
        <v>UMES Facilities Renewal</v>
      </c>
    </row>
    <row r="12" spans="1:26" x14ac:dyDescent="0.2">
      <c r="A12" s="125"/>
      <c r="B12" s="125" t="s">
        <v>116</v>
      </c>
      <c r="C12" s="153">
        <v>2283810</v>
      </c>
      <c r="D12" s="154"/>
      <c r="E12" s="154"/>
      <c r="F12" s="155"/>
      <c r="G12" s="163">
        <v>2283810</v>
      </c>
      <c r="H12" s="164">
        <v>83589.649999999994</v>
      </c>
      <c r="I12" s="162"/>
      <c r="J12" s="167"/>
      <c r="K12" s="167"/>
      <c r="L12" s="162">
        <f t="shared" si="0"/>
        <v>2200220.35</v>
      </c>
      <c r="M12" s="162">
        <f t="shared" si="4"/>
        <v>83589.649999999994</v>
      </c>
      <c r="N12" s="162">
        <v>0</v>
      </c>
      <c r="O12" s="162">
        <v>0</v>
      </c>
      <c r="P12" s="136">
        <f t="shared" si="1"/>
        <v>0</v>
      </c>
      <c r="Q12" s="135"/>
      <c r="S12" s="125" t="s">
        <v>160</v>
      </c>
      <c r="T12" s="125" t="s">
        <v>446</v>
      </c>
      <c r="U12" s="272" t="s">
        <v>447</v>
      </c>
      <c r="V12" s="125" t="s">
        <v>445</v>
      </c>
      <c r="W12" s="125" t="s">
        <v>11</v>
      </c>
      <c r="X12" s="238">
        <f t="shared" si="5"/>
        <v>83589.649999999994</v>
      </c>
      <c r="Y12" s="238">
        <f t="shared" si="3"/>
        <v>2200220.35</v>
      </c>
      <c r="Z12" s="125" t="str">
        <f t="shared" si="2"/>
        <v>UMBC Facilities Renewal</v>
      </c>
    </row>
    <row r="13" spans="1:26" x14ac:dyDescent="0.2">
      <c r="A13" s="125"/>
      <c r="B13" s="125" t="s">
        <v>117</v>
      </c>
      <c r="C13" s="153">
        <v>284107</v>
      </c>
      <c r="D13" s="154"/>
      <c r="E13" s="154"/>
      <c r="F13" s="155"/>
      <c r="G13" s="163">
        <v>284107</v>
      </c>
      <c r="H13" s="164">
        <v>0</v>
      </c>
      <c r="I13" s="162"/>
      <c r="J13" s="167"/>
      <c r="K13" s="167"/>
      <c r="L13" s="162">
        <f t="shared" si="0"/>
        <v>284107</v>
      </c>
      <c r="M13" s="162">
        <f t="shared" si="4"/>
        <v>0</v>
      </c>
      <c r="N13" s="162">
        <v>0</v>
      </c>
      <c r="O13" s="162">
        <v>0</v>
      </c>
      <c r="P13" s="136">
        <f t="shared" si="1"/>
        <v>0</v>
      </c>
      <c r="Q13" s="135"/>
      <c r="S13" s="125" t="s">
        <v>160</v>
      </c>
      <c r="T13" s="125" t="s">
        <v>446</v>
      </c>
      <c r="U13" s="272" t="s">
        <v>447</v>
      </c>
      <c r="V13" s="125" t="s">
        <v>445</v>
      </c>
      <c r="W13" s="125" t="s">
        <v>12</v>
      </c>
      <c r="X13" s="238">
        <f t="shared" si="5"/>
        <v>0</v>
      </c>
      <c r="Y13" s="238">
        <f t="shared" si="3"/>
        <v>284107</v>
      </c>
      <c r="Z13" s="125" t="str">
        <f t="shared" si="2"/>
        <v>UMCES Facilities Renewal</v>
      </c>
    </row>
    <row r="14" spans="1:26" x14ac:dyDescent="0.2">
      <c r="A14" s="125"/>
      <c r="B14" s="125" t="s">
        <v>118</v>
      </c>
      <c r="C14" s="153">
        <v>936895</v>
      </c>
      <c r="D14" s="154"/>
      <c r="E14" s="154"/>
      <c r="F14" s="155"/>
      <c r="G14" s="163">
        <v>936895</v>
      </c>
      <c r="H14" s="164">
        <v>0</v>
      </c>
      <c r="I14" s="162"/>
      <c r="J14" s="167"/>
      <c r="K14" s="167"/>
      <c r="L14" s="162">
        <f t="shared" si="0"/>
        <v>936895</v>
      </c>
      <c r="M14" s="162">
        <f t="shared" si="4"/>
        <v>0</v>
      </c>
      <c r="N14" s="162">
        <v>0</v>
      </c>
      <c r="O14" s="162">
        <v>0</v>
      </c>
      <c r="P14" s="136">
        <f t="shared" si="1"/>
        <v>0</v>
      </c>
      <c r="Q14" s="135"/>
      <c r="S14" s="125" t="s">
        <v>160</v>
      </c>
      <c r="T14" s="125" t="s">
        <v>446</v>
      </c>
      <c r="U14" s="272" t="s">
        <v>447</v>
      </c>
      <c r="V14" s="125" t="s">
        <v>445</v>
      </c>
      <c r="W14" s="125" t="s">
        <v>13</v>
      </c>
      <c r="X14" s="238">
        <f t="shared" si="5"/>
        <v>0</v>
      </c>
      <c r="Y14" s="238">
        <f t="shared" si="3"/>
        <v>936895</v>
      </c>
      <c r="Z14" s="125" t="str">
        <f t="shared" si="2"/>
        <v>BSU Facilities Renewal</v>
      </c>
    </row>
    <row r="15" spans="1:26" x14ac:dyDescent="0.2">
      <c r="A15" s="125"/>
      <c r="B15" s="125" t="s">
        <v>119</v>
      </c>
      <c r="C15" s="153">
        <v>664609</v>
      </c>
      <c r="D15" s="154"/>
      <c r="E15" s="154"/>
      <c r="F15" s="155"/>
      <c r="G15" s="163">
        <v>664609</v>
      </c>
      <c r="H15" s="164">
        <v>0</v>
      </c>
      <c r="I15" s="162"/>
      <c r="J15" s="167"/>
      <c r="K15" s="167"/>
      <c r="L15" s="162">
        <f t="shared" si="0"/>
        <v>664609</v>
      </c>
      <c r="M15" s="162">
        <f t="shared" si="4"/>
        <v>0</v>
      </c>
      <c r="N15" s="162">
        <v>0</v>
      </c>
      <c r="O15" s="162">
        <v>0</v>
      </c>
      <c r="P15" s="136">
        <f t="shared" si="1"/>
        <v>0</v>
      </c>
      <c r="Q15" s="135"/>
      <c r="S15" s="125" t="s">
        <v>160</v>
      </c>
      <c r="T15" s="125" t="s">
        <v>446</v>
      </c>
      <c r="U15" s="272" t="s">
        <v>447</v>
      </c>
      <c r="V15" s="125" t="s">
        <v>445</v>
      </c>
      <c r="W15" s="125" t="s">
        <v>14</v>
      </c>
      <c r="X15" s="238">
        <f t="shared" si="5"/>
        <v>0</v>
      </c>
      <c r="Y15" s="238">
        <f t="shared" si="3"/>
        <v>664609</v>
      </c>
      <c r="Z15" s="125" t="str">
        <f t="shared" si="2"/>
        <v>CSU Facilities Renewal</v>
      </c>
    </row>
    <row r="16" spans="1:26" x14ac:dyDescent="0.2">
      <c r="A16" s="125"/>
      <c r="B16" s="125" t="s">
        <v>120</v>
      </c>
      <c r="C16" s="153">
        <v>551730</v>
      </c>
      <c r="D16" s="154"/>
      <c r="E16" s="154"/>
      <c r="F16" s="54"/>
      <c r="G16" s="163">
        <v>551730</v>
      </c>
      <c r="H16" s="164">
        <v>83211.75</v>
      </c>
      <c r="I16" s="162"/>
      <c r="J16" s="167"/>
      <c r="K16" s="167"/>
      <c r="L16" s="162">
        <f t="shared" si="0"/>
        <v>468518.25</v>
      </c>
      <c r="M16" s="162">
        <f t="shared" si="4"/>
        <v>83211.75</v>
      </c>
      <c r="N16" s="162">
        <v>0</v>
      </c>
      <c r="O16" s="162">
        <v>0</v>
      </c>
      <c r="P16" s="136">
        <f t="shared" si="1"/>
        <v>0</v>
      </c>
      <c r="Q16" s="135"/>
      <c r="S16" s="125" t="s">
        <v>160</v>
      </c>
      <c r="T16" s="125" t="s">
        <v>446</v>
      </c>
      <c r="U16" s="272" t="s">
        <v>447</v>
      </c>
      <c r="V16" s="125" t="s">
        <v>445</v>
      </c>
      <c r="W16" s="125" t="s">
        <v>15</v>
      </c>
      <c r="X16" s="238">
        <f t="shared" si="5"/>
        <v>83211.75</v>
      </c>
      <c r="Y16" s="238">
        <f t="shared" si="3"/>
        <v>468518.25</v>
      </c>
      <c r="Z16" s="125" t="str">
        <f t="shared" si="2"/>
        <v>FSU Facilities Renewal</v>
      </c>
    </row>
    <row r="17" spans="1:26" x14ac:dyDescent="0.2">
      <c r="A17" s="125"/>
      <c r="B17" s="125" t="s">
        <v>121</v>
      </c>
      <c r="C17" s="153">
        <v>961364</v>
      </c>
      <c r="D17" s="154"/>
      <c r="E17" s="154"/>
      <c r="F17" s="155"/>
      <c r="G17" s="163">
        <v>961364</v>
      </c>
      <c r="H17" s="164">
        <v>0</v>
      </c>
      <c r="I17" s="162"/>
      <c r="J17" s="167"/>
      <c r="K17" s="167"/>
      <c r="L17" s="162">
        <f t="shared" si="0"/>
        <v>961364</v>
      </c>
      <c r="M17" s="162">
        <f t="shared" si="4"/>
        <v>0</v>
      </c>
      <c r="N17" s="162">
        <v>0</v>
      </c>
      <c r="O17" s="162">
        <v>0</v>
      </c>
      <c r="P17" s="136">
        <f t="shared" si="1"/>
        <v>0</v>
      </c>
      <c r="Q17" s="135"/>
      <c r="S17" s="125" t="s">
        <v>160</v>
      </c>
      <c r="T17" s="125" t="s">
        <v>446</v>
      </c>
      <c r="U17" s="272" t="s">
        <v>447</v>
      </c>
      <c r="V17" s="125" t="s">
        <v>445</v>
      </c>
      <c r="W17" s="125" t="s">
        <v>16</v>
      </c>
      <c r="X17" s="238">
        <f t="shared" si="5"/>
        <v>0</v>
      </c>
      <c r="Y17" s="238">
        <f t="shared" si="3"/>
        <v>961364</v>
      </c>
      <c r="Z17" s="125" t="str">
        <f t="shared" si="2"/>
        <v>SU Facilities Renewal</v>
      </c>
    </row>
    <row r="18" spans="1:26" x14ac:dyDescent="0.2">
      <c r="A18" s="125"/>
      <c r="B18" s="125" t="s">
        <v>122</v>
      </c>
      <c r="C18" s="153">
        <f>1250000+425791+400000</f>
        <v>2075791</v>
      </c>
      <c r="D18" s="154"/>
      <c r="E18" s="154"/>
      <c r="F18" s="155"/>
      <c r="G18" s="163">
        <v>2075791</v>
      </c>
      <c r="H18" s="164">
        <v>0</v>
      </c>
      <c r="I18" s="162"/>
      <c r="J18" s="167"/>
      <c r="K18" s="167"/>
      <c r="L18" s="162">
        <f t="shared" si="0"/>
        <v>2075791</v>
      </c>
      <c r="M18" s="162">
        <f t="shared" si="4"/>
        <v>0</v>
      </c>
      <c r="N18" s="162">
        <v>0</v>
      </c>
      <c r="O18" s="162">
        <v>0</v>
      </c>
      <c r="P18" s="136">
        <f t="shared" si="1"/>
        <v>0</v>
      </c>
      <c r="Q18" s="135"/>
      <c r="S18" s="125" t="s">
        <v>160</v>
      </c>
      <c r="T18" s="125" t="s">
        <v>446</v>
      </c>
      <c r="U18" s="272" t="s">
        <v>447</v>
      </c>
      <c r="V18" s="125" t="s">
        <v>445</v>
      </c>
      <c r="W18" s="125" t="s">
        <v>17</v>
      </c>
      <c r="X18" s="238">
        <f t="shared" si="5"/>
        <v>0</v>
      </c>
      <c r="Y18" s="238">
        <f t="shared" si="3"/>
        <v>2075791</v>
      </c>
      <c r="Z18" s="125" t="str">
        <f t="shared" si="2"/>
        <v>TU Facilities Renewal</v>
      </c>
    </row>
    <row r="19" spans="1:26" x14ac:dyDescent="0.2">
      <c r="A19" s="125"/>
      <c r="B19" s="125" t="s">
        <v>123</v>
      </c>
      <c r="C19" s="153">
        <v>654937</v>
      </c>
      <c r="D19" s="154"/>
      <c r="E19" s="154"/>
      <c r="F19" s="155"/>
      <c r="G19" s="163">
        <v>654937</v>
      </c>
      <c r="H19" s="164">
        <v>0</v>
      </c>
      <c r="I19" s="162"/>
      <c r="J19" s="167"/>
      <c r="K19" s="167"/>
      <c r="L19" s="162">
        <f t="shared" si="0"/>
        <v>654937</v>
      </c>
      <c r="M19" s="162">
        <f t="shared" si="4"/>
        <v>0</v>
      </c>
      <c r="N19" s="162">
        <v>0</v>
      </c>
      <c r="O19" s="162">
        <v>0</v>
      </c>
      <c r="P19" s="136">
        <f t="shared" si="1"/>
        <v>0</v>
      </c>
      <c r="Q19" s="135"/>
      <c r="S19" s="125" t="s">
        <v>160</v>
      </c>
      <c r="T19" s="125" t="s">
        <v>446</v>
      </c>
      <c r="U19" s="272" t="s">
        <v>447</v>
      </c>
      <c r="V19" s="125" t="s">
        <v>445</v>
      </c>
      <c r="W19" s="125" t="s">
        <v>18</v>
      </c>
      <c r="X19" s="238">
        <f t="shared" si="5"/>
        <v>0</v>
      </c>
      <c r="Y19" s="238">
        <f t="shared" si="3"/>
        <v>654937</v>
      </c>
      <c r="Z19" s="125" t="str">
        <f t="shared" si="2"/>
        <v>UB Facilities Renewal</v>
      </c>
    </row>
    <row r="20" spans="1:26" x14ac:dyDescent="0.2">
      <c r="A20" s="125"/>
      <c r="B20" s="125" t="s">
        <v>124</v>
      </c>
      <c r="C20" s="153">
        <v>431976</v>
      </c>
      <c r="D20" s="154"/>
      <c r="E20" s="154"/>
      <c r="F20" s="155"/>
      <c r="G20" s="163">
        <v>431976</v>
      </c>
      <c r="H20" s="164">
        <v>0</v>
      </c>
      <c r="I20" s="162"/>
      <c r="J20" s="167"/>
      <c r="K20" s="167"/>
      <c r="L20" s="162">
        <f t="shared" si="0"/>
        <v>431976</v>
      </c>
      <c r="M20" s="162">
        <f t="shared" si="4"/>
        <v>0</v>
      </c>
      <c r="N20" s="162">
        <v>0</v>
      </c>
      <c r="O20" s="162">
        <v>0</v>
      </c>
      <c r="P20" s="136">
        <f t="shared" si="1"/>
        <v>0</v>
      </c>
      <c r="Q20" s="135"/>
      <c r="S20" s="125" t="s">
        <v>160</v>
      </c>
      <c r="T20" s="125" t="s">
        <v>446</v>
      </c>
      <c r="U20" s="272" t="s">
        <v>447</v>
      </c>
      <c r="V20" s="125" t="s">
        <v>445</v>
      </c>
      <c r="W20" s="125" t="s">
        <v>448</v>
      </c>
      <c r="X20" s="238">
        <f t="shared" si="5"/>
        <v>0</v>
      </c>
      <c r="Y20" s="238">
        <f t="shared" si="3"/>
        <v>431976</v>
      </c>
      <c r="Z20" s="125" t="str">
        <f t="shared" si="2"/>
        <v>USG Campus Building Improvement</v>
      </c>
    </row>
    <row r="21" spans="1:26" x14ac:dyDescent="0.2">
      <c r="A21" s="125"/>
      <c r="B21" s="125" t="s">
        <v>125</v>
      </c>
      <c r="C21" s="153">
        <v>45627</v>
      </c>
      <c r="D21" s="154"/>
      <c r="E21" s="154"/>
      <c r="F21" s="155"/>
      <c r="G21" s="163">
        <v>45627</v>
      </c>
      <c r="H21" s="164">
        <v>0</v>
      </c>
      <c r="I21" s="162"/>
      <c r="J21" s="167"/>
      <c r="K21" s="167"/>
      <c r="L21" s="162">
        <f t="shared" si="0"/>
        <v>45627</v>
      </c>
      <c r="M21" s="162">
        <f t="shared" si="4"/>
        <v>0</v>
      </c>
      <c r="N21" s="162">
        <v>0</v>
      </c>
      <c r="O21" s="162">
        <v>0</v>
      </c>
      <c r="P21" s="136">
        <f t="shared" si="1"/>
        <v>0</v>
      </c>
      <c r="Q21" s="135"/>
      <c r="S21" s="125" t="s">
        <v>160</v>
      </c>
      <c r="T21" s="125" t="s">
        <v>446</v>
      </c>
      <c r="U21" s="272" t="s">
        <v>447</v>
      </c>
      <c r="V21" s="125" t="s">
        <v>445</v>
      </c>
      <c r="W21" s="125" t="s">
        <v>449</v>
      </c>
      <c r="X21" s="238">
        <f t="shared" si="5"/>
        <v>0</v>
      </c>
      <c r="Y21" s="238">
        <f t="shared" si="3"/>
        <v>45627</v>
      </c>
      <c r="Z21" s="125" t="str">
        <f t="shared" si="2"/>
        <v>USM-H Building/System Improvement</v>
      </c>
    </row>
    <row r="22" spans="1:26" x14ac:dyDescent="0.2">
      <c r="A22" s="125"/>
      <c r="B22" s="125" t="s">
        <v>126</v>
      </c>
      <c r="C22" s="153">
        <v>59858</v>
      </c>
      <c r="D22" s="154"/>
      <c r="E22" s="154"/>
      <c r="F22" s="155"/>
      <c r="G22" s="163">
        <v>59858</v>
      </c>
      <c r="H22" s="164">
        <v>0</v>
      </c>
      <c r="I22" s="162"/>
      <c r="J22" s="167"/>
      <c r="K22" s="167"/>
      <c r="L22" s="162">
        <f t="shared" si="0"/>
        <v>59858</v>
      </c>
      <c r="M22" s="162">
        <f t="shared" si="4"/>
        <v>0</v>
      </c>
      <c r="N22" s="162">
        <v>0</v>
      </c>
      <c r="O22" s="162">
        <v>0</v>
      </c>
      <c r="P22" s="136">
        <f t="shared" si="1"/>
        <v>0</v>
      </c>
      <c r="Q22" s="135"/>
      <c r="S22" s="125" t="s">
        <v>160</v>
      </c>
      <c r="T22" s="125" t="s">
        <v>446</v>
      </c>
      <c r="U22" s="272" t="s">
        <v>447</v>
      </c>
      <c r="V22" s="125" t="s">
        <v>445</v>
      </c>
      <c r="W22" s="125" t="s">
        <v>450</v>
      </c>
      <c r="X22" s="238">
        <f t="shared" si="5"/>
        <v>0</v>
      </c>
      <c r="Y22" s="238">
        <f t="shared" si="3"/>
        <v>59858</v>
      </c>
      <c r="Z22" s="125" t="str">
        <f t="shared" si="2"/>
        <v>USMSM Building/System Improvement</v>
      </c>
    </row>
    <row r="23" spans="1:26" x14ac:dyDescent="0.2">
      <c r="A23" s="125"/>
      <c r="B23" s="165" t="s">
        <v>127</v>
      </c>
      <c r="C23" s="153">
        <f>500000</f>
        <v>500000</v>
      </c>
      <c r="D23" s="154"/>
      <c r="E23" s="162"/>
      <c r="F23" s="155"/>
      <c r="G23" s="163">
        <v>500000</v>
      </c>
      <c r="H23" s="164">
        <v>0</v>
      </c>
      <c r="I23" s="162"/>
      <c r="J23" s="167"/>
      <c r="K23" s="167"/>
      <c r="L23" s="162">
        <f t="shared" si="0"/>
        <v>500000</v>
      </c>
      <c r="M23" s="162">
        <f t="shared" si="4"/>
        <v>0</v>
      </c>
      <c r="N23" s="162">
        <v>0</v>
      </c>
      <c r="O23" s="162">
        <v>0</v>
      </c>
      <c r="P23" s="136">
        <f t="shared" si="1"/>
        <v>0</v>
      </c>
      <c r="Q23" s="135"/>
      <c r="S23" s="125" t="s">
        <v>160</v>
      </c>
      <c r="T23" s="125" t="s">
        <v>446</v>
      </c>
      <c r="U23" s="272" t="s">
        <v>447</v>
      </c>
      <c r="V23" s="125" t="s">
        <v>445</v>
      </c>
      <c r="W23" s="165" t="s">
        <v>32</v>
      </c>
      <c r="X23" s="238">
        <f t="shared" si="5"/>
        <v>0</v>
      </c>
      <c r="Y23" s="238">
        <f t="shared" si="3"/>
        <v>500000</v>
      </c>
      <c r="Z23" s="125" t="str">
        <f t="shared" si="2"/>
        <v>USM Fac Renewal Emergency Fund-unallocated:</v>
      </c>
    </row>
    <row r="24" spans="1:26" x14ac:dyDescent="0.2">
      <c r="A24" s="125"/>
      <c r="B24" s="125"/>
      <c r="C24" s="153"/>
      <c r="D24" s="154"/>
      <c r="E24" s="154"/>
      <c r="F24" s="155"/>
      <c r="G24" s="156"/>
      <c r="H24" s="157"/>
      <c r="I24" s="154"/>
      <c r="J24" s="158"/>
      <c r="K24" s="158"/>
      <c r="L24" s="154"/>
      <c r="M24" s="154"/>
      <c r="N24" s="154"/>
      <c r="O24" s="154"/>
      <c r="P24" s="136"/>
      <c r="Q24" s="135"/>
    </row>
    <row r="25" spans="1:26" ht="13.5" thickBot="1" x14ac:dyDescent="0.25">
      <c r="A25" s="125"/>
      <c r="B25" s="168" t="s">
        <v>128</v>
      </c>
      <c r="C25" s="169">
        <f t="shared" ref="C25:O25" si="6">SUM(C7:C24)</f>
        <v>30000000</v>
      </c>
      <c r="D25" s="169">
        <f t="shared" si="6"/>
        <v>0</v>
      </c>
      <c r="E25" s="169">
        <f t="shared" si="6"/>
        <v>0</v>
      </c>
      <c r="F25" s="169">
        <f t="shared" si="6"/>
        <v>0</v>
      </c>
      <c r="G25" s="169">
        <f t="shared" si="6"/>
        <v>30000000</v>
      </c>
      <c r="H25" s="169">
        <f t="shared" si="6"/>
        <v>2683956.81</v>
      </c>
      <c r="I25" s="169">
        <f>SUM(I7:I24)</f>
        <v>2253426.81</v>
      </c>
      <c r="J25" s="169">
        <f t="shared" si="6"/>
        <v>0</v>
      </c>
      <c r="K25" s="169">
        <f t="shared" si="6"/>
        <v>0</v>
      </c>
      <c r="L25" s="169">
        <f t="shared" si="6"/>
        <v>25062616.379999999</v>
      </c>
      <c r="M25" s="169">
        <f t="shared" si="6"/>
        <v>4937383.62</v>
      </c>
      <c r="N25" s="169">
        <f t="shared" si="6"/>
        <v>0</v>
      </c>
      <c r="O25" s="169">
        <f t="shared" si="6"/>
        <v>0</v>
      </c>
      <c r="P25" s="169"/>
      <c r="Q25" s="135"/>
    </row>
    <row r="26" spans="1:26" ht="13.5" thickTop="1" x14ac:dyDescent="0.2">
      <c r="A26" s="125"/>
      <c r="B26" s="125"/>
      <c r="C26" s="153"/>
      <c r="D26" s="154"/>
      <c r="E26" s="154"/>
      <c r="F26" s="155"/>
      <c r="G26" s="156"/>
      <c r="H26" s="157"/>
      <c r="I26" s="154"/>
      <c r="J26" s="158"/>
      <c r="K26" s="158"/>
      <c r="L26" s="154"/>
      <c r="M26" s="154"/>
      <c r="N26" s="154"/>
      <c r="O26" s="154"/>
      <c r="P26" s="125"/>
      <c r="Q26" s="125"/>
    </row>
    <row r="27" spans="1:26" x14ac:dyDescent="0.2">
      <c r="A27" s="160" t="s">
        <v>130</v>
      </c>
      <c r="B27" s="161"/>
      <c r="C27" s="153"/>
      <c r="D27" s="154"/>
      <c r="E27" s="154"/>
      <c r="F27" s="162"/>
      <c r="G27" s="163"/>
      <c r="H27" s="164"/>
      <c r="I27" s="163"/>
      <c r="J27" s="163"/>
      <c r="K27" s="163"/>
      <c r="L27" s="162"/>
      <c r="M27" s="162"/>
      <c r="N27" s="162"/>
      <c r="O27" s="162"/>
      <c r="P27" s="135"/>
      <c r="Q27" s="135"/>
    </row>
    <row r="28" spans="1:26" x14ac:dyDescent="0.2">
      <c r="A28" s="125"/>
      <c r="B28" s="125" t="s">
        <v>110</v>
      </c>
      <c r="C28" s="153">
        <v>2500000</v>
      </c>
      <c r="D28" s="154"/>
      <c r="E28" s="154"/>
      <c r="F28" s="166">
        <f>293257.32+54612.37</f>
        <v>347869.69</v>
      </c>
      <c r="G28" s="163">
        <v>2152130.31</v>
      </c>
      <c r="H28" s="164">
        <v>759980.16000000027</v>
      </c>
      <c r="I28" s="162"/>
      <c r="J28" s="167">
        <f>[2]UMCP!J471</f>
        <v>0</v>
      </c>
      <c r="K28" s="167">
        <f>[2]UMCP!K471</f>
        <v>0</v>
      </c>
      <c r="L28" s="162">
        <f t="shared" ref="L28:L45" si="7">G28-H28-I28-J28-K28</f>
        <v>1392150.15</v>
      </c>
      <c r="M28" s="162">
        <f t="shared" ref="M28:M45" si="8">H28-N28-O28</f>
        <v>592207.53000000026</v>
      </c>
      <c r="N28" s="162">
        <v>167772.63</v>
      </c>
      <c r="O28" s="162">
        <v>0</v>
      </c>
      <c r="P28" s="136">
        <f t="shared" ref="P28:P45" si="9">C28+D28+E28-F28-G28</f>
        <v>0</v>
      </c>
      <c r="Q28" s="136" t="s">
        <v>111</v>
      </c>
      <c r="S28" s="125" t="s">
        <v>160</v>
      </c>
      <c r="T28" s="125" t="s">
        <v>160</v>
      </c>
      <c r="U28" s="125">
        <v>20</v>
      </c>
      <c r="V28" s="125" t="s">
        <v>451</v>
      </c>
      <c r="W28" s="125" t="s">
        <v>7</v>
      </c>
      <c r="X28" s="238">
        <f t="shared" ref="X28:X45" si="10">H28</f>
        <v>759980.16000000027</v>
      </c>
      <c r="Y28" s="238">
        <f t="shared" ref="Y28:Y45" si="11">L28</f>
        <v>1392150.15</v>
      </c>
      <c r="Z28" s="125" t="s">
        <v>110</v>
      </c>
    </row>
    <row r="29" spans="1:26" x14ac:dyDescent="0.2">
      <c r="A29" s="125"/>
      <c r="B29" s="125" t="s">
        <v>131</v>
      </c>
      <c r="C29" s="153">
        <v>2192000</v>
      </c>
      <c r="D29" s="154"/>
      <c r="E29" s="154"/>
      <c r="F29" s="155"/>
      <c r="G29" s="163">
        <v>2192000</v>
      </c>
      <c r="H29" s="164">
        <v>0</v>
      </c>
      <c r="I29" s="162"/>
      <c r="J29" s="167">
        <f>[2]UMES!J242</f>
        <v>0</v>
      </c>
      <c r="K29" s="167">
        <f>[2]UMES!K242</f>
        <v>0</v>
      </c>
      <c r="L29" s="162">
        <f t="shared" si="7"/>
        <v>2192000</v>
      </c>
      <c r="M29" s="162">
        <f t="shared" si="8"/>
        <v>0</v>
      </c>
      <c r="N29" s="162">
        <v>0</v>
      </c>
      <c r="O29" s="162">
        <v>0</v>
      </c>
      <c r="P29" s="136">
        <f t="shared" si="9"/>
        <v>0</v>
      </c>
      <c r="Q29" s="136" t="s">
        <v>111</v>
      </c>
      <c r="S29" s="125" t="s">
        <v>160</v>
      </c>
      <c r="T29" s="125" t="s">
        <v>160</v>
      </c>
      <c r="U29" s="125">
        <v>20</v>
      </c>
      <c r="V29" s="125" t="s">
        <v>451</v>
      </c>
      <c r="W29" s="125" t="s">
        <v>10</v>
      </c>
      <c r="X29" s="238">
        <f t="shared" si="10"/>
        <v>0</v>
      </c>
      <c r="Y29" s="238">
        <f t="shared" si="11"/>
        <v>2192000</v>
      </c>
      <c r="Z29" s="125" t="s">
        <v>131</v>
      </c>
    </row>
    <row r="30" spans="1:26" x14ac:dyDescent="0.2">
      <c r="A30" s="125"/>
      <c r="B30" s="165" t="s">
        <v>112</v>
      </c>
      <c r="C30" s="153"/>
      <c r="D30" s="154"/>
      <c r="E30" s="154"/>
      <c r="F30" s="155"/>
      <c r="G30" s="163"/>
      <c r="H30" s="164"/>
      <c r="I30" s="162"/>
      <c r="J30" s="167"/>
      <c r="K30" s="167"/>
      <c r="L30" s="162">
        <f t="shared" si="7"/>
        <v>0</v>
      </c>
      <c r="M30" s="162"/>
      <c r="N30" s="162"/>
      <c r="O30" s="162"/>
      <c r="P30" s="136">
        <f t="shared" si="9"/>
        <v>0</v>
      </c>
      <c r="Q30" s="135"/>
      <c r="W30" s="165"/>
    </row>
    <row r="31" spans="1:26" x14ac:dyDescent="0.2">
      <c r="A31" s="125"/>
      <c r="B31" s="125" t="s">
        <v>113</v>
      </c>
      <c r="C31" s="153">
        <f>300000+2652191+1000000+700000+1300000+290000+150000+510000+975000+900000+700000</f>
        <v>9477191</v>
      </c>
      <c r="D31" s="154"/>
      <c r="E31" s="154"/>
      <c r="F31" s="54">
        <f>2200211.31+1345.5+9664</f>
        <v>2211220.81</v>
      </c>
      <c r="G31" s="163">
        <v>7265970.1899999995</v>
      </c>
      <c r="H31" s="164">
        <v>6622572.5500000026</v>
      </c>
      <c r="I31" s="162"/>
      <c r="J31" s="167">
        <f>[2]UMCP!J65</f>
        <v>0</v>
      </c>
      <c r="K31" s="167">
        <f>[2]UMCP!K65</f>
        <v>0</v>
      </c>
      <c r="L31" s="162">
        <f t="shared" si="7"/>
        <v>643397.63999999687</v>
      </c>
      <c r="M31" s="162">
        <f t="shared" si="8"/>
        <v>1611741.660000002</v>
      </c>
      <c r="N31" s="162">
        <v>5010830.8900000006</v>
      </c>
      <c r="O31" s="162">
        <v>0</v>
      </c>
      <c r="P31" s="136">
        <f t="shared" si="9"/>
        <v>0</v>
      </c>
      <c r="Q31" s="135"/>
      <c r="S31" s="125" t="s">
        <v>160</v>
      </c>
      <c r="T31" s="125" t="s">
        <v>446</v>
      </c>
      <c r="U31" s="272" t="s">
        <v>447</v>
      </c>
      <c r="V31" s="125" t="s">
        <v>451</v>
      </c>
      <c r="W31" s="125" t="s">
        <v>7</v>
      </c>
      <c r="X31" s="238">
        <f t="shared" si="10"/>
        <v>6622572.5500000026</v>
      </c>
      <c r="Y31" s="238">
        <f t="shared" si="11"/>
        <v>643397.63999999687</v>
      </c>
      <c r="Z31" s="125" t="s">
        <v>113</v>
      </c>
    </row>
    <row r="32" spans="1:26" x14ac:dyDescent="0.2">
      <c r="A32" s="125"/>
      <c r="B32" s="125" t="s">
        <v>114</v>
      </c>
      <c r="C32" s="153">
        <f>990000+990000+990000+827264+1199136</f>
        <v>4996400</v>
      </c>
      <c r="D32" s="154"/>
      <c r="E32" s="154"/>
      <c r="F32" s="155"/>
      <c r="G32" s="163">
        <v>4996400</v>
      </c>
      <c r="H32" s="164">
        <v>1069121.96</v>
      </c>
      <c r="I32" s="162"/>
      <c r="J32" s="167">
        <f>[2]UMB!J88</f>
        <v>0</v>
      </c>
      <c r="K32" s="167">
        <f>[2]UMB!K88</f>
        <v>0</v>
      </c>
      <c r="L32" s="162">
        <f t="shared" si="7"/>
        <v>3927278.04</v>
      </c>
      <c r="M32" s="162">
        <f t="shared" si="8"/>
        <v>1069121.96</v>
      </c>
      <c r="N32" s="162">
        <v>0</v>
      </c>
      <c r="O32" s="162">
        <v>0</v>
      </c>
      <c r="P32" s="136">
        <f t="shared" si="9"/>
        <v>0</v>
      </c>
      <c r="Q32" s="135"/>
      <c r="S32" s="125" t="s">
        <v>160</v>
      </c>
      <c r="T32" s="125" t="s">
        <v>446</v>
      </c>
      <c r="U32" s="272" t="s">
        <v>447</v>
      </c>
      <c r="V32" s="125" t="s">
        <v>451</v>
      </c>
      <c r="W32" s="125" t="s">
        <v>8</v>
      </c>
      <c r="X32" s="238">
        <f t="shared" si="10"/>
        <v>1069121.96</v>
      </c>
      <c r="Y32" s="238">
        <f t="shared" si="11"/>
        <v>3927278.04</v>
      </c>
      <c r="Z32" s="125" t="s">
        <v>114</v>
      </c>
    </row>
    <row r="33" spans="1:26" x14ac:dyDescent="0.2">
      <c r="A33" s="125"/>
      <c r="B33" s="125" t="s">
        <v>115</v>
      </c>
      <c r="C33" s="153">
        <v>1301342</v>
      </c>
      <c r="D33" s="154"/>
      <c r="E33" s="154"/>
      <c r="F33" s="54">
        <f>277763+130204</f>
        <v>407967</v>
      </c>
      <c r="G33" s="163">
        <v>893375</v>
      </c>
      <c r="H33" s="164">
        <v>752227</v>
      </c>
      <c r="I33" s="162"/>
      <c r="J33" s="167">
        <f>[2]UMES!J58</f>
        <v>0</v>
      </c>
      <c r="K33" s="167">
        <f>[2]UMES!K58</f>
        <v>0</v>
      </c>
      <c r="L33" s="162">
        <f t="shared" si="7"/>
        <v>141148</v>
      </c>
      <c r="M33" s="162">
        <f t="shared" si="8"/>
        <v>617547</v>
      </c>
      <c r="N33" s="162">
        <v>134680</v>
      </c>
      <c r="O33" s="162">
        <v>0</v>
      </c>
      <c r="P33" s="136">
        <f t="shared" si="9"/>
        <v>0</v>
      </c>
      <c r="Q33" s="135"/>
      <c r="S33" s="125" t="s">
        <v>160</v>
      </c>
      <c r="T33" s="125" t="s">
        <v>446</v>
      </c>
      <c r="U33" s="272" t="s">
        <v>447</v>
      </c>
      <c r="V33" s="125" t="s">
        <v>451</v>
      </c>
      <c r="W33" s="125" t="s">
        <v>10</v>
      </c>
      <c r="X33" s="238">
        <f t="shared" si="10"/>
        <v>752227</v>
      </c>
      <c r="Y33" s="238">
        <f t="shared" si="11"/>
        <v>141148</v>
      </c>
      <c r="Z33" s="125" t="s">
        <v>115</v>
      </c>
    </row>
    <row r="34" spans="1:26" x14ac:dyDescent="0.2">
      <c r="A34" s="125"/>
      <c r="B34" s="125" t="s">
        <v>116</v>
      </c>
      <c r="C34" s="153">
        <v>2341242</v>
      </c>
      <c r="D34" s="154"/>
      <c r="E34" s="154"/>
      <c r="F34" s="155"/>
      <c r="G34" s="163">
        <v>2341242</v>
      </c>
      <c r="H34" s="164">
        <v>908.17</v>
      </c>
      <c r="I34" s="162"/>
      <c r="J34" s="167">
        <f>[2]UMBC!J27</f>
        <v>0</v>
      </c>
      <c r="K34" s="167">
        <f>[2]UMBC!K27</f>
        <v>0</v>
      </c>
      <c r="L34" s="162">
        <f t="shared" si="7"/>
        <v>2340333.83</v>
      </c>
      <c r="M34" s="162">
        <f t="shared" si="8"/>
        <v>908.17</v>
      </c>
      <c r="N34" s="162">
        <v>0</v>
      </c>
      <c r="O34" s="162">
        <v>0</v>
      </c>
      <c r="P34" s="136">
        <f t="shared" si="9"/>
        <v>0</v>
      </c>
      <c r="Q34" s="135"/>
      <c r="S34" s="125" t="s">
        <v>160</v>
      </c>
      <c r="T34" s="125" t="s">
        <v>446</v>
      </c>
      <c r="U34" s="272" t="s">
        <v>447</v>
      </c>
      <c r="V34" s="125" t="s">
        <v>451</v>
      </c>
      <c r="W34" s="125" t="s">
        <v>11</v>
      </c>
      <c r="X34" s="238">
        <f t="shared" si="10"/>
        <v>908.17</v>
      </c>
      <c r="Y34" s="238">
        <f t="shared" si="11"/>
        <v>2340333.83</v>
      </c>
      <c r="Z34" s="125" t="s">
        <v>116</v>
      </c>
    </row>
    <row r="35" spans="1:26" x14ac:dyDescent="0.2">
      <c r="A35" s="125"/>
      <c r="B35" s="125" t="s">
        <v>117</v>
      </c>
      <c r="C35" s="153">
        <v>358037</v>
      </c>
      <c r="D35" s="154"/>
      <c r="E35" s="154"/>
      <c r="F35" s="155"/>
      <c r="G35" s="163">
        <v>358037</v>
      </c>
      <c r="H35" s="164">
        <v>0</v>
      </c>
      <c r="I35" s="162"/>
      <c r="J35" s="167">
        <f>[2]UMCES!J67</f>
        <v>0</v>
      </c>
      <c r="K35" s="167">
        <f>[2]UMCES!K67</f>
        <v>0</v>
      </c>
      <c r="L35" s="162">
        <f t="shared" si="7"/>
        <v>358037</v>
      </c>
      <c r="M35" s="162">
        <f t="shared" si="8"/>
        <v>0</v>
      </c>
      <c r="N35" s="162">
        <v>0</v>
      </c>
      <c r="O35" s="162">
        <v>0</v>
      </c>
      <c r="P35" s="136">
        <f t="shared" si="9"/>
        <v>0</v>
      </c>
      <c r="Q35" s="135"/>
      <c r="S35" s="125" t="s">
        <v>160</v>
      </c>
      <c r="T35" s="125" t="s">
        <v>446</v>
      </c>
      <c r="U35" s="272" t="s">
        <v>447</v>
      </c>
      <c r="V35" s="125" t="s">
        <v>451</v>
      </c>
      <c r="W35" s="125" t="s">
        <v>12</v>
      </c>
      <c r="X35" s="238">
        <f t="shared" si="10"/>
        <v>0</v>
      </c>
      <c r="Y35" s="238">
        <f t="shared" si="11"/>
        <v>358037</v>
      </c>
      <c r="Z35" s="125" t="s">
        <v>117</v>
      </c>
    </row>
    <row r="36" spans="1:26" x14ac:dyDescent="0.2">
      <c r="A36" s="125"/>
      <c r="B36" s="125" t="s">
        <v>118</v>
      </c>
      <c r="C36" s="153">
        <v>857383</v>
      </c>
      <c r="D36" s="154"/>
      <c r="E36" s="154"/>
      <c r="F36" s="155"/>
      <c r="G36" s="163">
        <v>857383</v>
      </c>
      <c r="H36" s="164">
        <v>476136.22</v>
      </c>
      <c r="I36" s="162"/>
      <c r="J36" s="167">
        <f>[2]BSU!J30</f>
        <v>0</v>
      </c>
      <c r="K36" s="167">
        <f>[2]BSU!K30</f>
        <v>0</v>
      </c>
      <c r="L36" s="162">
        <f t="shared" si="7"/>
        <v>381246.78</v>
      </c>
      <c r="M36" s="162">
        <f t="shared" si="8"/>
        <v>476136.22</v>
      </c>
      <c r="N36" s="162">
        <v>0</v>
      </c>
      <c r="O36" s="162">
        <v>0</v>
      </c>
      <c r="P36" s="136">
        <f t="shared" si="9"/>
        <v>0</v>
      </c>
      <c r="Q36" s="135"/>
      <c r="S36" s="125" t="s">
        <v>160</v>
      </c>
      <c r="T36" s="125" t="s">
        <v>446</v>
      </c>
      <c r="U36" s="272" t="s">
        <v>447</v>
      </c>
      <c r="V36" s="125" t="s">
        <v>451</v>
      </c>
      <c r="W36" s="125" t="s">
        <v>13</v>
      </c>
      <c r="X36" s="238">
        <f t="shared" si="10"/>
        <v>476136.22</v>
      </c>
      <c r="Y36" s="238">
        <f t="shared" si="11"/>
        <v>381246.78</v>
      </c>
      <c r="Z36" s="125" t="s">
        <v>118</v>
      </c>
    </row>
    <row r="37" spans="1:26" x14ac:dyDescent="0.2">
      <c r="A37" s="125"/>
      <c r="B37" s="125" t="s">
        <v>119</v>
      </c>
      <c r="C37" s="153">
        <v>564649</v>
      </c>
      <c r="D37" s="154"/>
      <c r="E37" s="154"/>
      <c r="F37" s="155"/>
      <c r="G37" s="163">
        <v>564649</v>
      </c>
      <c r="H37" s="164">
        <v>395125.08</v>
      </c>
      <c r="I37" s="162"/>
      <c r="J37" s="167">
        <f>[2]CSU!J74</f>
        <v>0</v>
      </c>
      <c r="K37" s="167">
        <f>[2]CSU!K74</f>
        <v>0</v>
      </c>
      <c r="L37" s="162">
        <f t="shared" si="7"/>
        <v>169523.91999999998</v>
      </c>
      <c r="M37" s="162">
        <f t="shared" si="8"/>
        <v>233753.88</v>
      </c>
      <c r="N37" s="162">
        <v>161371.20000000001</v>
      </c>
      <c r="O37" s="162">
        <v>0</v>
      </c>
      <c r="P37" s="136">
        <f t="shared" si="9"/>
        <v>0</v>
      </c>
      <c r="Q37" s="135"/>
      <c r="S37" s="125" t="s">
        <v>160</v>
      </c>
      <c r="T37" s="125" t="s">
        <v>446</v>
      </c>
      <c r="U37" s="272" t="s">
        <v>447</v>
      </c>
      <c r="V37" s="125" t="s">
        <v>451</v>
      </c>
      <c r="W37" s="125" t="s">
        <v>14</v>
      </c>
      <c r="X37" s="238">
        <f t="shared" si="10"/>
        <v>395125.08</v>
      </c>
      <c r="Y37" s="238">
        <f t="shared" si="11"/>
        <v>169523.91999999998</v>
      </c>
      <c r="Z37" s="125" t="s">
        <v>119</v>
      </c>
    </row>
    <row r="38" spans="1:26" x14ac:dyDescent="0.2">
      <c r="A38" s="125"/>
      <c r="B38" s="125" t="s">
        <v>120</v>
      </c>
      <c r="C38" s="153">
        <v>515190</v>
      </c>
      <c r="D38" s="154"/>
      <c r="E38" s="154"/>
      <c r="F38" s="54">
        <f>2480</f>
        <v>2480</v>
      </c>
      <c r="G38" s="163">
        <v>512710</v>
      </c>
      <c r="H38" s="164">
        <v>512710</v>
      </c>
      <c r="I38" s="162"/>
      <c r="J38" s="167">
        <f>[2]FSU!J40</f>
        <v>0</v>
      </c>
      <c r="K38" s="167">
        <f>[2]FSU!K40</f>
        <v>0</v>
      </c>
      <c r="L38" s="162">
        <f t="shared" si="7"/>
        <v>0</v>
      </c>
      <c r="M38" s="162">
        <f t="shared" si="8"/>
        <v>183780.01000000007</v>
      </c>
      <c r="N38" s="162">
        <v>328929.98999999993</v>
      </c>
      <c r="O38" s="162">
        <v>0</v>
      </c>
      <c r="P38" s="136">
        <f t="shared" si="9"/>
        <v>0</v>
      </c>
      <c r="Q38" s="135"/>
      <c r="S38" s="125" t="s">
        <v>160</v>
      </c>
      <c r="T38" s="125" t="s">
        <v>446</v>
      </c>
      <c r="U38" s="272" t="s">
        <v>447</v>
      </c>
      <c r="V38" s="125" t="s">
        <v>451</v>
      </c>
      <c r="W38" s="125" t="s">
        <v>15</v>
      </c>
      <c r="X38" s="238">
        <f t="shared" si="10"/>
        <v>512710</v>
      </c>
      <c r="Y38" s="238">
        <f t="shared" si="11"/>
        <v>0</v>
      </c>
      <c r="Z38" s="125" t="s">
        <v>120</v>
      </c>
    </row>
    <row r="39" spans="1:26" x14ac:dyDescent="0.2">
      <c r="A39" s="125"/>
      <c r="B39" s="125" t="s">
        <v>121</v>
      </c>
      <c r="C39" s="153">
        <v>943287</v>
      </c>
      <c r="D39" s="154"/>
      <c r="E39" s="154"/>
      <c r="F39" s="155"/>
      <c r="G39" s="163">
        <v>943287</v>
      </c>
      <c r="H39" s="164">
        <v>0</v>
      </c>
      <c r="I39" s="162"/>
      <c r="J39" s="167">
        <f>[2]SU!J25</f>
        <v>0</v>
      </c>
      <c r="K39" s="167">
        <f>[2]SU!K25</f>
        <v>0</v>
      </c>
      <c r="L39" s="162">
        <f t="shared" si="7"/>
        <v>943287</v>
      </c>
      <c r="M39" s="162">
        <f t="shared" si="8"/>
        <v>0</v>
      </c>
      <c r="N39" s="162">
        <v>0</v>
      </c>
      <c r="O39" s="162">
        <v>0</v>
      </c>
      <c r="P39" s="136">
        <f t="shared" si="9"/>
        <v>0</v>
      </c>
      <c r="Q39" s="135"/>
      <c r="S39" s="125" t="s">
        <v>160</v>
      </c>
      <c r="T39" s="125" t="s">
        <v>446</v>
      </c>
      <c r="U39" s="272" t="s">
        <v>447</v>
      </c>
      <c r="V39" s="125" t="s">
        <v>451</v>
      </c>
      <c r="W39" s="125" t="s">
        <v>16</v>
      </c>
      <c r="X39" s="238">
        <f t="shared" si="10"/>
        <v>0</v>
      </c>
      <c r="Y39" s="238">
        <f t="shared" si="11"/>
        <v>943287</v>
      </c>
      <c r="Z39" s="125" t="s">
        <v>121</v>
      </c>
    </row>
    <row r="40" spans="1:26" x14ac:dyDescent="0.2">
      <c r="A40" s="125"/>
      <c r="B40" s="125" t="s">
        <v>122</v>
      </c>
      <c r="C40" s="153">
        <v>2337131</v>
      </c>
      <c r="D40" s="154"/>
      <c r="E40" s="154"/>
      <c r="F40" s="155"/>
      <c r="G40" s="163">
        <v>2337131</v>
      </c>
      <c r="H40" s="164">
        <v>0</v>
      </c>
      <c r="I40" s="162"/>
      <c r="J40" s="167">
        <f>[2]TU!J47+[2]TU!J52+[2]TU!J57</f>
        <v>0</v>
      </c>
      <c r="K40" s="167">
        <f>[2]TU!K47+[2]TU!K52+[2]TU!K57</f>
        <v>0</v>
      </c>
      <c r="L40" s="162">
        <f t="shared" si="7"/>
        <v>2337131</v>
      </c>
      <c r="M40" s="162">
        <f t="shared" si="8"/>
        <v>0</v>
      </c>
      <c r="N40" s="162">
        <v>0</v>
      </c>
      <c r="O40" s="162">
        <v>0</v>
      </c>
      <c r="P40" s="136">
        <f t="shared" si="9"/>
        <v>0</v>
      </c>
      <c r="Q40" s="135"/>
      <c r="S40" s="125" t="s">
        <v>160</v>
      </c>
      <c r="T40" s="125" t="s">
        <v>446</v>
      </c>
      <c r="U40" s="272" t="s">
        <v>447</v>
      </c>
      <c r="V40" s="125" t="s">
        <v>451</v>
      </c>
      <c r="W40" s="125" t="s">
        <v>17</v>
      </c>
      <c r="X40" s="238">
        <f t="shared" si="10"/>
        <v>0</v>
      </c>
      <c r="Y40" s="238">
        <f t="shared" si="11"/>
        <v>2337131</v>
      </c>
      <c r="Z40" s="125" t="s">
        <v>122</v>
      </c>
    </row>
    <row r="41" spans="1:26" x14ac:dyDescent="0.2">
      <c r="A41" s="125"/>
      <c r="B41" s="125" t="s">
        <v>123</v>
      </c>
      <c r="C41" s="153">
        <v>890113</v>
      </c>
      <c r="D41" s="154"/>
      <c r="E41" s="154"/>
      <c r="F41" s="155"/>
      <c r="G41" s="163">
        <v>890113</v>
      </c>
      <c r="H41" s="164">
        <v>79691.070000000007</v>
      </c>
      <c r="I41" s="162"/>
      <c r="J41" s="167">
        <f>[2]UB!J42</f>
        <v>0</v>
      </c>
      <c r="K41" s="167">
        <f>[2]UB!K42</f>
        <v>0</v>
      </c>
      <c r="L41" s="162">
        <f t="shared" si="7"/>
        <v>810421.92999999993</v>
      </c>
      <c r="M41" s="162">
        <f t="shared" si="8"/>
        <v>30212.500000000007</v>
      </c>
      <c r="N41" s="162">
        <v>49478.57</v>
      </c>
      <c r="O41" s="162">
        <v>0</v>
      </c>
      <c r="P41" s="136">
        <f t="shared" si="9"/>
        <v>0</v>
      </c>
      <c r="Q41" s="135"/>
      <c r="S41" s="125" t="s">
        <v>160</v>
      </c>
      <c r="T41" s="125" t="s">
        <v>446</v>
      </c>
      <c r="U41" s="272" t="s">
        <v>447</v>
      </c>
      <c r="V41" s="125" t="s">
        <v>451</v>
      </c>
      <c r="W41" s="125" t="s">
        <v>18</v>
      </c>
      <c r="X41" s="238">
        <f t="shared" si="10"/>
        <v>79691.070000000007</v>
      </c>
      <c r="Y41" s="238">
        <f t="shared" si="11"/>
        <v>810421.92999999993</v>
      </c>
      <c r="Z41" s="125" t="s">
        <v>123</v>
      </c>
    </row>
    <row r="42" spans="1:26" x14ac:dyDescent="0.2">
      <c r="A42" s="125"/>
      <c r="B42" s="165" t="s">
        <v>127</v>
      </c>
      <c r="C42" s="153">
        <v>726035</v>
      </c>
      <c r="D42" s="154"/>
      <c r="E42" s="162">
        <f>-418037</f>
        <v>-418037</v>
      </c>
      <c r="F42" s="155"/>
      <c r="G42" s="163">
        <v>307998</v>
      </c>
      <c r="H42" s="164">
        <v>0</v>
      </c>
      <c r="I42" s="162"/>
      <c r="J42" s="167"/>
      <c r="K42" s="167"/>
      <c r="L42" s="162">
        <f t="shared" si="7"/>
        <v>307998</v>
      </c>
      <c r="M42" s="162">
        <f t="shared" si="8"/>
        <v>0</v>
      </c>
      <c r="N42" s="162">
        <v>0</v>
      </c>
      <c r="O42" s="162">
        <v>0</v>
      </c>
      <c r="P42" s="136">
        <f t="shared" si="9"/>
        <v>0</v>
      </c>
      <c r="Q42" s="135"/>
      <c r="S42" s="125" t="s">
        <v>160</v>
      </c>
      <c r="T42" s="125" t="s">
        <v>446</v>
      </c>
      <c r="U42" s="272" t="s">
        <v>447</v>
      </c>
      <c r="V42" s="125" t="s">
        <v>451</v>
      </c>
      <c r="W42" s="165" t="s">
        <v>32</v>
      </c>
      <c r="X42" s="238">
        <f t="shared" si="10"/>
        <v>0</v>
      </c>
      <c r="Y42" s="238">
        <f t="shared" si="11"/>
        <v>307998</v>
      </c>
      <c r="Z42" s="125" t="s">
        <v>127</v>
      </c>
    </row>
    <row r="43" spans="1:26" x14ac:dyDescent="0.2">
      <c r="A43" s="125"/>
      <c r="B43" s="125" t="s">
        <v>132</v>
      </c>
      <c r="C43" s="153"/>
      <c r="D43" s="154"/>
      <c r="E43" s="170">
        <v>335990</v>
      </c>
      <c r="F43" s="155"/>
      <c r="G43" s="163">
        <v>335990</v>
      </c>
      <c r="H43" s="164">
        <v>0</v>
      </c>
      <c r="I43" s="162"/>
      <c r="J43" s="167"/>
      <c r="K43" s="167"/>
      <c r="L43" s="162">
        <f t="shared" si="7"/>
        <v>335990</v>
      </c>
      <c r="M43" s="162">
        <f t="shared" si="8"/>
        <v>0</v>
      </c>
      <c r="N43" s="162">
        <v>0</v>
      </c>
      <c r="O43" s="162">
        <v>0</v>
      </c>
      <c r="P43" s="136">
        <f t="shared" si="9"/>
        <v>0</v>
      </c>
      <c r="Q43" s="135"/>
      <c r="S43" s="125" t="s">
        <v>160</v>
      </c>
      <c r="T43" s="125" t="s">
        <v>446</v>
      </c>
      <c r="U43" s="272" t="s">
        <v>447</v>
      </c>
      <c r="V43" s="125" t="s">
        <v>451</v>
      </c>
      <c r="W43" s="125" t="s">
        <v>448</v>
      </c>
      <c r="X43" s="238">
        <f t="shared" si="10"/>
        <v>0</v>
      </c>
      <c r="Y43" s="238">
        <f t="shared" si="11"/>
        <v>335990</v>
      </c>
      <c r="Z43" s="125" t="s">
        <v>132</v>
      </c>
    </row>
    <row r="44" spans="1:26" x14ac:dyDescent="0.2">
      <c r="A44" s="125"/>
      <c r="B44" s="125" t="s">
        <v>133</v>
      </c>
      <c r="C44" s="153"/>
      <c r="D44" s="154"/>
      <c r="E44" s="170">
        <v>35489</v>
      </c>
      <c r="F44" s="155"/>
      <c r="G44" s="163">
        <v>35489</v>
      </c>
      <c r="H44" s="164">
        <v>0</v>
      </c>
      <c r="I44" s="162"/>
      <c r="J44" s="167"/>
      <c r="K44" s="167"/>
      <c r="L44" s="162">
        <f t="shared" si="7"/>
        <v>35489</v>
      </c>
      <c r="M44" s="162">
        <f t="shared" si="8"/>
        <v>0</v>
      </c>
      <c r="N44" s="162">
        <v>0</v>
      </c>
      <c r="O44" s="162">
        <v>0</v>
      </c>
      <c r="P44" s="136">
        <f t="shared" si="9"/>
        <v>0</v>
      </c>
      <c r="Q44" s="135"/>
      <c r="S44" s="125" t="s">
        <v>160</v>
      </c>
      <c r="T44" s="125" t="s">
        <v>446</v>
      </c>
      <c r="U44" s="272" t="s">
        <v>447</v>
      </c>
      <c r="V44" s="125" t="s">
        <v>451</v>
      </c>
      <c r="W44" s="125" t="s">
        <v>449</v>
      </c>
      <c r="X44" s="238">
        <f t="shared" si="10"/>
        <v>0</v>
      </c>
      <c r="Y44" s="238">
        <f t="shared" si="11"/>
        <v>35489</v>
      </c>
      <c r="Z44" s="125" t="s">
        <v>133</v>
      </c>
    </row>
    <row r="45" spans="1:26" x14ac:dyDescent="0.2">
      <c r="A45" s="125"/>
      <c r="B45" s="125" t="s">
        <v>134</v>
      </c>
      <c r="C45" s="153"/>
      <c r="D45" s="154"/>
      <c r="E45" s="170">
        <v>46558</v>
      </c>
      <c r="F45" s="155"/>
      <c r="G45" s="163">
        <v>46558</v>
      </c>
      <c r="H45" s="164">
        <v>0</v>
      </c>
      <c r="I45" s="162"/>
      <c r="J45" s="167"/>
      <c r="K45" s="167"/>
      <c r="L45" s="162">
        <f t="shared" si="7"/>
        <v>46558</v>
      </c>
      <c r="M45" s="162">
        <f t="shared" si="8"/>
        <v>0</v>
      </c>
      <c r="N45" s="162">
        <v>0</v>
      </c>
      <c r="O45" s="162">
        <v>0</v>
      </c>
      <c r="P45" s="136">
        <f t="shared" si="9"/>
        <v>0</v>
      </c>
      <c r="Q45" s="135"/>
      <c r="S45" s="125" t="s">
        <v>160</v>
      </c>
      <c r="T45" s="125" t="s">
        <v>446</v>
      </c>
      <c r="U45" s="272" t="s">
        <v>447</v>
      </c>
      <c r="V45" s="125" t="s">
        <v>451</v>
      </c>
      <c r="W45" s="125" t="s">
        <v>452</v>
      </c>
      <c r="X45" s="238">
        <f t="shared" si="10"/>
        <v>0</v>
      </c>
      <c r="Y45" s="238">
        <f t="shared" si="11"/>
        <v>46558</v>
      </c>
      <c r="Z45" s="125" t="s">
        <v>134</v>
      </c>
    </row>
    <row r="46" spans="1:26" x14ac:dyDescent="0.2">
      <c r="A46" s="125"/>
      <c r="B46" s="125"/>
      <c r="C46" s="153"/>
      <c r="D46" s="154"/>
      <c r="E46" s="154"/>
      <c r="F46" s="155"/>
      <c r="G46" s="156"/>
      <c r="H46" s="157"/>
      <c r="I46" s="154"/>
      <c r="J46" s="158"/>
      <c r="K46" s="158"/>
      <c r="L46" s="154"/>
      <c r="M46" s="154"/>
      <c r="N46" s="154"/>
      <c r="O46" s="154"/>
      <c r="P46" s="136"/>
      <c r="Q46" s="135"/>
    </row>
    <row r="47" spans="1:26" ht="13.5" thickBot="1" x14ac:dyDescent="0.25">
      <c r="A47" s="125"/>
      <c r="B47" s="168" t="s">
        <v>135</v>
      </c>
      <c r="C47" s="169">
        <f t="shared" ref="C47:O47" si="12">SUM(C28:C46)</f>
        <v>30000000</v>
      </c>
      <c r="D47" s="169">
        <f t="shared" si="12"/>
        <v>0</v>
      </c>
      <c r="E47" s="169">
        <f t="shared" si="12"/>
        <v>0</v>
      </c>
      <c r="F47" s="169">
        <f t="shared" si="12"/>
        <v>2969537.5</v>
      </c>
      <c r="G47" s="169">
        <f t="shared" si="12"/>
        <v>27030462.5</v>
      </c>
      <c r="H47" s="169">
        <f t="shared" si="12"/>
        <v>10668472.210000003</v>
      </c>
      <c r="I47" s="169">
        <f t="shared" si="12"/>
        <v>0</v>
      </c>
      <c r="J47" s="169">
        <f t="shared" si="12"/>
        <v>0</v>
      </c>
      <c r="K47" s="169">
        <f t="shared" si="12"/>
        <v>0</v>
      </c>
      <c r="L47" s="169">
        <f t="shared" si="12"/>
        <v>16361990.289999995</v>
      </c>
      <c r="M47" s="169">
        <f t="shared" si="12"/>
        <v>4815408.9300000016</v>
      </c>
      <c r="N47" s="169">
        <f t="shared" si="12"/>
        <v>5853063.2800000012</v>
      </c>
      <c r="O47" s="169">
        <f t="shared" si="12"/>
        <v>0</v>
      </c>
      <c r="P47" s="169"/>
      <c r="Q47" s="135"/>
    </row>
    <row r="48" spans="1:26" ht="13.5" thickTop="1" x14ac:dyDescent="0.2">
      <c r="A48" s="125"/>
      <c r="B48" s="165"/>
      <c r="C48" s="153"/>
      <c r="D48" s="153"/>
      <c r="E48" s="153"/>
      <c r="F48" s="153"/>
      <c r="G48" s="153"/>
      <c r="H48" s="153"/>
      <c r="I48" s="153"/>
      <c r="J48" s="153"/>
      <c r="K48" s="153"/>
      <c r="L48" s="153"/>
      <c r="M48" s="153"/>
      <c r="N48" s="153"/>
      <c r="O48" s="153"/>
      <c r="P48" s="153"/>
      <c r="Q48" s="135"/>
    </row>
    <row r="49" spans="1:26" x14ac:dyDescent="0.2">
      <c r="A49" s="165" t="s">
        <v>136</v>
      </c>
      <c r="B49" s="125"/>
      <c r="C49" s="153"/>
      <c r="D49" s="154"/>
      <c r="E49" s="154"/>
      <c r="F49" s="162"/>
      <c r="G49" s="163"/>
      <c r="H49" s="164"/>
      <c r="I49" s="163"/>
      <c r="J49" s="163"/>
      <c r="K49" s="163"/>
      <c r="L49" s="162"/>
      <c r="M49" s="162"/>
      <c r="N49" s="162"/>
      <c r="O49" s="162"/>
      <c r="P49" s="125"/>
      <c r="Q49" s="125"/>
    </row>
    <row r="50" spans="1:26" x14ac:dyDescent="0.2">
      <c r="A50" s="165"/>
      <c r="B50" s="125" t="s">
        <v>110</v>
      </c>
      <c r="C50" s="153">
        <v>5000000</v>
      </c>
      <c r="D50" s="154"/>
      <c r="E50" s="154"/>
      <c r="F50" s="162">
        <f>622650.15+104.49</f>
        <v>622754.64</v>
      </c>
      <c r="G50" s="163">
        <v>4377245.3600000003</v>
      </c>
      <c r="H50" s="164">
        <v>2499179.1199999996</v>
      </c>
      <c r="I50" s="163"/>
      <c r="J50" s="163">
        <f>[5]UMCP!J275</f>
        <v>0</v>
      </c>
      <c r="K50" s="163">
        <f>[5]UMCP!K275</f>
        <v>0</v>
      </c>
      <c r="L50" s="162">
        <f t="shared" ref="L50:L64" si="13">G50-H50-I50-J50-K50</f>
        <v>1878066.2400000007</v>
      </c>
      <c r="M50" s="162">
        <f>H50-N50-O50</f>
        <v>1462503.1799999997</v>
      </c>
      <c r="N50" s="162">
        <v>1036675.9400000001</v>
      </c>
      <c r="O50" s="162">
        <v>0</v>
      </c>
      <c r="P50" s="136">
        <f t="shared" ref="P50:P65" si="14">C50+D50+E50-F50-G50</f>
        <v>0</v>
      </c>
      <c r="Q50" s="136" t="s">
        <v>111</v>
      </c>
      <c r="S50" s="125" t="s">
        <v>160</v>
      </c>
      <c r="T50" s="125" t="s">
        <v>160</v>
      </c>
      <c r="U50" s="125">
        <v>20</v>
      </c>
      <c r="V50" s="125" t="s">
        <v>40</v>
      </c>
      <c r="W50" s="125" t="s">
        <v>7</v>
      </c>
      <c r="X50" s="238">
        <f t="shared" ref="X50:X65" si="15">H50</f>
        <v>2499179.1199999996</v>
      </c>
      <c r="Y50" s="238">
        <f t="shared" ref="Y50:Y65" si="16">L50</f>
        <v>1878066.2400000007</v>
      </c>
      <c r="Z50" s="125" t="s">
        <v>110</v>
      </c>
    </row>
    <row r="51" spans="1:26" x14ac:dyDescent="0.2">
      <c r="A51" s="165"/>
      <c r="B51" s="165" t="s">
        <v>112</v>
      </c>
      <c r="C51" s="153"/>
      <c r="D51" s="154"/>
      <c r="E51" s="154"/>
      <c r="F51" s="162"/>
      <c r="G51" s="163"/>
      <c r="H51" s="164"/>
      <c r="I51" s="163"/>
      <c r="J51" s="163"/>
      <c r="K51" s="163"/>
      <c r="L51" s="162"/>
      <c r="M51" s="162"/>
      <c r="N51" s="162"/>
      <c r="O51" s="162"/>
      <c r="P51" s="136">
        <f t="shared" si="14"/>
        <v>0</v>
      </c>
      <c r="Q51" s="125"/>
      <c r="W51" s="165"/>
      <c r="Z51" s="165"/>
    </row>
    <row r="52" spans="1:26" x14ac:dyDescent="0.2">
      <c r="A52" s="165"/>
      <c r="B52" s="125" t="s">
        <v>113</v>
      </c>
      <c r="C52" s="153">
        <v>7300000</v>
      </c>
      <c r="D52" s="154"/>
      <c r="E52" s="154"/>
      <c r="F52" s="162"/>
      <c r="G52" s="163">
        <v>7300000</v>
      </c>
      <c r="H52" s="164">
        <v>7300000</v>
      </c>
      <c r="I52" s="163"/>
      <c r="J52" s="163">
        <f>[5]UMCP!J126</f>
        <v>0</v>
      </c>
      <c r="K52" s="163">
        <f>[5]UMCP!K126</f>
        <v>0</v>
      </c>
      <c r="L52" s="162">
        <f t="shared" si="13"/>
        <v>0</v>
      </c>
      <c r="M52" s="162">
        <f t="shared" ref="M52:M63" si="17">H52-N52-O52</f>
        <v>0</v>
      </c>
      <c r="N52" s="162">
        <v>3644690.17</v>
      </c>
      <c r="O52" s="162">
        <v>3655309.83</v>
      </c>
      <c r="P52" s="136">
        <f t="shared" si="14"/>
        <v>0</v>
      </c>
      <c r="Q52" s="125"/>
      <c r="S52" s="125" t="s">
        <v>160</v>
      </c>
      <c r="T52" s="125" t="s">
        <v>446</v>
      </c>
      <c r="U52" s="272" t="s">
        <v>447</v>
      </c>
      <c r="V52" s="125" t="s">
        <v>40</v>
      </c>
      <c r="W52" s="125" t="s">
        <v>7</v>
      </c>
      <c r="X52" s="238">
        <f t="shared" si="15"/>
        <v>7300000</v>
      </c>
      <c r="Y52" s="238">
        <f t="shared" si="16"/>
        <v>0</v>
      </c>
      <c r="Z52" s="125" t="s">
        <v>113</v>
      </c>
    </row>
    <row r="53" spans="1:26" x14ac:dyDescent="0.2">
      <c r="A53" s="165"/>
      <c r="B53" s="125" t="s">
        <v>114</v>
      </c>
      <c r="C53" s="153">
        <v>3797264</v>
      </c>
      <c r="D53" s="154"/>
      <c r="E53" s="154"/>
      <c r="F53" s="54">
        <v>7630.07</v>
      </c>
      <c r="G53" s="163">
        <v>3789633.93</v>
      </c>
      <c r="H53" s="164">
        <v>1714503.39</v>
      </c>
      <c r="I53" s="163"/>
      <c r="J53" s="163">
        <f>[5]UMB!J63</f>
        <v>0</v>
      </c>
      <c r="K53" s="163">
        <f>[5]UMB!K63</f>
        <v>0</v>
      </c>
      <c r="L53" s="162">
        <f t="shared" si="13"/>
        <v>2075130.5400000003</v>
      </c>
      <c r="M53" s="162">
        <f t="shared" si="17"/>
        <v>741259.06</v>
      </c>
      <c r="N53" s="162">
        <v>938643.05999999982</v>
      </c>
      <c r="O53" s="162">
        <v>34601.269999999997</v>
      </c>
      <c r="P53" s="136">
        <f t="shared" si="14"/>
        <v>0</v>
      </c>
      <c r="Q53" s="125"/>
      <c r="S53" s="125" t="s">
        <v>160</v>
      </c>
      <c r="T53" s="125" t="s">
        <v>446</v>
      </c>
      <c r="U53" s="272" t="s">
        <v>447</v>
      </c>
      <c r="V53" s="125" t="s">
        <v>40</v>
      </c>
      <c r="W53" s="125" t="s">
        <v>8</v>
      </c>
      <c r="X53" s="238">
        <f t="shared" si="15"/>
        <v>1714503.39</v>
      </c>
      <c r="Y53" s="238">
        <f t="shared" si="16"/>
        <v>2075130.5400000003</v>
      </c>
      <c r="Z53" s="125" t="s">
        <v>114</v>
      </c>
    </row>
    <row r="54" spans="1:26" x14ac:dyDescent="0.2">
      <c r="A54" s="165"/>
      <c r="B54" s="125" t="s">
        <v>115</v>
      </c>
      <c r="C54" s="153">
        <v>989020</v>
      </c>
      <c r="D54" s="154"/>
      <c r="E54" s="154"/>
      <c r="F54" s="171">
        <v>856.96</v>
      </c>
      <c r="G54" s="163">
        <v>988163.04</v>
      </c>
      <c r="H54" s="164">
        <v>21886.49</v>
      </c>
      <c r="I54" s="163"/>
      <c r="J54" s="163">
        <f>[5]UMES!J78</f>
        <v>0</v>
      </c>
      <c r="K54" s="163">
        <f>[5]UMES!K78</f>
        <v>0</v>
      </c>
      <c r="L54" s="162">
        <f t="shared" si="13"/>
        <v>966276.55</v>
      </c>
      <c r="M54" s="162">
        <f t="shared" si="17"/>
        <v>0</v>
      </c>
      <c r="N54" s="162">
        <v>21886.49</v>
      </c>
      <c r="O54" s="162">
        <v>0</v>
      </c>
      <c r="P54" s="136">
        <f t="shared" si="14"/>
        <v>0</v>
      </c>
      <c r="Q54" s="125"/>
      <c r="S54" s="125" t="s">
        <v>160</v>
      </c>
      <c r="T54" s="125" t="s">
        <v>446</v>
      </c>
      <c r="U54" s="272" t="s">
        <v>447</v>
      </c>
      <c r="V54" s="125" t="s">
        <v>40</v>
      </c>
      <c r="W54" s="125" t="s">
        <v>10</v>
      </c>
      <c r="X54" s="238">
        <f t="shared" si="15"/>
        <v>21886.49</v>
      </c>
      <c r="Y54" s="238">
        <f t="shared" si="16"/>
        <v>966276.55</v>
      </c>
      <c r="Z54" s="125" t="s">
        <v>115</v>
      </c>
    </row>
    <row r="55" spans="1:26" x14ac:dyDescent="0.2">
      <c r="A55" s="165"/>
      <c r="B55" s="125" t="s">
        <v>116</v>
      </c>
      <c r="C55" s="153">
        <v>1779344</v>
      </c>
      <c r="D55" s="154"/>
      <c r="E55" s="154"/>
      <c r="F55" s="171">
        <f>15518.52+5022.6</f>
        <v>20541.120000000003</v>
      </c>
      <c r="G55" s="163">
        <v>1758802.88</v>
      </c>
      <c r="H55" s="164">
        <v>698521.78999999992</v>
      </c>
      <c r="I55" s="163"/>
      <c r="J55" s="163">
        <f>[5]UMBC!J56</f>
        <v>0</v>
      </c>
      <c r="K55" s="163">
        <f>[5]UMBC!K56</f>
        <v>0</v>
      </c>
      <c r="L55" s="162">
        <f t="shared" si="13"/>
        <v>1060281.0899999999</v>
      </c>
      <c r="M55" s="162">
        <f t="shared" si="17"/>
        <v>431731.78999999992</v>
      </c>
      <c r="N55" s="162">
        <v>266790</v>
      </c>
      <c r="O55" s="162">
        <v>0</v>
      </c>
      <c r="P55" s="136">
        <f t="shared" si="14"/>
        <v>0</v>
      </c>
      <c r="Q55" s="125"/>
      <c r="S55" s="125" t="s">
        <v>160</v>
      </c>
      <c r="T55" s="125" t="s">
        <v>446</v>
      </c>
      <c r="U55" s="272" t="s">
        <v>447</v>
      </c>
      <c r="V55" s="125" t="s">
        <v>40</v>
      </c>
      <c r="W55" s="125" t="s">
        <v>11</v>
      </c>
      <c r="X55" s="238">
        <f t="shared" si="15"/>
        <v>698521.78999999992</v>
      </c>
      <c r="Y55" s="238">
        <f t="shared" si="16"/>
        <v>1060281.0899999999</v>
      </c>
      <c r="Z55" s="125" t="s">
        <v>116</v>
      </c>
    </row>
    <row r="56" spans="1:26" x14ac:dyDescent="0.2">
      <c r="A56" s="165"/>
      <c r="B56" s="125" t="s">
        <v>117</v>
      </c>
      <c r="C56" s="153">
        <v>317000</v>
      </c>
      <c r="D56" s="154"/>
      <c r="E56" s="154"/>
      <c r="F56" s="171"/>
      <c r="G56" s="163">
        <v>317000</v>
      </c>
      <c r="H56" s="164">
        <v>216168.12</v>
      </c>
      <c r="I56" s="163"/>
      <c r="J56" s="163">
        <f>[5]UMCES!J20</f>
        <v>0</v>
      </c>
      <c r="K56" s="163">
        <f>[5]UMCES!K20</f>
        <v>0</v>
      </c>
      <c r="L56" s="162">
        <f t="shared" si="13"/>
        <v>100831.88</v>
      </c>
      <c r="M56" s="162">
        <f t="shared" si="17"/>
        <v>0</v>
      </c>
      <c r="N56" s="162">
        <v>216168.12</v>
      </c>
      <c r="O56" s="162">
        <v>0</v>
      </c>
      <c r="P56" s="136">
        <f t="shared" si="14"/>
        <v>0</v>
      </c>
      <c r="Q56" s="125"/>
      <c r="S56" s="125" t="s">
        <v>160</v>
      </c>
      <c r="T56" s="125" t="s">
        <v>446</v>
      </c>
      <c r="U56" s="272" t="s">
        <v>447</v>
      </c>
      <c r="V56" s="125" t="s">
        <v>40</v>
      </c>
      <c r="W56" s="125" t="s">
        <v>12</v>
      </c>
      <c r="X56" s="238">
        <f t="shared" si="15"/>
        <v>216168.12</v>
      </c>
      <c r="Y56" s="238">
        <f t="shared" si="16"/>
        <v>100831.88</v>
      </c>
      <c r="Z56" s="125" t="s">
        <v>117</v>
      </c>
    </row>
    <row r="57" spans="1:26" x14ac:dyDescent="0.2">
      <c r="A57" s="125"/>
      <c r="B57" s="125" t="s">
        <v>118</v>
      </c>
      <c r="C57" s="153">
        <v>1508994</v>
      </c>
      <c r="D57" s="154"/>
      <c r="E57" s="154"/>
      <c r="F57" s="171"/>
      <c r="G57" s="172">
        <v>1508994</v>
      </c>
      <c r="H57" s="173">
        <v>1508994</v>
      </c>
      <c r="I57" s="170"/>
      <c r="J57" s="171">
        <f>[5]BSU!J40</f>
        <v>0</v>
      </c>
      <c r="K57" s="171">
        <f>[5]BSU!K40</f>
        <v>0</v>
      </c>
      <c r="L57" s="162">
        <f t="shared" si="13"/>
        <v>0</v>
      </c>
      <c r="M57" s="162">
        <f t="shared" si="17"/>
        <v>8514.6599999999162</v>
      </c>
      <c r="N57" s="162">
        <v>62500</v>
      </c>
      <c r="O57" s="162">
        <v>1437979.34</v>
      </c>
      <c r="P57" s="136">
        <f t="shared" si="14"/>
        <v>0</v>
      </c>
      <c r="Q57" s="125"/>
      <c r="S57" s="125" t="s">
        <v>160</v>
      </c>
      <c r="T57" s="125" t="s">
        <v>446</v>
      </c>
      <c r="U57" s="272" t="s">
        <v>447</v>
      </c>
      <c r="V57" s="125" t="s">
        <v>40</v>
      </c>
      <c r="W57" s="125" t="s">
        <v>13</v>
      </c>
      <c r="X57" s="238">
        <f t="shared" si="15"/>
        <v>1508994</v>
      </c>
      <c r="Y57" s="238">
        <f t="shared" si="16"/>
        <v>0</v>
      </c>
      <c r="Z57" s="125" t="s">
        <v>118</v>
      </c>
    </row>
    <row r="58" spans="1:26" x14ac:dyDescent="0.2">
      <c r="A58" s="125"/>
      <c r="B58" s="125" t="s">
        <v>119</v>
      </c>
      <c r="C58" s="153">
        <v>429133</v>
      </c>
      <c r="D58" s="154"/>
      <c r="E58" s="154"/>
      <c r="F58" s="171"/>
      <c r="G58" s="172">
        <v>429133</v>
      </c>
      <c r="H58" s="173">
        <v>429133</v>
      </c>
      <c r="I58" s="170"/>
      <c r="J58" s="171">
        <f>[5]CSU!J35</f>
        <v>0</v>
      </c>
      <c r="K58" s="171">
        <f>[5]CSU!K35</f>
        <v>0</v>
      </c>
      <c r="L58" s="162">
        <f t="shared" si="13"/>
        <v>0</v>
      </c>
      <c r="M58" s="162">
        <f t="shared" si="17"/>
        <v>23206.119999999995</v>
      </c>
      <c r="N58" s="162">
        <v>405926.88</v>
      </c>
      <c r="O58" s="162">
        <v>0</v>
      </c>
      <c r="P58" s="136">
        <f t="shared" si="14"/>
        <v>0</v>
      </c>
      <c r="Q58" s="125"/>
      <c r="S58" s="125" t="s">
        <v>160</v>
      </c>
      <c r="T58" s="125" t="s">
        <v>446</v>
      </c>
      <c r="U58" s="272" t="s">
        <v>447</v>
      </c>
      <c r="V58" s="125" t="s">
        <v>40</v>
      </c>
      <c r="W58" s="125" t="s">
        <v>14</v>
      </c>
      <c r="X58" s="238">
        <f t="shared" si="15"/>
        <v>429133</v>
      </c>
      <c r="Y58" s="238">
        <f t="shared" si="16"/>
        <v>0</v>
      </c>
      <c r="Z58" s="125" t="s">
        <v>119</v>
      </c>
    </row>
    <row r="59" spans="1:26" x14ac:dyDescent="0.2">
      <c r="A59" s="125"/>
      <c r="B59" s="125" t="s">
        <v>120</v>
      </c>
      <c r="C59" s="153">
        <v>645000</v>
      </c>
      <c r="D59" s="154"/>
      <c r="E59" s="154"/>
      <c r="F59" s="171">
        <f>1700+19385</f>
        <v>21085</v>
      </c>
      <c r="G59" s="172">
        <v>623915</v>
      </c>
      <c r="H59" s="173">
        <v>623915.00000000012</v>
      </c>
      <c r="I59" s="170"/>
      <c r="J59" s="171">
        <f>[5]FSU!J79</f>
        <v>0</v>
      </c>
      <c r="K59" s="171">
        <f>[5]FSU!K79</f>
        <v>0</v>
      </c>
      <c r="L59" s="162">
        <f t="shared" si="13"/>
        <v>-1.1641532182693481E-10</v>
      </c>
      <c r="M59" s="162">
        <f t="shared" si="17"/>
        <v>20426.119999999952</v>
      </c>
      <c r="N59" s="162">
        <v>551667.05000000016</v>
      </c>
      <c r="O59" s="162">
        <v>51821.83</v>
      </c>
      <c r="P59" s="136">
        <f t="shared" si="14"/>
        <v>0</v>
      </c>
      <c r="Q59" s="125"/>
      <c r="S59" s="125" t="s">
        <v>160</v>
      </c>
      <c r="T59" s="125" t="s">
        <v>446</v>
      </c>
      <c r="U59" s="272" t="s">
        <v>447</v>
      </c>
      <c r="V59" s="125" t="s">
        <v>40</v>
      </c>
      <c r="W59" s="125" t="s">
        <v>15</v>
      </c>
      <c r="X59" s="238">
        <f t="shared" si="15"/>
        <v>623915.00000000012</v>
      </c>
      <c r="Y59" s="238">
        <f t="shared" si="16"/>
        <v>-1.1641532182693481E-10</v>
      </c>
      <c r="Z59" s="125" t="s">
        <v>120</v>
      </c>
    </row>
    <row r="60" spans="1:26" x14ac:dyDescent="0.2">
      <c r="A60" s="125"/>
      <c r="B60" s="125" t="s">
        <v>137</v>
      </c>
      <c r="C60" s="153">
        <v>1660185</v>
      </c>
      <c r="D60" s="154"/>
      <c r="E60" s="154"/>
      <c r="F60" s="171">
        <f>137991.19+5662</f>
        <v>143653.19</v>
      </c>
      <c r="G60" s="172">
        <v>1516531.81</v>
      </c>
      <c r="H60" s="173">
        <v>689113.52999999991</v>
      </c>
      <c r="I60" s="170"/>
      <c r="J60" s="171">
        <f>[5]SU!J40</f>
        <v>0</v>
      </c>
      <c r="K60" s="171">
        <f>[5]SU!K40</f>
        <v>0</v>
      </c>
      <c r="L60" s="162">
        <f t="shared" si="13"/>
        <v>827418.28000000014</v>
      </c>
      <c r="M60" s="162">
        <f t="shared" si="17"/>
        <v>333784.83999999997</v>
      </c>
      <c r="N60" s="162">
        <v>267411.58999999997</v>
      </c>
      <c r="O60" s="162">
        <v>87917.1</v>
      </c>
      <c r="P60" s="136">
        <f t="shared" si="14"/>
        <v>0</v>
      </c>
      <c r="Q60" s="125"/>
      <c r="S60" s="125" t="s">
        <v>160</v>
      </c>
      <c r="T60" s="125" t="s">
        <v>446</v>
      </c>
      <c r="U60" s="272" t="s">
        <v>447</v>
      </c>
      <c r="V60" s="125" t="s">
        <v>40</v>
      </c>
      <c r="W60" s="125" t="s">
        <v>16</v>
      </c>
      <c r="X60" s="238">
        <f t="shared" si="15"/>
        <v>689113.52999999991</v>
      </c>
      <c r="Y60" s="238">
        <f t="shared" si="16"/>
        <v>827418.28000000014</v>
      </c>
      <c r="Z60" s="125" t="s">
        <v>137</v>
      </c>
    </row>
    <row r="61" spans="1:26" x14ac:dyDescent="0.2">
      <c r="A61" s="125"/>
      <c r="B61" s="125" t="s">
        <v>122</v>
      </c>
      <c r="C61" s="153">
        <v>1776220</v>
      </c>
      <c r="D61" s="154"/>
      <c r="E61" s="154"/>
      <c r="F61" s="171">
        <f>30764.52+7301.55</f>
        <v>38066.07</v>
      </c>
      <c r="G61" s="163">
        <v>1738153.9300000002</v>
      </c>
      <c r="H61" s="164">
        <v>1081318.3800000001</v>
      </c>
      <c r="I61" s="162"/>
      <c r="J61" s="167">
        <f>[5]TU!J44+[5]TU!J49+[5]TU!J81</f>
        <v>0</v>
      </c>
      <c r="K61" s="167">
        <f>[5]TU!K44+[5]TU!K49+[5]TU!K81</f>
        <v>0</v>
      </c>
      <c r="L61" s="162">
        <f t="shared" si="13"/>
        <v>656835.55000000005</v>
      </c>
      <c r="M61" s="162">
        <f t="shared" si="17"/>
        <v>800762.55000000016</v>
      </c>
      <c r="N61" s="162">
        <v>61603.979999999952</v>
      </c>
      <c r="O61" s="162">
        <v>218951.85</v>
      </c>
      <c r="P61" s="136">
        <f t="shared" si="14"/>
        <v>0</v>
      </c>
      <c r="Q61" s="125"/>
      <c r="S61" s="125" t="s">
        <v>160</v>
      </c>
      <c r="T61" s="125" t="s">
        <v>446</v>
      </c>
      <c r="U61" s="272" t="s">
        <v>447</v>
      </c>
      <c r="V61" s="125" t="s">
        <v>40</v>
      </c>
      <c r="W61" s="125" t="s">
        <v>17</v>
      </c>
      <c r="X61" s="238">
        <f t="shared" si="15"/>
        <v>1081318.3800000001</v>
      </c>
      <c r="Y61" s="238">
        <f t="shared" si="16"/>
        <v>656835.55000000005</v>
      </c>
      <c r="Z61" s="125" t="s">
        <v>122</v>
      </c>
    </row>
    <row r="62" spans="1:26" x14ac:dyDescent="0.2">
      <c r="A62" s="125"/>
      <c r="B62" s="125" t="s">
        <v>123</v>
      </c>
      <c r="C62" s="153">
        <v>676486</v>
      </c>
      <c r="D62" s="154"/>
      <c r="E62" s="154"/>
      <c r="F62" s="174">
        <v>42465.599999999999</v>
      </c>
      <c r="G62" s="163">
        <v>634020.4</v>
      </c>
      <c r="H62" s="164">
        <v>94271.45</v>
      </c>
      <c r="I62" s="162"/>
      <c r="J62" s="167">
        <f>[5]UBalt!J62</f>
        <v>0</v>
      </c>
      <c r="K62" s="167">
        <f>[5]UBalt!K62</f>
        <v>0</v>
      </c>
      <c r="L62" s="162">
        <f t="shared" si="13"/>
        <v>539748.95000000007</v>
      </c>
      <c r="M62" s="162">
        <f t="shared" si="17"/>
        <v>88609.9</v>
      </c>
      <c r="N62" s="162">
        <v>5661.55</v>
      </c>
      <c r="O62" s="162">
        <v>0</v>
      </c>
      <c r="P62" s="136">
        <f t="shared" si="14"/>
        <v>0</v>
      </c>
      <c r="Q62" s="125"/>
      <c r="S62" s="125" t="s">
        <v>160</v>
      </c>
      <c r="T62" s="125" t="s">
        <v>446</v>
      </c>
      <c r="U62" s="272" t="s">
        <v>447</v>
      </c>
      <c r="V62" s="125" t="s">
        <v>40</v>
      </c>
      <c r="W62" s="125" t="s">
        <v>18</v>
      </c>
      <c r="X62" s="238">
        <f t="shared" si="15"/>
        <v>94271.45</v>
      </c>
      <c r="Y62" s="238">
        <f t="shared" si="16"/>
        <v>539748.95000000007</v>
      </c>
      <c r="Z62" s="125" t="s">
        <v>123</v>
      </c>
    </row>
    <row r="63" spans="1:26" x14ac:dyDescent="0.2">
      <c r="A63" s="125"/>
      <c r="B63" s="165" t="s">
        <v>127</v>
      </c>
      <c r="C63" s="153">
        <v>4121354</v>
      </c>
      <c r="D63" s="154"/>
      <c r="E63" s="162">
        <f>63620.75-700000-600000</f>
        <v>-1236379.25</v>
      </c>
      <c r="F63" s="171"/>
      <c r="G63" s="163">
        <v>2884974.75</v>
      </c>
      <c r="H63" s="164">
        <v>0</v>
      </c>
      <c r="I63" s="162"/>
      <c r="J63" s="167"/>
      <c r="K63" s="167"/>
      <c r="L63" s="162">
        <f t="shared" si="13"/>
        <v>2884974.75</v>
      </c>
      <c r="M63" s="162">
        <f t="shared" si="17"/>
        <v>0</v>
      </c>
      <c r="N63" s="162">
        <v>0</v>
      </c>
      <c r="O63" s="162">
        <v>0</v>
      </c>
      <c r="P63" s="136">
        <f t="shared" si="14"/>
        <v>0</v>
      </c>
      <c r="Q63" s="125"/>
      <c r="S63" s="125" t="s">
        <v>160</v>
      </c>
      <c r="T63" s="125" t="s">
        <v>446</v>
      </c>
      <c r="U63" s="272" t="s">
        <v>447</v>
      </c>
      <c r="V63" s="125" t="s">
        <v>40</v>
      </c>
      <c r="W63" s="165" t="s">
        <v>32</v>
      </c>
      <c r="X63" s="238">
        <f t="shared" si="15"/>
        <v>0</v>
      </c>
      <c r="Y63" s="238">
        <f t="shared" si="16"/>
        <v>2884974.75</v>
      </c>
      <c r="Z63" s="165" t="s">
        <v>127</v>
      </c>
    </row>
    <row r="64" spans="1:26" x14ac:dyDescent="0.2">
      <c r="A64" s="125"/>
      <c r="B64" s="125" t="s">
        <v>155</v>
      </c>
      <c r="C64" s="153"/>
      <c r="D64" s="154"/>
      <c r="E64" s="162">
        <v>700000</v>
      </c>
      <c r="F64" s="171"/>
      <c r="G64" s="163">
        <v>700000</v>
      </c>
      <c r="H64" s="164">
        <v>700000</v>
      </c>
      <c r="I64" s="162"/>
      <c r="J64" s="167">
        <f>[5]UMES!J47</f>
        <v>0</v>
      </c>
      <c r="K64" s="167">
        <f>[5]UMES!K47</f>
        <v>0</v>
      </c>
      <c r="L64" s="162">
        <f t="shared" si="13"/>
        <v>0</v>
      </c>
      <c r="M64" s="162">
        <f>H64-N64-O64</f>
        <v>700000</v>
      </c>
      <c r="N64" s="162">
        <v>0</v>
      </c>
      <c r="O64" s="162">
        <v>0</v>
      </c>
      <c r="P64" s="136">
        <f t="shared" si="14"/>
        <v>0</v>
      </c>
      <c r="Q64" s="125"/>
      <c r="S64" s="125" t="s">
        <v>160</v>
      </c>
      <c r="T64" s="125" t="s">
        <v>446</v>
      </c>
      <c r="U64" s="272" t="s">
        <v>447</v>
      </c>
      <c r="V64" s="125" t="s">
        <v>40</v>
      </c>
      <c r="W64" s="125" t="s">
        <v>10</v>
      </c>
      <c r="X64" s="238">
        <f t="shared" si="15"/>
        <v>700000</v>
      </c>
      <c r="Y64" s="238">
        <f t="shared" si="16"/>
        <v>0</v>
      </c>
      <c r="Z64" s="125" t="s">
        <v>155</v>
      </c>
    </row>
    <row r="65" spans="1:26" x14ac:dyDescent="0.2">
      <c r="A65" s="125"/>
      <c r="B65" s="175" t="s">
        <v>383</v>
      </c>
      <c r="C65" s="153"/>
      <c r="D65" s="154"/>
      <c r="E65" s="162">
        <v>600000</v>
      </c>
      <c r="F65" s="171"/>
      <c r="G65" s="163">
        <v>600000</v>
      </c>
      <c r="H65" s="164">
        <v>0</v>
      </c>
      <c r="I65" s="162"/>
      <c r="J65" s="167">
        <f>'[5]USM &amp; COI'!J19</f>
        <v>0</v>
      </c>
      <c r="K65" s="167">
        <f>'[5]USM &amp; COI'!K19</f>
        <v>0</v>
      </c>
      <c r="L65" s="162">
        <f>'[5]USM &amp; COI'!L19</f>
        <v>600000</v>
      </c>
      <c r="M65" s="162">
        <f>H65-N65-O65</f>
        <v>0</v>
      </c>
      <c r="N65" s="162">
        <v>0</v>
      </c>
      <c r="O65" s="162">
        <v>0</v>
      </c>
      <c r="P65" s="136">
        <f t="shared" si="14"/>
        <v>0</v>
      </c>
      <c r="Q65" s="125"/>
      <c r="S65" s="125" t="s">
        <v>160</v>
      </c>
      <c r="T65" s="125" t="s">
        <v>446</v>
      </c>
      <c r="U65" s="272" t="s">
        <v>447</v>
      </c>
      <c r="V65" s="125" t="s">
        <v>40</v>
      </c>
      <c r="W65" s="175" t="s">
        <v>450</v>
      </c>
      <c r="X65" s="238">
        <f t="shared" si="15"/>
        <v>0</v>
      </c>
      <c r="Y65" s="238">
        <f t="shared" si="16"/>
        <v>600000</v>
      </c>
      <c r="Z65" s="175" t="s">
        <v>383</v>
      </c>
    </row>
    <row r="66" spans="1:26" x14ac:dyDescent="0.2">
      <c r="A66" s="125"/>
      <c r="B66" s="165"/>
      <c r="C66" s="153"/>
      <c r="D66" s="154"/>
      <c r="E66" s="154"/>
      <c r="F66" s="155"/>
      <c r="G66" s="156"/>
      <c r="H66" s="157"/>
      <c r="I66" s="154"/>
      <c r="J66" s="158"/>
      <c r="K66" s="158"/>
      <c r="L66" s="154"/>
      <c r="M66" s="154"/>
      <c r="N66" s="154"/>
      <c r="O66" s="154"/>
      <c r="P66" s="125"/>
      <c r="Q66" s="125"/>
      <c r="Z66" s="165"/>
    </row>
    <row r="67" spans="1:26" ht="13.5" thickBot="1" x14ac:dyDescent="0.25">
      <c r="A67" s="125"/>
      <c r="B67" s="168" t="s">
        <v>138</v>
      </c>
      <c r="C67" s="169">
        <f t="shared" ref="C67:H67" si="18">SUM(C50:C66)</f>
        <v>30000000</v>
      </c>
      <c r="D67" s="169">
        <f t="shared" si="18"/>
        <v>0</v>
      </c>
      <c r="E67" s="169">
        <f t="shared" si="18"/>
        <v>63620.75</v>
      </c>
      <c r="F67" s="169">
        <f t="shared" si="18"/>
        <v>897052.64999999991</v>
      </c>
      <c r="G67" s="169">
        <f t="shared" si="18"/>
        <v>29166568.099999994</v>
      </c>
      <c r="H67" s="169">
        <f t="shared" si="18"/>
        <v>17577004.269999996</v>
      </c>
      <c r="I67" s="169">
        <f>SUM(I50:I63)</f>
        <v>0</v>
      </c>
      <c r="J67" s="169">
        <f t="shared" ref="J67:O67" si="19">SUM(J50:J66)</f>
        <v>0</v>
      </c>
      <c r="K67" s="169">
        <f t="shared" si="19"/>
        <v>0</v>
      </c>
      <c r="L67" s="169">
        <f t="shared" si="19"/>
        <v>11589563.830000002</v>
      </c>
      <c r="M67" s="169">
        <f t="shared" si="19"/>
        <v>4610798.22</v>
      </c>
      <c r="N67" s="169">
        <f t="shared" si="19"/>
        <v>7479624.8299999991</v>
      </c>
      <c r="O67" s="169">
        <f t="shared" si="19"/>
        <v>5486581.2199999997</v>
      </c>
      <c r="P67" s="136">
        <f>C67+D67+E67-F67-G67</f>
        <v>0</v>
      </c>
      <c r="Q67" s="125"/>
      <c r="Z67" s="165"/>
    </row>
    <row r="68" spans="1:26" ht="13.5" thickTop="1" x14ac:dyDescent="0.2">
      <c r="A68" s="125"/>
      <c r="B68" s="125"/>
      <c r="C68" s="153"/>
      <c r="D68" s="154"/>
      <c r="E68" s="154"/>
      <c r="F68" s="155"/>
      <c r="G68" s="156"/>
      <c r="H68" s="157"/>
      <c r="I68" s="154"/>
      <c r="J68" s="158"/>
      <c r="K68" s="158"/>
      <c r="L68" s="154"/>
      <c r="M68" s="154"/>
      <c r="N68" s="154"/>
      <c r="O68" s="154"/>
      <c r="P68" s="125"/>
      <c r="Q68" s="125"/>
    </row>
    <row r="69" spans="1:26" x14ac:dyDescent="0.2">
      <c r="A69" s="165" t="s">
        <v>139</v>
      </c>
      <c r="B69" s="125"/>
      <c r="C69" s="153"/>
      <c r="D69" s="154"/>
      <c r="E69" s="154"/>
      <c r="F69" s="155"/>
      <c r="G69" s="156"/>
      <c r="H69" s="157"/>
      <c r="I69" s="154"/>
      <c r="J69" s="158"/>
      <c r="K69" s="158"/>
      <c r="L69" s="154"/>
      <c r="M69" s="154"/>
      <c r="N69" s="154"/>
      <c r="O69" s="154"/>
      <c r="P69" s="125"/>
      <c r="Q69" s="125"/>
    </row>
    <row r="70" spans="1:26" x14ac:dyDescent="0.2">
      <c r="A70" s="165"/>
      <c r="B70" s="125" t="s">
        <v>140</v>
      </c>
      <c r="C70" s="153">
        <v>7760000</v>
      </c>
      <c r="D70" s="154"/>
      <c r="E70" s="154"/>
      <c r="F70" s="167">
        <f>7760000</f>
        <v>7760000</v>
      </c>
      <c r="G70" s="163">
        <v>0</v>
      </c>
      <c r="H70" s="164">
        <v>0</v>
      </c>
      <c r="I70" s="162"/>
      <c r="J70" s="167">
        <f>[5]UMCP!J321</f>
        <v>0</v>
      </c>
      <c r="K70" s="167">
        <f>[5]UMCP!K321</f>
        <v>0</v>
      </c>
      <c r="L70" s="162">
        <f>G70-H70-I70-J70-K70</f>
        <v>0</v>
      </c>
      <c r="M70" s="162">
        <f>H70-N70-O70</f>
        <v>0</v>
      </c>
      <c r="N70" s="162">
        <v>0</v>
      </c>
      <c r="O70" s="162">
        <v>0</v>
      </c>
      <c r="P70" s="136">
        <f>C70+D70+E70-F70-G70</f>
        <v>0</v>
      </c>
      <c r="Q70" s="125" t="s">
        <v>111</v>
      </c>
      <c r="S70" s="125" t="s">
        <v>254</v>
      </c>
      <c r="T70" s="125" t="s">
        <v>254</v>
      </c>
      <c r="U70" s="125">
        <v>20</v>
      </c>
      <c r="V70" s="125" t="s">
        <v>453</v>
      </c>
      <c r="W70" s="125" t="s">
        <v>7</v>
      </c>
      <c r="X70" s="238">
        <f>H70</f>
        <v>0</v>
      </c>
      <c r="Y70" s="238">
        <f>L70</f>
        <v>0</v>
      </c>
      <c r="Z70" s="125" t="s">
        <v>140</v>
      </c>
    </row>
    <row r="71" spans="1:26" x14ac:dyDescent="0.2">
      <c r="A71" s="165"/>
      <c r="B71" s="125" t="s">
        <v>141</v>
      </c>
      <c r="C71" s="153">
        <v>23550000</v>
      </c>
      <c r="D71" s="154"/>
      <c r="E71" s="154"/>
      <c r="F71" s="167">
        <v>23550000</v>
      </c>
      <c r="G71" s="163">
        <v>0</v>
      </c>
      <c r="H71" s="164">
        <v>0</v>
      </c>
      <c r="I71" s="162"/>
      <c r="J71" s="167">
        <f>[5]UMCP!J326</f>
        <v>0</v>
      </c>
      <c r="K71" s="167">
        <f>[5]UMCP!K326</f>
        <v>0</v>
      </c>
      <c r="L71" s="162">
        <f>G71-H71-I71-J71-K71</f>
        <v>0</v>
      </c>
      <c r="M71" s="162">
        <f>H71-N71-O71</f>
        <v>0</v>
      </c>
      <c r="N71" s="162">
        <v>0</v>
      </c>
      <c r="O71" s="162">
        <v>0</v>
      </c>
      <c r="P71" s="136">
        <f>C71+D71+E71-F71-G71</f>
        <v>0</v>
      </c>
      <c r="Q71" s="125" t="s">
        <v>111</v>
      </c>
      <c r="S71" s="125" t="s">
        <v>254</v>
      </c>
      <c r="T71" s="125" t="s">
        <v>254</v>
      </c>
      <c r="U71" s="125">
        <v>20</v>
      </c>
      <c r="V71" s="125" t="s">
        <v>453</v>
      </c>
      <c r="W71" s="125" t="s">
        <v>7</v>
      </c>
      <c r="X71" s="238">
        <f>H71</f>
        <v>0</v>
      </c>
      <c r="Y71" s="238">
        <f>L71</f>
        <v>0</v>
      </c>
      <c r="Z71" s="125" t="s">
        <v>141</v>
      </c>
    </row>
    <row r="72" spans="1:26" x14ac:dyDescent="0.2">
      <c r="A72" s="165"/>
      <c r="B72" s="125" t="s">
        <v>142</v>
      </c>
      <c r="C72" s="153">
        <v>3360000</v>
      </c>
      <c r="D72" s="162">
        <v>-377822.1</v>
      </c>
      <c r="E72" s="154"/>
      <c r="F72" s="54">
        <v>2982177.9</v>
      </c>
      <c r="G72" s="163">
        <v>0</v>
      </c>
      <c r="H72" s="164">
        <v>0</v>
      </c>
      <c r="I72" s="162"/>
      <c r="J72" s="167">
        <f>[5]UMCP!J334</f>
        <v>0</v>
      </c>
      <c r="K72" s="167">
        <f>[5]UMCP!K334</f>
        <v>0</v>
      </c>
      <c r="L72" s="162">
        <f>G72-H72-I72-J72-K72</f>
        <v>0</v>
      </c>
      <c r="M72" s="162">
        <f>H72-N72-O72</f>
        <v>0</v>
      </c>
      <c r="N72" s="162">
        <v>0</v>
      </c>
      <c r="O72" s="162">
        <v>0</v>
      </c>
      <c r="P72" s="136">
        <f>C72+D72+E72-F72-G72</f>
        <v>0</v>
      </c>
      <c r="Q72" s="125" t="s">
        <v>111</v>
      </c>
      <c r="S72" s="125" t="s">
        <v>254</v>
      </c>
      <c r="T72" s="125" t="s">
        <v>254</v>
      </c>
      <c r="U72" s="125">
        <v>20</v>
      </c>
      <c r="V72" s="125" t="s">
        <v>453</v>
      </c>
      <c r="W72" s="125" t="s">
        <v>7</v>
      </c>
      <c r="X72" s="238">
        <f>H72</f>
        <v>0</v>
      </c>
      <c r="Y72" s="238">
        <f>L72</f>
        <v>0</v>
      </c>
      <c r="Z72" s="125" t="s">
        <v>142</v>
      </c>
    </row>
    <row r="73" spans="1:26" x14ac:dyDescent="0.2">
      <c r="A73" s="125"/>
      <c r="B73" s="125" t="s">
        <v>114</v>
      </c>
      <c r="C73" s="153">
        <v>10268103</v>
      </c>
      <c r="D73" s="162">
        <f>-2315004.67-2253426.81</f>
        <v>-4568431.4800000004</v>
      </c>
      <c r="E73" s="154"/>
      <c r="F73" s="54">
        <f>3074614.24+2436804.38+487.26</f>
        <v>5511905.8799999999</v>
      </c>
      <c r="G73" s="163">
        <v>187765.64000000013</v>
      </c>
      <c r="H73" s="164">
        <v>2441192.4499999997</v>
      </c>
      <c r="I73" s="162">
        <v>-2253426.81</v>
      </c>
      <c r="J73" s="167">
        <f>[5]UMB!J121</f>
        <v>0</v>
      </c>
      <c r="K73" s="167">
        <f>[5]UMB!K121</f>
        <v>0</v>
      </c>
      <c r="L73" s="162">
        <f>G73-H73-I73-J73-K73</f>
        <v>4.6566128730773926E-10</v>
      </c>
      <c r="M73" s="162">
        <f>H73-N73-O73+I73</f>
        <v>-1938648.3100000005</v>
      </c>
      <c r="N73" s="162">
        <v>561372.7200000002</v>
      </c>
      <c r="O73" s="162">
        <v>1565041.23</v>
      </c>
      <c r="P73" s="136">
        <f>C73+D73+E73-F73-G73</f>
        <v>-4.6566128730773926E-10</v>
      </c>
      <c r="Q73" s="125" t="s">
        <v>111</v>
      </c>
      <c r="S73" s="125" t="s">
        <v>254</v>
      </c>
      <c r="T73" s="125" t="s">
        <v>254</v>
      </c>
      <c r="U73" s="125">
        <v>20</v>
      </c>
      <c r="V73" s="125" t="s">
        <v>453</v>
      </c>
      <c r="W73" s="125" t="s">
        <v>8</v>
      </c>
      <c r="X73" s="273">
        <f>H73+I73</f>
        <v>187765.63999999966</v>
      </c>
      <c r="Y73" s="238">
        <f>L73</f>
        <v>4.6566128730773926E-10</v>
      </c>
      <c r="Z73" s="125" t="s">
        <v>114</v>
      </c>
    </row>
    <row r="74" spans="1:26" x14ac:dyDescent="0.2">
      <c r="A74" s="125"/>
      <c r="B74" s="125" t="s">
        <v>143</v>
      </c>
      <c r="C74" s="153">
        <v>3230000</v>
      </c>
      <c r="D74" s="162">
        <f>-1000000-2230000</f>
        <v>-3230000</v>
      </c>
      <c r="E74" s="154"/>
      <c r="F74" s="128"/>
      <c r="G74" s="163">
        <v>0</v>
      </c>
      <c r="H74" s="164">
        <v>0</v>
      </c>
      <c r="I74" s="162"/>
      <c r="J74" s="167">
        <f>'[5]USM &amp; COI'!J105</f>
        <v>0</v>
      </c>
      <c r="K74" s="167">
        <f>'[5]USM &amp; COI'!K105</f>
        <v>0</v>
      </c>
      <c r="L74" s="162">
        <f>G74-H74-I74-J74-K74</f>
        <v>0</v>
      </c>
      <c r="M74" s="162">
        <f>H74-N74-O74</f>
        <v>0</v>
      </c>
      <c r="N74" s="162">
        <v>0</v>
      </c>
      <c r="O74" s="162">
        <v>0</v>
      </c>
      <c r="P74" s="136">
        <f>C74+D74+E74-F74-G74</f>
        <v>0</v>
      </c>
      <c r="Q74" s="125"/>
      <c r="S74" s="125" t="s">
        <v>160</v>
      </c>
      <c r="T74" s="125" t="s">
        <v>446</v>
      </c>
      <c r="U74" s="272" t="s">
        <v>447</v>
      </c>
      <c r="V74" s="125" t="s">
        <v>453</v>
      </c>
      <c r="W74" s="125" t="s">
        <v>454</v>
      </c>
      <c r="X74" s="238">
        <f>H74</f>
        <v>0</v>
      </c>
      <c r="Y74" s="238">
        <f>L74</f>
        <v>0</v>
      </c>
      <c r="Z74" s="125" t="s">
        <v>143</v>
      </c>
    </row>
    <row r="75" spans="1:26" x14ac:dyDescent="0.2">
      <c r="A75" s="125"/>
      <c r="B75" s="125"/>
      <c r="C75" s="153"/>
      <c r="D75" s="154"/>
      <c r="E75" s="154"/>
      <c r="F75" s="155"/>
      <c r="G75" s="156"/>
      <c r="H75" s="157"/>
      <c r="I75" s="154"/>
      <c r="J75" s="158"/>
      <c r="K75" s="158"/>
      <c r="L75" s="154"/>
      <c r="M75" s="154"/>
      <c r="N75" s="154"/>
      <c r="O75" s="154"/>
      <c r="P75" s="125"/>
      <c r="Q75" s="125"/>
    </row>
    <row r="76" spans="1:26" ht="13.5" thickBot="1" x14ac:dyDescent="0.25">
      <c r="A76" s="125"/>
      <c r="B76" s="168" t="s">
        <v>144</v>
      </c>
      <c r="C76" s="169">
        <f>SUM(C70:C75)</f>
        <v>48168103</v>
      </c>
      <c r="D76" s="169">
        <f t="shared" ref="D76:O76" si="20">SUM(D70:D75)</f>
        <v>-8176253.5800000001</v>
      </c>
      <c r="E76" s="169">
        <f t="shared" si="20"/>
        <v>0</v>
      </c>
      <c r="F76" s="169">
        <f t="shared" si="20"/>
        <v>39804083.780000001</v>
      </c>
      <c r="G76" s="169">
        <f t="shared" si="20"/>
        <v>187765.64000000013</v>
      </c>
      <c r="H76" s="169">
        <f t="shared" si="20"/>
        <v>2441192.4499999997</v>
      </c>
      <c r="I76" s="169">
        <f t="shared" si="20"/>
        <v>-2253426.81</v>
      </c>
      <c r="J76" s="169">
        <f t="shared" si="20"/>
        <v>0</v>
      </c>
      <c r="K76" s="169">
        <f t="shared" si="20"/>
        <v>0</v>
      </c>
      <c r="L76" s="169">
        <f t="shared" si="20"/>
        <v>4.6566128730773926E-10</v>
      </c>
      <c r="M76" s="169">
        <f t="shared" si="20"/>
        <v>-1938648.3100000005</v>
      </c>
      <c r="N76" s="169">
        <f t="shared" si="20"/>
        <v>561372.7200000002</v>
      </c>
      <c r="O76" s="169">
        <f t="shared" si="20"/>
        <v>1565041.23</v>
      </c>
      <c r="P76" s="136">
        <f>C76+D76+E76-F76-G76</f>
        <v>4.6566128730773926E-10</v>
      </c>
      <c r="Q76" s="125"/>
      <c r="Z76" s="165"/>
    </row>
    <row r="77" spans="1:26" ht="13.5" thickTop="1" x14ac:dyDescent="0.2">
      <c r="A77" s="125"/>
      <c r="B77" s="125"/>
      <c r="C77" s="153"/>
      <c r="D77" s="154"/>
      <c r="E77" s="154"/>
      <c r="F77" s="155"/>
      <c r="G77" s="156"/>
      <c r="H77" s="157"/>
      <c r="I77" s="154"/>
      <c r="J77" s="158"/>
      <c r="K77" s="158"/>
      <c r="L77" s="154"/>
      <c r="M77" s="154"/>
      <c r="N77" s="154"/>
      <c r="O77" s="154"/>
      <c r="P77" s="125"/>
      <c r="Q77" s="125"/>
    </row>
    <row r="78" spans="1:26" x14ac:dyDescent="0.2">
      <c r="A78" s="165" t="s">
        <v>145</v>
      </c>
      <c r="B78" s="125"/>
      <c r="C78" s="153"/>
      <c r="D78" s="154"/>
      <c r="E78" s="154"/>
      <c r="F78" s="128"/>
      <c r="G78" s="163"/>
      <c r="H78" s="164"/>
      <c r="I78" s="163"/>
      <c r="J78" s="163"/>
      <c r="K78" s="163"/>
      <c r="L78" s="162"/>
      <c r="M78" s="162"/>
      <c r="N78" s="162"/>
      <c r="O78" s="162"/>
      <c r="P78" s="125"/>
      <c r="Q78" s="125"/>
    </row>
    <row r="79" spans="1:26" x14ac:dyDescent="0.2">
      <c r="A79" s="125"/>
      <c r="B79" s="125" t="s">
        <v>146</v>
      </c>
      <c r="C79" s="153">
        <v>5000000</v>
      </c>
      <c r="D79" s="154"/>
      <c r="E79" s="154"/>
      <c r="F79" s="167">
        <f>187966.72+1357440.43</f>
        <v>1545407.15</v>
      </c>
      <c r="G79" s="163">
        <v>3454592.8500000006</v>
      </c>
      <c r="H79" s="164">
        <v>222521.52000000002</v>
      </c>
      <c r="I79" s="154"/>
      <c r="J79" s="158"/>
      <c r="K79" s="167">
        <f>[5]UMCP!K302</f>
        <v>0</v>
      </c>
      <c r="L79" s="162">
        <f>G79-H79-I79-J79-K79</f>
        <v>3232071.3300000005</v>
      </c>
      <c r="M79" s="162">
        <f t="shared" ref="M79:M93" si="21">H79-N79-O79</f>
        <v>215871.52000000002</v>
      </c>
      <c r="N79" s="162">
        <v>6650</v>
      </c>
      <c r="O79" s="162">
        <v>0</v>
      </c>
      <c r="P79" s="136">
        <f t="shared" ref="P79:P93" si="22">C79+D79+E79-F79-G79</f>
        <v>0</v>
      </c>
      <c r="Q79" s="125" t="s">
        <v>111</v>
      </c>
      <c r="S79" s="125" t="s">
        <v>160</v>
      </c>
      <c r="T79" s="125" t="s">
        <v>160</v>
      </c>
      <c r="U79" s="125">
        <v>20</v>
      </c>
      <c r="V79" s="125" t="s">
        <v>37</v>
      </c>
      <c r="W79" s="125" t="s">
        <v>7</v>
      </c>
      <c r="X79" s="238">
        <f t="shared" ref="X79:X93" si="23">H79</f>
        <v>222521.52000000002</v>
      </c>
      <c r="Y79" s="238">
        <f t="shared" ref="Y79:Y93" si="24">L79</f>
        <v>3232071.3300000005</v>
      </c>
      <c r="Z79" s="125" t="s">
        <v>146</v>
      </c>
    </row>
    <row r="80" spans="1:26" x14ac:dyDescent="0.2">
      <c r="A80" s="125"/>
      <c r="B80" s="125" t="s">
        <v>147</v>
      </c>
      <c r="C80" s="153">
        <v>10000000</v>
      </c>
      <c r="D80" s="154"/>
      <c r="E80" s="154"/>
      <c r="F80" s="167">
        <f>4026.61+2117361.09+420341.95</f>
        <v>2541729.65</v>
      </c>
      <c r="G80" s="163">
        <v>7458270.3500000006</v>
      </c>
      <c r="H80" s="164">
        <v>1753596.6299999994</v>
      </c>
      <c r="I80" s="154"/>
      <c r="J80" s="158"/>
      <c r="K80" s="158"/>
      <c r="L80" s="162">
        <f t="shared" ref="L80:L93" si="25">G80-H80-I80-J80-K80</f>
        <v>5704673.7200000007</v>
      </c>
      <c r="M80" s="162">
        <f t="shared" si="21"/>
        <v>425617.23999999953</v>
      </c>
      <c r="N80" s="162">
        <v>1327979.3899999999</v>
      </c>
      <c r="O80" s="162">
        <v>0</v>
      </c>
      <c r="P80" s="136">
        <f t="shared" si="22"/>
        <v>0</v>
      </c>
      <c r="Q80" s="125" t="s">
        <v>111</v>
      </c>
      <c r="S80" s="125" t="s">
        <v>160</v>
      </c>
      <c r="T80" s="125" t="s">
        <v>160</v>
      </c>
      <c r="U80" s="125">
        <v>20</v>
      </c>
      <c r="V80" s="125" t="s">
        <v>37</v>
      </c>
      <c r="W80" s="125" t="s">
        <v>10</v>
      </c>
      <c r="X80" s="238">
        <f t="shared" si="23"/>
        <v>1753596.6299999994</v>
      </c>
      <c r="Y80" s="238">
        <f t="shared" si="24"/>
        <v>5704673.7200000007</v>
      </c>
      <c r="Z80" s="125" t="s">
        <v>147</v>
      </c>
    </row>
    <row r="81" spans="1:26" x14ac:dyDescent="0.2">
      <c r="A81" s="125"/>
      <c r="B81" s="125" t="s">
        <v>148</v>
      </c>
      <c r="C81" s="153">
        <v>5000000</v>
      </c>
      <c r="D81" s="154"/>
      <c r="E81" s="154"/>
      <c r="F81" s="167">
        <f>60956.13+1036219.92+6874.52</f>
        <v>1104050.57</v>
      </c>
      <c r="G81" s="163">
        <v>3895949.43</v>
      </c>
      <c r="H81" s="164">
        <v>478072</v>
      </c>
      <c r="I81" s="154"/>
      <c r="J81" s="158"/>
      <c r="K81" s="158"/>
      <c r="L81" s="162">
        <f t="shared" si="25"/>
        <v>3417877.43</v>
      </c>
      <c r="M81" s="162">
        <f t="shared" si="21"/>
        <v>359203.77</v>
      </c>
      <c r="N81" s="162">
        <v>118868.23</v>
      </c>
      <c r="O81" s="162">
        <v>0</v>
      </c>
      <c r="P81" s="136">
        <f t="shared" si="22"/>
        <v>0</v>
      </c>
      <c r="Q81" s="125" t="s">
        <v>111</v>
      </c>
      <c r="S81" s="125" t="s">
        <v>160</v>
      </c>
      <c r="T81" s="125" t="s">
        <v>160</v>
      </c>
      <c r="U81" s="125">
        <v>20</v>
      </c>
      <c r="V81" s="125" t="s">
        <v>37</v>
      </c>
      <c r="W81" s="125" t="s">
        <v>15</v>
      </c>
      <c r="X81" s="238">
        <f t="shared" si="23"/>
        <v>478072</v>
      </c>
      <c r="Y81" s="238">
        <f t="shared" si="24"/>
        <v>3417877.43</v>
      </c>
      <c r="Z81" s="125" t="s">
        <v>148</v>
      </c>
    </row>
    <row r="82" spans="1:26" x14ac:dyDescent="0.2">
      <c r="A82" s="125"/>
      <c r="B82" s="165" t="s">
        <v>112</v>
      </c>
      <c r="C82" s="153"/>
      <c r="D82" s="154"/>
      <c r="E82" s="154"/>
      <c r="F82" s="155"/>
      <c r="G82" s="163"/>
      <c r="H82" s="157"/>
      <c r="I82" s="154"/>
      <c r="J82" s="158"/>
      <c r="K82" s="158"/>
      <c r="L82" s="162"/>
      <c r="M82" s="162">
        <f t="shared" si="21"/>
        <v>0</v>
      </c>
      <c r="N82" s="162"/>
      <c r="O82" s="162"/>
      <c r="P82" s="136">
        <f t="shared" si="22"/>
        <v>0</v>
      </c>
      <c r="Q82" s="125"/>
      <c r="W82" s="165"/>
      <c r="X82" s="238">
        <f t="shared" si="23"/>
        <v>0</v>
      </c>
      <c r="Y82" s="238">
        <f t="shared" si="24"/>
        <v>0</v>
      </c>
      <c r="Z82" s="165"/>
    </row>
    <row r="83" spans="1:26" x14ac:dyDescent="0.2">
      <c r="A83" s="125"/>
      <c r="B83" s="125" t="s">
        <v>113</v>
      </c>
      <c r="C83" s="153">
        <v>4744551</v>
      </c>
      <c r="D83" s="154"/>
      <c r="E83" s="154"/>
      <c r="F83" s="167">
        <f>723026.82+4021524.18</f>
        <v>4744551</v>
      </c>
      <c r="G83" s="163">
        <v>0</v>
      </c>
      <c r="H83" s="164">
        <v>0</v>
      </c>
      <c r="I83" s="154"/>
      <c r="J83" s="158"/>
      <c r="K83" s="167">
        <f>[5]UMCP!K144</f>
        <v>0</v>
      </c>
      <c r="L83" s="162">
        <f t="shared" si="25"/>
        <v>0</v>
      </c>
      <c r="M83" s="162">
        <f t="shared" si="21"/>
        <v>0</v>
      </c>
      <c r="N83" s="162">
        <v>0</v>
      </c>
      <c r="O83" s="162">
        <v>0</v>
      </c>
      <c r="P83" s="136">
        <f t="shared" si="22"/>
        <v>0</v>
      </c>
      <c r="Q83" s="125"/>
      <c r="S83" s="125" t="s">
        <v>160</v>
      </c>
      <c r="T83" s="125" t="s">
        <v>446</v>
      </c>
      <c r="U83" s="272" t="s">
        <v>447</v>
      </c>
      <c r="V83" s="125" t="s">
        <v>37</v>
      </c>
      <c r="W83" s="125" t="s">
        <v>7</v>
      </c>
      <c r="X83" s="238">
        <f t="shared" si="23"/>
        <v>0</v>
      </c>
      <c r="Y83" s="238">
        <f t="shared" si="24"/>
        <v>0</v>
      </c>
      <c r="Z83" s="125" t="s">
        <v>113</v>
      </c>
    </row>
    <row r="84" spans="1:26" x14ac:dyDescent="0.2">
      <c r="A84" s="125"/>
      <c r="B84" s="125" t="s">
        <v>114</v>
      </c>
      <c r="C84" s="153">
        <v>1926995</v>
      </c>
      <c r="D84" s="154"/>
      <c r="E84" s="154"/>
      <c r="F84" s="167">
        <f>500000+26189+40850.54</f>
        <v>567039.54</v>
      </c>
      <c r="G84" s="163">
        <v>1359955.46</v>
      </c>
      <c r="H84" s="164">
        <v>1184648.29</v>
      </c>
      <c r="I84" s="154"/>
      <c r="J84" s="158"/>
      <c r="K84" s="158"/>
      <c r="L84" s="162">
        <f>G84-H84-I84-J84-K84</f>
        <v>175307.16999999993</v>
      </c>
      <c r="M84" s="162">
        <f t="shared" si="21"/>
        <v>654322.92999999993</v>
      </c>
      <c r="N84" s="162">
        <v>185189.8600000001</v>
      </c>
      <c r="O84" s="162">
        <v>345135.5</v>
      </c>
      <c r="P84" s="136">
        <f t="shared" si="22"/>
        <v>0</v>
      </c>
      <c r="Q84" s="125"/>
      <c r="S84" s="125" t="s">
        <v>160</v>
      </c>
      <c r="T84" s="125" t="s">
        <v>446</v>
      </c>
      <c r="U84" s="272" t="s">
        <v>447</v>
      </c>
      <c r="V84" s="125" t="s">
        <v>37</v>
      </c>
      <c r="W84" s="125" t="s">
        <v>8</v>
      </c>
      <c r="X84" s="238">
        <f t="shared" si="23"/>
        <v>1184648.29</v>
      </c>
      <c r="Y84" s="238">
        <f t="shared" si="24"/>
        <v>175307.16999999993</v>
      </c>
      <c r="Z84" s="125" t="s">
        <v>114</v>
      </c>
    </row>
    <row r="85" spans="1:26" x14ac:dyDescent="0.2">
      <c r="A85" s="125"/>
      <c r="B85" s="125" t="s">
        <v>115</v>
      </c>
      <c r="C85" s="153">
        <v>563795</v>
      </c>
      <c r="D85" s="154"/>
      <c r="E85" s="154"/>
      <c r="F85" s="167">
        <v>0</v>
      </c>
      <c r="G85" s="163">
        <v>563795</v>
      </c>
      <c r="H85" s="164">
        <v>424374.56</v>
      </c>
      <c r="I85" s="154"/>
      <c r="J85" s="158"/>
      <c r="K85" s="167">
        <f>[5]UMES!K88</f>
        <v>0</v>
      </c>
      <c r="L85" s="162">
        <f t="shared" si="25"/>
        <v>139420.44</v>
      </c>
      <c r="M85" s="162">
        <f t="shared" si="21"/>
        <v>0</v>
      </c>
      <c r="N85" s="162">
        <v>4385.5599999999977</v>
      </c>
      <c r="O85" s="162">
        <v>419989</v>
      </c>
      <c r="P85" s="136">
        <f t="shared" si="22"/>
        <v>0</v>
      </c>
      <c r="Q85" s="125"/>
      <c r="S85" s="125" t="s">
        <v>160</v>
      </c>
      <c r="T85" s="125" t="s">
        <v>446</v>
      </c>
      <c r="U85" s="272" t="s">
        <v>447</v>
      </c>
      <c r="V85" s="125" t="s">
        <v>37</v>
      </c>
      <c r="W85" s="125" t="s">
        <v>10</v>
      </c>
      <c r="X85" s="238">
        <f t="shared" si="23"/>
        <v>424374.56</v>
      </c>
      <c r="Y85" s="238">
        <f t="shared" si="24"/>
        <v>139420.44</v>
      </c>
      <c r="Z85" s="125" t="s">
        <v>115</v>
      </c>
    </row>
    <row r="86" spans="1:26" x14ac:dyDescent="0.2">
      <c r="A86" s="125"/>
      <c r="B86" s="125" t="s">
        <v>116</v>
      </c>
      <c r="C86" s="153">
        <v>1081882</v>
      </c>
      <c r="D86" s="154"/>
      <c r="E86" s="154"/>
      <c r="F86" s="167"/>
      <c r="G86" s="163">
        <v>1081882</v>
      </c>
      <c r="H86" s="164">
        <v>809135.75999999989</v>
      </c>
      <c r="I86" s="154"/>
      <c r="J86" s="158"/>
      <c r="K86" s="158"/>
      <c r="L86" s="162">
        <f t="shared" si="25"/>
        <v>272746.24000000011</v>
      </c>
      <c r="M86" s="162">
        <f t="shared" si="21"/>
        <v>809135.75999999989</v>
      </c>
      <c r="N86" s="162">
        <v>0</v>
      </c>
      <c r="O86" s="162">
        <v>0</v>
      </c>
      <c r="P86" s="136">
        <f t="shared" si="22"/>
        <v>0</v>
      </c>
      <c r="Q86" s="125"/>
      <c r="S86" s="125" t="s">
        <v>160</v>
      </c>
      <c r="T86" s="125" t="s">
        <v>446</v>
      </c>
      <c r="U86" s="272" t="s">
        <v>447</v>
      </c>
      <c r="V86" s="125" t="s">
        <v>37</v>
      </c>
      <c r="W86" s="125" t="s">
        <v>11</v>
      </c>
      <c r="X86" s="238">
        <f t="shared" si="23"/>
        <v>809135.75999999989</v>
      </c>
      <c r="Y86" s="238">
        <f t="shared" si="24"/>
        <v>272746.24000000011</v>
      </c>
      <c r="Z86" s="125" t="s">
        <v>116</v>
      </c>
    </row>
    <row r="87" spans="1:26" x14ac:dyDescent="0.2">
      <c r="A87" s="125"/>
      <c r="B87" s="125" t="s">
        <v>117</v>
      </c>
      <c r="C87" s="153">
        <v>206031</v>
      </c>
      <c r="D87" s="154"/>
      <c r="E87" s="154"/>
      <c r="F87" s="167"/>
      <c r="G87" s="163">
        <v>206031</v>
      </c>
      <c r="H87" s="164">
        <v>0</v>
      </c>
      <c r="I87" s="154"/>
      <c r="J87" s="158"/>
      <c r="K87" s="158"/>
      <c r="L87" s="162">
        <f t="shared" si="25"/>
        <v>206031</v>
      </c>
      <c r="M87" s="162">
        <f t="shared" si="21"/>
        <v>0</v>
      </c>
      <c r="N87" s="162">
        <v>-141453.12</v>
      </c>
      <c r="O87" s="162">
        <v>141453.12</v>
      </c>
      <c r="P87" s="136">
        <f t="shared" si="22"/>
        <v>0</v>
      </c>
      <c r="Q87" s="125"/>
      <c r="S87" s="125" t="s">
        <v>160</v>
      </c>
      <c r="T87" s="125" t="s">
        <v>446</v>
      </c>
      <c r="U87" s="272" t="s">
        <v>447</v>
      </c>
      <c r="V87" s="125" t="s">
        <v>37</v>
      </c>
      <c r="W87" s="125" t="s">
        <v>12</v>
      </c>
      <c r="X87" s="238">
        <f t="shared" si="23"/>
        <v>0</v>
      </c>
      <c r="Y87" s="238">
        <f t="shared" si="24"/>
        <v>206031</v>
      </c>
      <c r="Z87" s="125" t="s">
        <v>117</v>
      </c>
    </row>
    <row r="88" spans="1:26" x14ac:dyDescent="0.2">
      <c r="A88" s="125"/>
      <c r="B88" s="125" t="s">
        <v>118</v>
      </c>
      <c r="C88" s="153">
        <v>490197</v>
      </c>
      <c r="D88" s="154"/>
      <c r="E88" s="154"/>
      <c r="F88" s="167">
        <f>23144.51+447527.34</f>
        <v>470671.85000000003</v>
      </c>
      <c r="G88" s="163">
        <v>19525.149999999965</v>
      </c>
      <c r="H88" s="164">
        <v>19525.150000000001</v>
      </c>
      <c r="I88" s="154"/>
      <c r="J88" s="158"/>
      <c r="K88" s="167">
        <f>[5]BSU!K55</f>
        <v>0</v>
      </c>
      <c r="L88" s="162">
        <f t="shared" si="25"/>
        <v>-3.637978807091713E-11</v>
      </c>
      <c r="M88" s="162">
        <f t="shared" si="21"/>
        <v>1274.0999999999979</v>
      </c>
      <c r="N88" s="162">
        <v>17041.660000000003</v>
      </c>
      <c r="O88" s="162">
        <v>1209.3900000000001</v>
      </c>
      <c r="P88" s="136">
        <f t="shared" si="22"/>
        <v>0</v>
      </c>
      <c r="Q88" s="125"/>
      <c r="S88" s="125" t="s">
        <v>160</v>
      </c>
      <c r="T88" s="125" t="s">
        <v>446</v>
      </c>
      <c r="U88" s="272" t="s">
        <v>447</v>
      </c>
      <c r="V88" s="125" t="s">
        <v>37</v>
      </c>
      <c r="W88" s="125" t="s">
        <v>13</v>
      </c>
      <c r="X88" s="238">
        <f t="shared" si="23"/>
        <v>19525.150000000001</v>
      </c>
      <c r="Y88" s="238">
        <f t="shared" si="24"/>
        <v>-3.637978807091713E-11</v>
      </c>
      <c r="Z88" s="125" t="s">
        <v>118</v>
      </c>
    </row>
    <row r="89" spans="1:26" x14ac:dyDescent="0.2">
      <c r="A89" s="125"/>
      <c r="B89" s="125" t="s">
        <v>119</v>
      </c>
      <c r="C89" s="153">
        <v>457081</v>
      </c>
      <c r="D89" s="154"/>
      <c r="E89" s="154"/>
      <c r="F89" s="167">
        <f>198994.71</f>
        <v>198994.71</v>
      </c>
      <c r="G89" s="163">
        <v>258086.28999999998</v>
      </c>
      <c r="H89" s="164">
        <v>258086.28999999998</v>
      </c>
      <c r="I89" s="154"/>
      <c r="J89" s="158"/>
      <c r="K89" s="167">
        <f>[5]CSU!K50</f>
        <v>0</v>
      </c>
      <c r="L89" s="162">
        <f t="shared" si="25"/>
        <v>0</v>
      </c>
      <c r="M89" s="162">
        <f t="shared" si="21"/>
        <v>0</v>
      </c>
      <c r="N89" s="162">
        <v>123479.23999999999</v>
      </c>
      <c r="O89" s="162">
        <v>134607.04999999999</v>
      </c>
      <c r="P89" s="136">
        <f t="shared" si="22"/>
        <v>0</v>
      </c>
      <c r="Q89" s="125"/>
      <c r="S89" s="125" t="s">
        <v>160</v>
      </c>
      <c r="T89" s="125" t="s">
        <v>446</v>
      </c>
      <c r="U89" s="272" t="s">
        <v>447</v>
      </c>
      <c r="V89" s="125" t="s">
        <v>37</v>
      </c>
      <c r="W89" s="125" t="s">
        <v>14</v>
      </c>
      <c r="X89" s="238">
        <f t="shared" si="23"/>
        <v>258086.28999999998</v>
      </c>
      <c r="Y89" s="238">
        <f t="shared" si="24"/>
        <v>0</v>
      </c>
      <c r="Z89" s="125" t="s">
        <v>119</v>
      </c>
    </row>
    <row r="90" spans="1:26" x14ac:dyDescent="0.2">
      <c r="A90" s="125"/>
      <c r="B90" s="125" t="s">
        <v>120</v>
      </c>
      <c r="C90" s="153">
        <v>419210</v>
      </c>
      <c r="D90" s="154"/>
      <c r="E90" s="154"/>
      <c r="F90" s="167">
        <f>41693.17+94557.56</f>
        <v>136250.72999999998</v>
      </c>
      <c r="G90" s="163">
        <v>282959.27</v>
      </c>
      <c r="H90" s="164">
        <v>282959.26999999996</v>
      </c>
      <c r="I90" s="154"/>
      <c r="J90" s="158"/>
      <c r="K90" s="167">
        <f>[5]FSU!K97</f>
        <v>0</v>
      </c>
      <c r="L90" s="162">
        <f t="shared" si="25"/>
        <v>5.8207660913467407E-11</v>
      </c>
      <c r="M90" s="162">
        <f t="shared" si="21"/>
        <v>0</v>
      </c>
      <c r="N90" s="162">
        <v>39094.699999999953</v>
      </c>
      <c r="O90" s="162">
        <v>243864.57</v>
      </c>
      <c r="P90" s="136">
        <f t="shared" si="22"/>
        <v>0</v>
      </c>
      <c r="Q90" s="125"/>
      <c r="S90" s="125" t="s">
        <v>160</v>
      </c>
      <c r="T90" s="125" t="s">
        <v>446</v>
      </c>
      <c r="U90" s="272" t="s">
        <v>447</v>
      </c>
      <c r="V90" s="125" t="s">
        <v>37</v>
      </c>
      <c r="W90" s="125" t="s">
        <v>15</v>
      </c>
      <c r="X90" s="238">
        <f t="shared" si="23"/>
        <v>282959.26999999996</v>
      </c>
      <c r="Y90" s="238">
        <f t="shared" si="24"/>
        <v>5.8207660913467407E-11</v>
      </c>
      <c r="Z90" s="125" t="s">
        <v>120</v>
      </c>
    </row>
    <row r="91" spans="1:26" x14ac:dyDescent="0.2">
      <c r="A91" s="125"/>
      <c r="B91" s="125" t="s">
        <v>137</v>
      </c>
      <c r="C91" s="153">
        <v>612726</v>
      </c>
      <c r="D91" s="154"/>
      <c r="E91" s="154"/>
      <c r="F91" s="167">
        <f>238902.37</f>
        <v>238902.37</v>
      </c>
      <c r="G91" s="163">
        <v>373823.63</v>
      </c>
      <c r="H91" s="164">
        <v>338653.17000000004</v>
      </c>
      <c r="I91" s="154"/>
      <c r="J91" s="158"/>
      <c r="K91" s="167">
        <f>[5]SU!K55</f>
        <v>0</v>
      </c>
      <c r="L91" s="162">
        <f t="shared" si="25"/>
        <v>35170.459999999963</v>
      </c>
      <c r="M91" s="162">
        <f t="shared" si="21"/>
        <v>0</v>
      </c>
      <c r="N91" s="162">
        <v>248100.00000000006</v>
      </c>
      <c r="O91" s="162">
        <v>90553.17</v>
      </c>
      <c r="P91" s="136">
        <f t="shared" si="22"/>
        <v>0</v>
      </c>
      <c r="Q91" s="125"/>
      <c r="S91" s="125" t="s">
        <v>160</v>
      </c>
      <c r="T91" s="125" t="s">
        <v>446</v>
      </c>
      <c r="U91" s="272" t="s">
        <v>447</v>
      </c>
      <c r="V91" s="125" t="s">
        <v>37</v>
      </c>
      <c r="W91" s="125" t="s">
        <v>16</v>
      </c>
      <c r="X91" s="238">
        <f t="shared" si="23"/>
        <v>338653.17000000004</v>
      </c>
      <c r="Y91" s="238">
        <f t="shared" si="24"/>
        <v>35170.459999999963</v>
      </c>
      <c r="Z91" s="125" t="s">
        <v>137</v>
      </c>
    </row>
    <row r="92" spans="1:26" x14ac:dyDescent="0.2">
      <c r="A92" s="125"/>
      <c r="B92" s="125" t="s">
        <v>122</v>
      </c>
      <c r="C92" s="153">
        <v>1044456</v>
      </c>
      <c r="D92" s="154"/>
      <c r="E92" s="154"/>
      <c r="F92" s="155"/>
      <c r="G92" s="163">
        <v>1044456</v>
      </c>
      <c r="H92" s="164">
        <v>504670.47</v>
      </c>
      <c r="I92" s="154"/>
      <c r="J92" s="158"/>
      <c r="K92" s="158"/>
      <c r="L92" s="162">
        <f t="shared" si="25"/>
        <v>539785.53</v>
      </c>
      <c r="M92" s="162">
        <f t="shared" si="21"/>
        <v>487932.87</v>
      </c>
      <c r="N92" s="162">
        <v>16737.599999999999</v>
      </c>
      <c r="O92" s="162">
        <v>0</v>
      </c>
      <c r="P92" s="136">
        <f t="shared" si="22"/>
        <v>0</v>
      </c>
      <c r="Q92" s="125"/>
      <c r="S92" s="125" t="s">
        <v>160</v>
      </c>
      <c r="T92" s="125" t="s">
        <v>446</v>
      </c>
      <c r="U92" s="272" t="s">
        <v>447</v>
      </c>
      <c r="V92" s="125" t="s">
        <v>37</v>
      </c>
      <c r="W92" s="125" t="s">
        <v>17</v>
      </c>
      <c r="X92" s="238">
        <f t="shared" si="23"/>
        <v>504670.47</v>
      </c>
      <c r="Y92" s="238">
        <f t="shared" si="24"/>
        <v>539785.53</v>
      </c>
      <c r="Z92" s="125" t="s">
        <v>122</v>
      </c>
    </row>
    <row r="93" spans="1:26" x14ac:dyDescent="0.2">
      <c r="A93" s="125"/>
      <c r="B93" s="125" t="s">
        <v>123</v>
      </c>
      <c r="C93" s="153">
        <v>453076</v>
      </c>
      <c r="D93" s="154"/>
      <c r="E93" s="154"/>
      <c r="F93" s="155"/>
      <c r="G93" s="163">
        <v>453076</v>
      </c>
      <c r="H93" s="164">
        <v>77122.069999999992</v>
      </c>
      <c r="I93" s="154"/>
      <c r="J93" s="158"/>
      <c r="K93" s="158"/>
      <c r="L93" s="162">
        <f t="shared" si="25"/>
        <v>375953.93</v>
      </c>
      <c r="M93" s="162">
        <f t="shared" si="21"/>
        <v>77122.069999999992</v>
      </c>
      <c r="N93" s="162">
        <v>0</v>
      </c>
      <c r="O93" s="162">
        <v>0</v>
      </c>
      <c r="P93" s="136">
        <f t="shared" si="22"/>
        <v>0</v>
      </c>
      <c r="Q93" s="125"/>
      <c r="S93" s="125" t="s">
        <v>160</v>
      </c>
      <c r="T93" s="125" t="s">
        <v>446</v>
      </c>
      <c r="U93" s="272" t="s">
        <v>447</v>
      </c>
      <c r="V93" s="125" t="s">
        <v>37</v>
      </c>
      <c r="W93" s="125" t="s">
        <v>18</v>
      </c>
      <c r="X93" s="238">
        <f t="shared" si="23"/>
        <v>77122.069999999992</v>
      </c>
      <c r="Y93" s="238">
        <f t="shared" si="24"/>
        <v>375953.93</v>
      </c>
      <c r="Z93" s="125" t="s">
        <v>123</v>
      </c>
    </row>
    <row r="94" spans="1:26" x14ac:dyDescent="0.2">
      <c r="A94" s="125"/>
      <c r="B94" s="125"/>
      <c r="C94" s="153"/>
      <c r="D94" s="154"/>
      <c r="E94" s="154"/>
      <c r="F94" s="155"/>
      <c r="G94" s="156"/>
      <c r="H94" s="157"/>
      <c r="I94" s="154"/>
      <c r="J94" s="158"/>
      <c r="K94" s="158"/>
      <c r="L94" s="154"/>
      <c r="M94" s="154"/>
      <c r="N94" s="154"/>
      <c r="O94" s="154"/>
      <c r="P94" s="125"/>
      <c r="Q94" s="125"/>
    </row>
    <row r="95" spans="1:26" ht="13.5" thickBot="1" x14ac:dyDescent="0.25">
      <c r="A95" s="125"/>
      <c r="B95" s="168" t="s">
        <v>149</v>
      </c>
      <c r="C95" s="169">
        <f t="shared" ref="C95:I95" si="26">SUM(C79:C94)</f>
        <v>32000000</v>
      </c>
      <c r="D95" s="169">
        <f t="shared" si="26"/>
        <v>0</v>
      </c>
      <c r="E95" s="169">
        <f t="shared" si="26"/>
        <v>0</v>
      </c>
      <c r="F95" s="169">
        <f t="shared" si="26"/>
        <v>11547597.57</v>
      </c>
      <c r="G95" s="169">
        <f t="shared" si="26"/>
        <v>20452402.429999996</v>
      </c>
      <c r="H95" s="169">
        <f t="shared" si="26"/>
        <v>6353365.1799999997</v>
      </c>
      <c r="I95" s="169">
        <f t="shared" si="26"/>
        <v>0</v>
      </c>
      <c r="J95" s="169">
        <f t="shared" ref="J95:O95" si="27">SUM(J79:J94)</f>
        <v>0</v>
      </c>
      <c r="K95" s="169">
        <f t="shared" si="27"/>
        <v>0</v>
      </c>
      <c r="L95" s="169">
        <f t="shared" si="27"/>
        <v>14099037.249999998</v>
      </c>
      <c r="M95" s="169">
        <f t="shared" si="27"/>
        <v>3030480.2599999993</v>
      </c>
      <c r="N95" s="169">
        <f t="shared" si="27"/>
        <v>1946073.1199999999</v>
      </c>
      <c r="O95" s="169">
        <f t="shared" si="27"/>
        <v>1376811.8</v>
      </c>
      <c r="P95" s="136">
        <f>C95+D95+E95-F95-G95</f>
        <v>0</v>
      </c>
      <c r="Q95" s="125"/>
      <c r="W95" s="165"/>
      <c r="X95" s="125"/>
      <c r="Y95" s="125"/>
    </row>
    <row r="96" spans="1:26" ht="13.5" thickTop="1" x14ac:dyDescent="0.2">
      <c r="A96" s="125"/>
      <c r="B96" s="125"/>
      <c r="C96" s="153"/>
      <c r="D96" s="154"/>
      <c r="E96" s="154"/>
      <c r="F96" s="155"/>
      <c r="G96" s="156"/>
      <c r="H96" s="157"/>
      <c r="I96" s="154"/>
      <c r="J96" s="158"/>
      <c r="K96" s="158"/>
      <c r="L96" s="154"/>
      <c r="M96" s="154"/>
      <c r="N96" s="154"/>
      <c r="O96" s="154"/>
      <c r="P96" s="125"/>
      <c r="Q96" s="125"/>
    </row>
    <row r="97" spans="1:29" x14ac:dyDescent="0.2">
      <c r="A97" s="165" t="s">
        <v>150</v>
      </c>
      <c r="B97" s="125"/>
      <c r="C97" s="153"/>
      <c r="D97" s="154"/>
      <c r="E97" s="154"/>
      <c r="F97" s="128"/>
      <c r="G97" s="163"/>
      <c r="H97" s="164"/>
      <c r="I97" s="163"/>
      <c r="J97" s="163"/>
      <c r="K97" s="163"/>
      <c r="L97" s="162"/>
      <c r="M97" s="162"/>
      <c r="N97" s="162"/>
      <c r="O97" s="162"/>
      <c r="P97" s="125"/>
      <c r="Q97" s="125"/>
    </row>
    <row r="98" spans="1:29" x14ac:dyDescent="0.2">
      <c r="A98" s="125"/>
      <c r="B98" s="125" t="s">
        <v>151</v>
      </c>
      <c r="C98" s="153">
        <v>5000000</v>
      </c>
      <c r="D98" s="154"/>
      <c r="E98" s="154"/>
      <c r="F98" s="162">
        <f>3442.39+202638.55+926670.4</f>
        <v>1132751.3400000001</v>
      </c>
      <c r="G98" s="163">
        <v>3867248.6600000006</v>
      </c>
      <c r="H98" s="164">
        <v>1058687.83</v>
      </c>
      <c r="I98" s="162">
        <f>[5]UMES!I203</f>
        <v>0</v>
      </c>
      <c r="J98" s="167">
        <f>[5]UMES!J203</f>
        <v>0</v>
      </c>
      <c r="K98" s="167">
        <f>[5]UMES!K203</f>
        <v>0</v>
      </c>
      <c r="L98" s="162">
        <f>G98-H98-I98-J98-K98</f>
        <v>2808560.8300000005</v>
      </c>
      <c r="M98" s="162">
        <f>H98-N98-O98</f>
        <v>342221.83000000007</v>
      </c>
      <c r="N98" s="162">
        <v>716466</v>
      </c>
      <c r="O98" s="162">
        <v>0</v>
      </c>
      <c r="P98" s="136">
        <f t="shared" ref="P98:P117" si="28">C98+D98+E98-F98-G98</f>
        <v>0</v>
      </c>
      <c r="Q98" s="125" t="s">
        <v>111</v>
      </c>
      <c r="S98" s="125" t="s">
        <v>160</v>
      </c>
      <c r="T98" s="125" t="s">
        <v>160</v>
      </c>
      <c r="U98" s="125">
        <v>20</v>
      </c>
      <c r="V98" s="125" t="s">
        <v>31</v>
      </c>
      <c r="W98" s="125" t="s">
        <v>10</v>
      </c>
      <c r="X98" s="238">
        <f t="shared" ref="X98:X117" si="29">H98</f>
        <v>1058687.83</v>
      </c>
      <c r="Y98" s="238">
        <f t="shared" ref="Y98:Y117" si="30">L98</f>
        <v>2808560.8300000005</v>
      </c>
      <c r="Z98" s="125" t="s">
        <v>151</v>
      </c>
    </row>
    <row r="99" spans="1:29" x14ac:dyDescent="0.2">
      <c r="A99" s="125"/>
      <c r="B99" s="125" t="s">
        <v>147</v>
      </c>
      <c r="C99" s="153">
        <v>1008000</v>
      </c>
      <c r="D99" s="154"/>
      <c r="E99" s="154"/>
      <c r="F99" s="162">
        <f>51347.72+344271.58+612380.7</f>
        <v>1008000</v>
      </c>
      <c r="G99" s="163">
        <v>0</v>
      </c>
      <c r="H99" s="164">
        <v>0</v>
      </c>
      <c r="I99" s="162">
        <f>[5]UMES!I184</f>
        <v>0</v>
      </c>
      <c r="J99" s="167">
        <f>[5]UMES!J184</f>
        <v>0</v>
      </c>
      <c r="K99" s="167">
        <f>[5]UMES!K184</f>
        <v>0</v>
      </c>
      <c r="L99" s="162">
        <f t="shared" ref="L99:L117" si="31">G99-H99-I99-J99-K99</f>
        <v>0</v>
      </c>
      <c r="M99" s="162">
        <f>H99-N99-O99</f>
        <v>0</v>
      </c>
      <c r="N99" s="162">
        <v>0</v>
      </c>
      <c r="O99" s="162">
        <v>0</v>
      </c>
      <c r="P99" s="136">
        <f t="shared" si="28"/>
        <v>0</v>
      </c>
      <c r="Q99" s="125" t="s">
        <v>111</v>
      </c>
      <c r="S99" s="125" t="s">
        <v>160</v>
      </c>
      <c r="T99" s="125" t="s">
        <v>160</v>
      </c>
      <c r="U99" s="125">
        <v>20</v>
      </c>
      <c r="V99" s="125" t="s">
        <v>31</v>
      </c>
      <c r="W99" s="125" t="s">
        <v>10</v>
      </c>
      <c r="X99" s="238">
        <f t="shared" si="29"/>
        <v>0</v>
      </c>
      <c r="Y99" s="238">
        <f t="shared" si="30"/>
        <v>0</v>
      </c>
      <c r="Z99" s="125" t="s">
        <v>147</v>
      </c>
    </row>
    <row r="100" spans="1:29" x14ac:dyDescent="0.2">
      <c r="A100" s="125"/>
      <c r="B100" s="125" t="s">
        <v>152</v>
      </c>
      <c r="C100" s="153">
        <v>2346000</v>
      </c>
      <c r="D100" s="154"/>
      <c r="E100" s="154"/>
      <c r="F100" s="162">
        <f>146449.9+2199550.1</f>
        <v>2346000</v>
      </c>
      <c r="G100" s="163">
        <v>0</v>
      </c>
      <c r="H100" s="164">
        <v>0</v>
      </c>
      <c r="I100" s="162">
        <f>[5]UMBC!I136</f>
        <v>0</v>
      </c>
      <c r="J100" s="167">
        <f>[5]UMBC!J136</f>
        <v>0</v>
      </c>
      <c r="K100" s="167">
        <f>[5]UMBC!K136</f>
        <v>0</v>
      </c>
      <c r="L100" s="162">
        <f t="shared" si="31"/>
        <v>0</v>
      </c>
      <c r="M100" s="162">
        <f>H100-N100-O100</f>
        <v>0</v>
      </c>
      <c r="N100" s="162">
        <v>0</v>
      </c>
      <c r="O100" s="162">
        <v>0</v>
      </c>
      <c r="P100" s="136">
        <f t="shared" si="28"/>
        <v>0</v>
      </c>
      <c r="Q100" s="125" t="s">
        <v>111</v>
      </c>
      <c r="S100" s="125" t="s">
        <v>160</v>
      </c>
      <c r="T100" s="125" t="s">
        <v>160</v>
      </c>
      <c r="U100" s="125">
        <v>20</v>
      </c>
      <c r="V100" s="125" t="s">
        <v>31</v>
      </c>
      <c r="W100" s="125" t="s">
        <v>11</v>
      </c>
      <c r="X100" s="238">
        <f t="shared" si="29"/>
        <v>0</v>
      </c>
      <c r="Y100" s="238">
        <f t="shared" si="30"/>
        <v>0</v>
      </c>
      <c r="Z100" s="125" t="s">
        <v>152</v>
      </c>
    </row>
    <row r="101" spans="1:29" x14ac:dyDescent="0.2">
      <c r="A101" s="125"/>
      <c r="B101" s="125" t="s">
        <v>153</v>
      </c>
      <c r="C101" s="153">
        <v>5000000</v>
      </c>
      <c r="D101" s="154"/>
      <c r="E101" s="154"/>
      <c r="F101" s="162">
        <f>1180.17+2012908.63+2985911.2</f>
        <v>5000000</v>
      </c>
      <c r="G101" s="163">
        <v>0</v>
      </c>
      <c r="H101" s="164">
        <v>0</v>
      </c>
      <c r="I101" s="162">
        <f>'[5]USM &amp; COI'!I114</f>
        <v>0</v>
      </c>
      <c r="J101" s="167">
        <f>'[5]USM &amp; COI'!J114</f>
        <v>0</v>
      </c>
      <c r="K101" s="167">
        <f>'[5]USM &amp; COI'!K114</f>
        <v>0</v>
      </c>
      <c r="L101" s="162">
        <f t="shared" si="31"/>
        <v>0</v>
      </c>
      <c r="M101" s="162">
        <f>H101-N101-O101</f>
        <v>0</v>
      </c>
      <c r="N101" s="162">
        <v>0</v>
      </c>
      <c r="O101" s="162">
        <v>0</v>
      </c>
      <c r="P101" s="136">
        <f t="shared" si="28"/>
        <v>0</v>
      </c>
      <c r="Q101" s="125" t="s">
        <v>111</v>
      </c>
      <c r="S101" s="125" t="s">
        <v>160</v>
      </c>
      <c r="T101" s="125" t="s">
        <v>160</v>
      </c>
      <c r="U101" s="125">
        <v>20</v>
      </c>
      <c r="V101" s="125" t="s">
        <v>31</v>
      </c>
      <c r="W101" s="125" t="s">
        <v>32</v>
      </c>
      <c r="X101" s="238">
        <f t="shared" si="29"/>
        <v>0</v>
      </c>
      <c r="Y101" s="238">
        <f t="shared" si="30"/>
        <v>0</v>
      </c>
      <c r="Z101" s="125" t="s">
        <v>153</v>
      </c>
    </row>
    <row r="102" spans="1:29" x14ac:dyDescent="0.2">
      <c r="A102" s="125"/>
      <c r="B102" s="125" t="s">
        <v>154</v>
      </c>
      <c r="C102" s="153">
        <v>2000000</v>
      </c>
      <c r="D102" s="154"/>
      <c r="E102" s="154"/>
      <c r="F102" s="162">
        <f>2000000</f>
        <v>2000000</v>
      </c>
      <c r="G102" s="163">
        <v>0</v>
      </c>
      <c r="H102" s="164">
        <v>0</v>
      </c>
      <c r="I102" s="162">
        <v>0</v>
      </c>
      <c r="J102" s="167">
        <v>0</v>
      </c>
      <c r="K102" s="167">
        <v>0</v>
      </c>
      <c r="L102" s="162">
        <f t="shared" si="31"/>
        <v>0</v>
      </c>
      <c r="M102" s="162">
        <f>H102-N102-O102</f>
        <v>0</v>
      </c>
      <c r="N102" s="162">
        <v>0</v>
      </c>
      <c r="O102" s="162">
        <v>0</v>
      </c>
      <c r="P102" s="136">
        <f t="shared" si="28"/>
        <v>0</v>
      </c>
      <c r="Q102" s="125" t="s">
        <v>111</v>
      </c>
      <c r="S102" s="125" t="s">
        <v>160</v>
      </c>
      <c r="T102" s="125" t="s">
        <v>160</v>
      </c>
      <c r="U102" s="125">
        <v>20</v>
      </c>
      <c r="V102" s="125" t="s">
        <v>31</v>
      </c>
      <c r="W102" s="125" t="s">
        <v>17</v>
      </c>
      <c r="X102" s="238">
        <f t="shared" si="29"/>
        <v>0</v>
      </c>
      <c r="Y102" s="238">
        <f t="shared" si="30"/>
        <v>0</v>
      </c>
      <c r="Z102" s="125" t="s">
        <v>154</v>
      </c>
    </row>
    <row r="103" spans="1:29" x14ac:dyDescent="0.2">
      <c r="A103" s="125"/>
      <c r="B103" s="165" t="s">
        <v>112</v>
      </c>
      <c r="C103" s="153"/>
      <c r="D103" s="154"/>
      <c r="E103" s="154"/>
      <c r="F103" s="162"/>
      <c r="G103" s="163"/>
      <c r="H103" s="164"/>
      <c r="I103" s="162"/>
      <c r="J103" s="167"/>
      <c r="K103" s="167"/>
      <c r="L103" s="162"/>
      <c r="M103" s="162"/>
      <c r="N103" s="162"/>
      <c r="O103" s="162"/>
      <c r="P103" s="136">
        <f t="shared" si="28"/>
        <v>0</v>
      </c>
      <c r="Q103" s="125"/>
      <c r="W103" s="165"/>
      <c r="X103" s="238">
        <f t="shared" si="29"/>
        <v>0</v>
      </c>
      <c r="Y103" s="238">
        <f t="shared" si="30"/>
        <v>0</v>
      </c>
      <c r="Z103" s="165"/>
    </row>
    <row r="104" spans="1:29" x14ac:dyDescent="0.2">
      <c r="A104" s="125"/>
      <c r="B104" s="125" t="s">
        <v>113</v>
      </c>
      <c r="C104" s="153">
        <v>7300000</v>
      </c>
      <c r="D104" s="154"/>
      <c r="E104" s="154"/>
      <c r="F104" s="162">
        <f>194905.04+7105094.96</f>
        <v>7300000</v>
      </c>
      <c r="G104" s="163">
        <v>0</v>
      </c>
      <c r="H104" s="164">
        <v>0</v>
      </c>
      <c r="I104" s="162">
        <f>[5]UMCP!I162</f>
        <v>0</v>
      </c>
      <c r="J104" s="167">
        <f>[5]UMCP!J162</f>
        <v>0</v>
      </c>
      <c r="K104" s="167">
        <f>[5]UMCP!K162</f>
        <v>0</v>
      </c>
      <c r="L104" s="162">
        <f t="shared" si="31"/>
        <v>0</v>
      </c>
      <c r="M104" s="162">
        <f t="shared" ref="M104:M117" si="32">H104-N104-O104</f>
        <v>0</v>
      </c>
      <c r="N104" s="162">
        <v>0</v>
      </c>
      <c r="O104" s="162">
        <v>0</v>
      </c>
      <c r="P104" s="136">
        <f t="shared" si="28"/>
        <v>0</v>
      </c>
      <c r="Q104" s="125"/>
      <c r="S104" s="125" t="s">
        <v>160</v>
      </c>
      <c r="T104" s="125" t="s">
        <v>446</v>
      </c>
      <c r="U104" s="272" t="s">
        <v>447</v>
      </c>
      <c r="V104" s="125" t="s">
        <v>31</v>
      </c>
      <c r="W104" s="125" t="s">
        <v>7</v>
      </c>
      <c r="X104" s="238">
        <f t="shared" si="29"/>
        <v>0</v>
      </c>
      <c r="Y104" s="238">
        <f t="shared" si="30"/>
        <v>0</v>
      </c>
      <c r="Z104" s="125" t="s">
        <v>113</v>
      </c>
    </row>
    <row r="105" spans="1:29" x14ac:dyDescent="0.2">
      <c r="A105" s="125"/>
      <c r="B105" s="125" t="s">
        <v>114</v>
      </c>
      <c r="C105" s="153">
        <v>2675000</v>
      </c>
      <c r="D105" s="154"/>
      <c r="E105" s="154"/>
      <c r="F105" s="162">
        <f>431549.85+72768.56+10256.2</f>
        <v>514574.61</v>
      </c>
      <c r="G105" s="163">
        <v>2160425.39</v>
      </c>
      <c r="H105" s="164">
        <v>2086618.8499999996</v>
      </c>
      <c r="I105" s="162">
        <f>[5]UMB!I176</f>
        <v>0</v>
      </c>
      <c r="J105" s="167">
        <f>[5]UMB!J176</f>
        <v>0</v>
      </c>
      <c r="K105" s="167">
        <f>[5]UMB!K176</f>
        <v>0</v>
      </c>
      <c r="L105" s="162">
        <f t="shared" si="31"/>
        <v>73806.540000000503</v>
      </c>
      <c r="M105" s="162">
        <f t="shared" si="32"/>
        <v>967219.99999999965</v>
      </c>
      <c r="N105" s="162">
        <v>135937.27000000014</v>
      </c>
      <c r="O105" s="162">
        <v>983461.58</v>
      </c>
      <c r="P105" s="136">
        <f t="shared" si="28"/>
        <v>0</v>
      </c>
      <c r="Q105" s="125"/>
      <c r="S105" s="125" t="s">
        <v>160</v>
      </c>
      <c r="T105" s="125" t="s">
        <v>446</v>
      </c>
      <c r="U105" s="272" t="s">
        <v>447</v>
      </c>
      <c r="V105" s="125" t="s">
        <v>31</v>
      </c>
      <c r="W105" s="125" t="s">
        <v>8</v>
      </c>
      <c r="X105" s="238">
        <f t="shared" si="29"/>
        <v>2086618.8499999996</v>
      </c>
      <c r="Y105" s="238">
        <f t="shared" si="30"/>
        <v>73806.540000000503</v>
      </c>
      <c r="Z105" s="125" t="s">
        <v>114</v>
      </c>
    </row>
    <row r="106" spans="1:29" x14ac:dyDescent="0.2">
      <c r="A106" s="125"/>
      <c r="B106" s="125" t="s">
        <v>115</v>
      </c>
      <c r="C106" s="153">
        <v>642000</v>
      </c>
      <c r="D106" s="154"/>
      <c r="E106" s="154"/>
      <c r="F106" s="162">
        <f>550000+89800</f>
        <v>639800</v>
      </c>
      <c r="G106" s="163">
        <v>2200</v>
      </c>
      <c r="H106" s="164">
        <v>0</v>
      </c>
      <c r="I106" s="162">
        <f>[5]UMES!I95</f>
        <v>0</v>
      </c>
      <c r="J106" s="167">
        <f>[5]UMES!J95</f>
        <v>0</v>
      </c>
      <c r="K106" s="167">
        <f>[5]UMES!K95</f>
        <v>0</v>
      </c>
      <c r="L106" s="162">
        <f t="shared" si="31"/>
        <v>2200</v>
      </c>
      <c r="M106" s="162">
        <f t="shared" si="32"/>
        <v>0</v>
      </c>
      <c r="N106" s="162">
        <v>0</v>
      </c>
      <c r="O106" s="162">
        <v>0</v>
      </c>
      <c r="P106" s="136">
        <f t="shared" si="28"/>
        <v>0</v>
      </c>
      <c r="Q106" s="125"/>
      <c r="S106" s="125" t="s">
        <v>160</v>
      </c>
      <c r="T106" s="125" t="s">
        <v>446</v>
      </c>
      <c r="U106" s="272" t="s">
        <v>447</v>
      </c>
      <c r="V106" s="125" t="s">
        <v>31</v>
      </c>
      <c r="W106" s="125" t="s">
        <v>10</v>
      </c>
      <c r="X106" s="238">
        <f t="shared" si="29"/>
        <v>0</v>
      </c>
      <c r="Y106" s="238">
        <f t="shared" si="30"/>
        <v>2200</v>
      </c>
      <c r="Z106" s="125" t="s">
        <v>115</v>
      </c>
    </row>
    <row r="107" spans="1:29" x14ac:dyDescent="0.2">
      <c r="A107" s="125"/>
      <c r="B107" s="125" t="s">
        <v>116</v>
      </c>
      <c r="C107" s="153">
        <v>1452000</v>
      </c>
      <c r="D107" s="154"/>
      <c r="E107" s="154"/>
      <c r="F107" s="162">
        <f>75864.25</f>
        <v>75864.25</v>
      </c>
      <c r="G107" s="163">
        <v>1376135.75</v>
      </c>
      <c r="H107" s="164">
        <v>276281.5</v>
      </c>
      <c r="I107" s="162">
        <f>[5]UMBC!I89</f>
        <v>0</v>
      </c>
      <c r="J107" s="167">
        <f>[5]UMBC!J89</f>
        <v>0</v>
      </c>
      <c r="K107" s="167">
        <f>[5]UMBC!K89</f>
        <v>0</v>
      </c>
      <c r="L107" s="162">
        <f t="shared" si="31"/>
        <v>1099854.25</v>
      </c>
      <c r="M107" s="162">
        <f t="shared" si="32"/>
        <v>141775.07</v>
      </c>
      <c r="N107" s="162">
        <v>79381.630000000019</v>
      </c>
      <c r="O107" s="162">
        <v>55124.800000000003</v>
      </c>
      <c r="P107" s="136">
        <f t="shared" si="28"/>
        <v>0</v>
      </c>
      <c r="Q107" s="125"/>
      <c r="S107" s="125" t="s">
        <v>160</v>
      </c>
      <c r="T107" s="125" t="s">
        <v>446</v>
      </c>
      <c r="U107" s="272" t="s">
        <v>447</v>
      </c>
      <c r="V107" s="125" t="s">
        <v>31</v>
      </c>
      <c r="W107" s="125" t="s">
        <v>11</v>
      </c>
      <c r="X107" s="238">
        <f t="shared" si="29"/>
        <v>276281.5</v>
      </c>
      <c r="Y107" s="238">
        <f t="shared" si="30"/>
        <v>1099854.25</v>
      </c>
      <c r="Z107" s="125" t="s">
        <v>116</v>
      </c>
    </row>
    <row r="108" spans="1:29" x14ac:dyDescent="0.2">
      <c r="A108" s="125"/>
      <c r="B108" s="125" t="s">
        <v>117</v>
      </c>
      <c r="C108" s="153">
        <v>317000</v>
      </c>
      <c r="D108" s="154"/>
      <c r="E108" s="154"/>
      <c r="F108" s="162">
        <f>317000</f>
        <v>317000</v>
      </c>
      <c r="G108" s="163">
        <v>0</v>
      </c>
      <c r="H108" s="164">
        <v>0</v>
      </c>
      <c r="I108" s="162">
        <v>0</v>
      </c>
      <c r="J108" s="167">
        <v>0</v>
      </c>
      <c r="K108" s="167">
        <v>0</v>
      </c>
      <c r="L108" s="162">
        <f t="shared" si="31"/>
        <v>0</v>
      </c>
      <c r="M108" s="162">
        <f t="shared" si="32"/>
        <v>0</v>
      </c>
      <c r="N108" s="162">
        <v>0</v>
      </c>
      <c r="O108" s="162">
        <v>0</v>
      </c>
      <c r="P108" s="136">
        <f t="shared" si="28"/>
        <v>0</v>
      </c>
      <c r="Q108" s="125"/>
      <c r="S108" s="125" t="s">
        <v>160</v>
      </c>
      <c r="T108" s="125" t="s">
        <v>446</v>
      </c>
      <c r="U108" s="272" t="s">
        <v>447</v>
      </c>
      <c r="V108" s="125" t="s">
        <v>31</v>
      </c>
      <c r="W108" s="125" t="s">
        <v>12</v>
      </c>
      <c r="X108" s="238">
        <f t="shared" si="29"/>
        <v>0</v>
      </c>
      <c r="Y108" s="238">
        <f t="shared" si="30"/>
        <v>0</v>
      </c>
      <c r="Z108" s="125" t="s">
        <v>117</v>
      </c>
    </row>
    <row r="109" spans="1:29" x14ac:dyDescent="0.2">
      <c r="A109" s="175"/>
      <c r="B109" s="175" t="s">
        <v>118</v>
      </c>
      <c r="C109" s="176">
        <v>554000</v>
      </c>
      <c r="D109" s="177"/>
      <c r="E109" s="177"/>
      <c r="F109" s="178">
        <f>385023.91+8523.63</f>
        <v>393547.54</v>
      </c>
      <c r="G109" s="179">
        <v>160452.45999999996</v>
      </c>
      <c r="H109" s="179">
        <v>160452.46</v>
      </c>
      <c r="I109" s="178">
        <f>[5]BSU!I64</f>
        <v>0</v>
      </c>
      <c r="J109" s="180">
        <f>[5]BSU!J64</f>
        <v>0</v>
      </c>
      <c r="K109" s="180">
        <f>[5]BSU!K64</f>
        <v>0</v>
      </c>
      <c r="L109" s="178">
        <f t="shared" si="31"/>
        <v>-2.9103830456733704E-11</v>
      </c>
      <c r="M109" s="178">
        <f t="shared" si="32"/>
        <v>0</v>
      </c>
      <c r="N109" s="178">
        <v>160452.46</v>
      </c>
      <c r="O109" s="178">
        <v>0</v>
      </c>
      <c r="P109" s="185">
        <f t="shared" si="28"/>
        <v>0</v>
      </c>
      <c r="Q109" s="175"/>
      <c r="S109" s="125" t="s">
        <v>160</v>
      </c>
      <c r="T109" s="125" t="s">
        <v>446</v>
      </c>
      <c r="U109" s="272" t="s">
        <v>447</v>
      </c>
      <c r="V109" s="125" t="s">
        <v>31</v>
      </c>
      <c r="W109" s="175" t="s">
        <v>13</v>
      </c>
      <c r="X109" s="238">
        <f t="shared" si="29"/>
        <v>160452.46</v>
      </c>
      <c r="Y109" s="238">
        <f t="shared" si="30"/>
        <v>-2.9103830456733704E-11</v>
      </c>
      <c r="Z109" s="175" t="s">
        <v>118</v>
      </c>
      <c r="AA109" s="175"/>
      <c r="AB109" s="175"/>
      <c r="AC109" s="175"/>
    </row>
    <row r="110" spans="1:29" x14ac:dyDescent="0.2">
      <c r="A110" s="125"/>
      <c r="B110" s="125" t="s">
        <v>119</v>
      </c>
      <c r="C110" s="153">
        <v>309000</v>
      </c>
      <c r="D110" s="154"/>
      <c r="E110" s="154"/>
      <c r="F110" s="162">
        <f>309000</f>
        <v>309000</v>
      </c>
      <c r="G110" s="163">
        <v>0</v>
      </c>
      <c r="H110" s="164">
        <v>0</v>
      </c>
      <c r="I110" s="162">
        <f>[5]CSU!I59</f>
        <v>0</v>
      </c>
      <c r="J110" s="167">
        <f>[5]CSU!J59</f>
        <v>0</v>
      </c>
      <c r="K110" s="167">
        <f>[5]CSU!K59</f>
        <v>0</v>
      </c>
      <c r="L110" s="162">
        <f t="shared" si="31"/>
        <v>0</v>
      </c>
      <c r="M110" s="162">
        <f t="shared" si="32"/>
        <v>0</v>
      </c>
      <c r="N110" s="162">
        <v>0</v>
      </c>
      <c r="O110" s="162">
        <v>0</v>
      </c>
      <c r="P110" s="136">
        <f t="shared" si="28"/>
        <v>0</v>
      </c>
      <c r="Q110" s="125"/>
      <c r="S110" s="125" t="s">
        <v>160</v>
      </c>
      <c r="T110" s="125" t="s">
        <v>446</v>
      </c>
      <c r="U110" s="272" t="s">
        <v>447</v>
      </c>
      <c r="V110" s="125" t="s">
        <v>31</v>
      </c>
      <c r="W110" s="125" t="s">
        <v>14</v>
      </c>
      <c r="X110" s="238">
        <f t="shared" si="29"/>
        <v>0</v>
      </c>
      <c r="Y110" s="238">
        <f t="shared" si="30"/>
        <v>0</v>
      </c>
      <c r="Z110" s="125" t="s">
        <v>119</v>
      </c>
    </row>
    <row r="111" spans="1:29" x14ac:dyDescent="0.2">
      <c r="A111" s="125"/>
      <c r="B111" s="125" t="s">
        <v>120</v>
      </c>
      <c r="C111" s="153">
        <v>645000</v>
      </c>
      <c r="D111" s="154"/>
      <c r="E111" s="154"/>
      <c r="F111" s="162">
        <f>36199.86+216461.22+179395.12</f>
        <v>432056.2</v>
      </c>
      <c r="G111" s="163">
        <v>212943.80000000005</v>
      </c>
      <c r="H111" s="164">
        <v>212943.8</v>
      </c>
      <c r="I111" s="162">
        <f>[5]FSU!I114</f>
        <v>0</v>
      </c>
      <c r="J111" s="167">
        <f>[5]FSU!J114</f>
        <v>0</v>
      </c>
      <c r="K111" s="167">
        <f>[5]FSU!K114</f>
        <v>0</v>
      </c>
      <c r="L111" s="162">
        <f t="shared" si="31"/>
        <v>5.8207660913467407E-11</v>
      </c>
      <c r="M111" s="162">
        <f t="shared" si="32"/>
        <v>0</v>
      </c>
      <c r="N111" s="162">
        <v>0</v>
      </c>
      <c r="O111" s="162">
        <v>212943.8</v>
      </c>
      <c r="P111" s="136">
        <f t="shared" si="28"/>
        <v>0</v>
      </c>
      <c r="Q111" s="125"/>
      <c r="S111" s="125" t="s">
        <v>160</v>
      </c>
      <c r="T111" s="125" t="s">
        <v>446</v>
      </c>
      <c r="U111" s="272" t="s">
        <v>447</v>
      </c>
      <c r="V111" s="125" t="s">
        <v>31</v>
      </c>
      <c r="W111" s="125" t="s">
        <v>15</v>
      </c>
      <c r="X111" s="238">
        <f t="shared" si="29"/>
        <v>212943.8</v>
      </c>
      <c r="Y111" s="238">
        <f t="shared" si="30"/>
        <v>5.8207660913467407E-11</v>
      </c>
      <c r="Z111" s="125" t="s">
        <v>120</v>
      </c>
    </row>
    <row r="112" spans="1:29" x14ac:dyDescent="0.2">
      <c r="A112" s="125"/>
      <c r="B112" s="125" t="s">
        <v>137</v>
      </c>
      <c r="C112" s="153">
        <v>536000</v>
      </c>
      <c r="D112" s="154"/>
      <c r="E112" s="154"/>
      <c r="F112" s="162">
        <f>49413.17+486586.83</f>
        <v>536000</v>
      </c>
      <c r="G112" s="163">
        <v>0</v>
      </c>
      <c r="H112" s="164">
        <v>0</v>
      </c>
      <c r="I112" s="162">
        <f>[5]SU!I62</f>
        <v>0</v>
      </c>
      <c r="J112" s="167">
        <f>[5]SU!J62</f>
        <v>0</v>
      </c>
      <c r="K112" s="167">
        <f>[5]SU!K62</f>
        <v>0</v>
      </c>
      <c r="L112" s="162">
        <f t="shared" si="31"/>
        <v>0</v>
      </c>
      <c r="M112" s="162">
        <f t="shared" si="32"/>
        <v>0</v>
      </c>
      <c r="N112" s="162">
        <v>0</v>
      </c>
      <c r="O112" s="162">
        <v>0</v>
      </c>
      <c r="P112" s="136">
        <f t="shared" si="28"/>
        <v>0</v>
      </c>
      <c r="Q112" s="125"/>
      <c r="S112" s="125" t="s">
        <v>160</v>
      </c>
      <c r="T112" s="125" t="s">
        <v>446</v>
      </c>
      <c r="U112" s="272" t="s">
        <v>447</v>
      </c>
      <c r="V112" s="125" t="s">
        <v>31</v>
      </c>
      <c r="W112" s="125" t="s">
        <v>16</v>
      </c>
      <c r="X112" s="238">
        <f t="shared" si="29"/>
        <v>0</v>
      </c>
      <c r="Y112" s="238">
        <f t="shared" si="30"/>
        <v>0</v>
      </c>
      <c r="Z112" s="125" t="s">
        <v>137</v>
      </c>
    </row>
    <row r="113" spans="1:29" x14ac:dyDescent="0.2">
      <c r="A113" s="125"/>
      <c r="B113" s="125" t="s">
        <v>122</v>
      </c>
      <c r="C113" s="153">
        <f>525000+575000+489000</f>
        <v>1589000</v>
      </c>
      <c r="D113" s="154"/>
      <c r="E113" s="154"/>
      <c r="F113" s="162">
        <f>360938.78+43732.93</f>
        <v>404671.71</v>
      </c>
      <c r="G113" s="163">
        <v>1184328.29</v>
      </c>
      <c r="H113" s="164">
        <v>1180075.1099999999</v>
      </c>
      <c r="I113" s="162">
        <f>[5]TU!I101+[5]TU!I117+[5]TU!I129</f>
        <v>0</v>
      </c>
      <c r="J113" s="167">
        <f>[5]TU!J101+[5]TU!J117+[5]TU!J129</f>
        <v>0</v>
      </c>
      <c r="K113" s="167">
        <f>[5]TU!K101+[5]TU!K117+[5]TU!K129</f>
        <v>0</v>
      </c>
      <c r="L113" s="162">
        <f t="shared" si="31"/>
        <v>4253.1800000001676</v>
      </c>
      <c r="M113" s="162">
        <f t="shared" si="32"/>
        <v>534094.31999999983</v>
      </c>
      <c r="N113" s="162">
        <v>474747.43000000005</v>
      </c>
      <c r="O113" s="162">
        <v>171233.36</v>
      </c>
      <c r="P113" s="136">
        <f t="shared" si="28"/>
        <v>0</v>
      </c>
      <c r="Q113" s="125"/>
      <c r="S113" s="125" t="s">
        <v>160</v>
      </c>
      <c r="T113" s="125" t="s">
        <v>446</v>
      </c>
      <c r="U113" s="272" t="s">
        <v>447</v>
      </c>
      <c r="V113" s="125" t="s">
        <v>31</v>
      </c>
      <c r="W113" s="125" t="s">
        <v>17</v>
      </c>
      <c r="X113" s="238">
        <f t="shared" si="29"/>
        <v>1180075.1099999999</v>
      </c>
      <c r="Y113" s="238">
        <f t="shared" si="30"/>
        <v>4253.1800000001676</v>
      </c>
      <c r="Z113" s="125" t="s">
        <v>122</v>
      </c>
    </row>
    <row r="114" spans="1:29" x14ac:dyDescent="0.2">
      <c r="A114" s="175"/>
      <c r="B114" s="175" t="s">
        <v>123</v>
      </c>
      <c r="C114" s="176">
        <v>418000</v>
      </c>
      <c r="D114" s="177"/>
      <c r="E114" s="177"/>
      <c r="F114" s="178">
        <f>157585.77+164124.54+19900+15132.35+4208.6</f>
        <v>360951.25999999995</v>
      </c>
      <c r="G114" s="179">
        <v>57048.739999999991</v>
      </c>
      <c r="H114" s="186">
        <v>42434.860000000008</v>
      </c>
      <c r="I114" s="178">
        <f>[5]UBalt!I90</f>
        <v>0</v>
      </c>
      <c r="J114" s="180">
        <f>[5]UBalt!J90</f>
        <v>0</v>
      </c>
      <c r="K114" s="180">
        <f>[5]UBalt!K90</f>
        <v>0</v>
      </c>
      <c r="L114" s="178">
        <f t="shared" si="31"/>
        <v>14613.879999999983</v>
      </c>
      <c r="M114" s="178">
        <f t="shared" si="32"/>
        <v>5025.760000000002</v>
      </c>
      <c r="N114" s="178">
        <v>10436.270000000004</v>
      </c>
      <c r="O114" s="178">
        <v>26972.83</v>
      </c>
      <c r="P114" s="185">
        <f t="shared" si="28"/>
        <v>5.8207660913467407E-11</v>
      </c>
      <c r="Q114" s="175"/>
      <c r="S114" s="125" t="s">
        <v>160</v>
      </c>
      <c r="T114" s="125" t="s">
        <v>446</v>
      </c>
      <c r="U114" s="272" t="s">
        <v>447</v>
      </c>
      <c r="V114" s="125" t="s">
        <v>31</v>
      </c>
      <c r="W114" s="175" t="s">
        <v>18</v>
      </c>
      <c r="X114" s="238">
        <f t="shared" si="29"/>
        <v>42434.860000000008</v>
      </c>
      <c r="Y114" s="238">
        <f t="shared" si="30"/>
        <v>14613.879999999983</v>
      </c>
      <c r="Z114" s="175" t="s">
        <v>123</v>
      </c>
      <c r="AA114" s="175"/>
      <c r="AB114" s="175"/>
      <c r="AC114" s="175"/>
    </row>
    <row r="115" spans="1:29" x14ac:dyDescent="0.2">
      <c r="A115" s="125"/>
      <c r="B115" s="165" t="s">
        <v>127</v>
      </c>
      <c r="C115" s="153">
        <v>2209000</v>
      </c>
      <c r="D115" s="125"/>
      <c r="E115" s="162">
        <f>955.58+30+236864.83+43817.68+38000+113000+563000+287627.14-24627.14-1400000-1520000</f>
        <v>-1661331.91</v>
      </c>
      <c r="F115" s="162"/>
      <c r="G115" s="163">
        <v>547668.09000000032</v>
      </c>
      <c r="H115" s="164"/>
      <c r="I115" s="162"/>
      <c r="J115" s="167"/>
      <c r="K115" s="167"/>
      <c r="L115" s="162">
        <f t="shared" si="31"/>
        <v>547668.09000000032</v>
      </c>
      <c r="M115" s="162">
        <f t="shared" si="32"/>
        <v>0</v>
      </c>
      <c r="N115" s="162"/>
      <c r="O115" s="162"/>
      <c r="P115" s="136">
        <f t="shared" si="28"/>
        <v>0</v>
      </c>
      <c r="Q115" s="125"/>
      <c r="S115" s="125" t="s">
        <v>160</v>
      </c>
      <c r="T115" s="125" t="s">
        <v>446</v>
      </c>
      <c r="U115" s="272" t="s">
        <v>447</v>
      </c>
      <c r="V115" s="125" t="s">
        <v>31</v>
      </c>
      <c r="W115" s="165" t="s">
        <v>32</v>
      </c>
      <c r="X115" s="238">
        <f t="shared" si="29"/>
        <v>0</v>
      </c>
      <c r="Y115" s="238">
        <f t="shared" si="30"/>
        <v>547668.09000000032</v>
      </c>
      <c r="Z115" s="165" t="s">
        <v>127</v>
      </c>
    </row>
    <row r="116" spans="1:29" x14ac:dyDescent="0.2">
      <c r="A116" s="125"/>
      <c r="B116" s="125" t="s">
        <v>155</v>
      </c>
      <c r="C116" s="153"/>
      <c r="D116" s="125"/>
      <c r="E116" s="162">
        <v>1400000</v>
      </c>
      <c r="F116" s="162">
        <f>301683.5+1098316.5</f>
        <v>1400000</v>
      </c>
      <c r="G116" s="163">
        <v>0</v>
      </c>
      <c r="H116" s="164">
        <v>0</v>
      </c>
      <c r="I116" s="162"/>
      <c r="J116" s="167"/>
      <c r="K116" s="167"/>
      <c r="L116" s="162">
        <f t="shared" si="31"/>
        <v>0</v>
      </c>
      <c r="M116" s="162">
        <f t="shared" si="32"/>
        <v>0</v>
      </c>
      <c r="N116" s="162">
        <v>0</v>
      </c>
      <c r="O116" s="162">
        <v>0</v>
      </c>
      <c r="P116" s="136">
        <f t="shared" si="28"/>
        <v>0</v>
      </c>
      <c r="Q116" s="125"/>
      <c r="S116" s="125" t="s">
        <v>160</v>
      </c>
      <c r="T116" s="125" t="s">
        <v>446</v>
      </c>
      <c r="U116" s="272" t="s">
        <v>447</v>
      </c>
      <c r="V116" s="125" t="s">
        <v>31</v>
      </c>
      <c r="W116" s="125" t="s">
        <v>10</v>
      </c>
      <c r="X116" s="238">
        <f t="shared" si="29"/>
        <v>0</v>
      </c>
      <c r="Y116" s="238">
        <f t="shared" si="30"/>
        <v>0</v>
      </c>
      <c r="Z116" s="125" t="s">
        <v>155</v>
      </c>
    </row>
    <row r="117" spans="1:29" x14ac:dyDescent="0.2">
      <c r="A117" s="125"/>
      <c r="B117" s="125" t="s">
        <v>156</v>
      </c>
      <c r="C117" s="153"/>
      <c r="D117" s="125"/>
      <c r="E117" s="162">
        <v>1520000</v>
      </c>
      <c r="F117" s="162">
        <f>145740.07</f>
        <v>145740.07</v>
      </c>
      <c r="G117" s="163">
        <v>1374259.93</v>
      </c>
      <c r="H117" s="164">
        <v>1374259.93</v>
      </c>
      <c r="I117" s="162"/>
      <c r="J117" s="167"/>
      <c r="K117" s="167">
        <f>'[5]USM &amp; COI'!K49</f>
        <v>0</v>
      </c>
      <c r="L117" s="162">
        <f t="shared" si="31"/>
        <v>0</v>
      </c>
      <c r="M117" s="162">
        <f t="shared" si="32"/>
        <v>0</v>
      </c>
      <c r="N117" s="162">
        <v>744416.44</v>
      </c>
      <c r="O117" s="162">
        <v>629843.49</v>
      </c>
      <c r="P117" s="136">
        <f t="shared" si="28"/>
        <v>0</v>
      </c>
      <c r="Q117" s="125"/>
      <c r="S117" s="125" t="s">
        <v>160</v>
      </c>
      <c r="T117" s="125" t="s">
        <v>446</v>
      </c>
      <c r="U117" s="272" t="s">
        <v>447</v>
      </c>
      <c r="V117" s="125" t="s">
        <v>31</v>
      </c>
      <c r="W117" s="125" t="s">
        <v>448</v>
      </c>
      <c r="X117" s="238">
        <f t="shared" si="29"/>
        <v>1374259.93</v>
      </c>
      <c r="Y117" s="238">
        <f t="shared" si="30"/>
        <v>0</v>
      </c>
      <c r="Z117" s="125" t="s">
        <v>156</v>
      </c>
    </row>
    <row r="118" spans="1:29" x14ac:dyDescent="0.2">
      <c r="A118" s="125"/>
      <c r="B118" s="165"/>
      <c r="C118" s="153"/>
      <c r="D118" s="154"/>
      <c r="E118" s="154"/>
      <c r="F118" s="162"/>
      <c r="G118" s="163"/>
      <c r="H118" s="164"/>
      <c r="I118" s="162"/>
      <c r="J118" s="167"/>
      <c r="K118" s="167"/>
      <c r="L118" s="162"/>
      <c r="M118" s="162"/>
      <c r="N118" s="162"/>
      <c r="O118" s="162"/>
      <c r="P118" s="125"/>
      <c r="Q118" s="125"/>
      <c r="W118" s="165"/>
      <c r="Z118" s="165"/>
    </row>
    <row r="119" spans="1:29" ht="13.5" thickBot="1" x14ac:dyDescent="0.25">
      <c r="A119" s="125"/>
      <c r="B119" s="168" t="s">
        <v>157</v>
      </c>
      <c r="C119" s="169">
        <f>SUM(C98:C118)</f>
        <v>34000000</v>
      </c>
      <c r="D119" s="169">
        <f t="shared" ref="D119:O119" si="33">SUM(D98:D118)</f>
        <v>0</v>
      </c>
      <c r="E119" s="169">
        <f t="shared" si="33"/>
        <v>1258668.0900000001</v>
      </c>
      <c r="F119" s="169">
        <f>SUM(F98:F118)</f>
        <v>24315956.98</v>
      </c>
      <c r="G119" s="169">
        <f t="shared" si="33"/>
        <v>10942711.110000001</v>
      </c>
      <c r="H119" s="169">
        <f>SUM(H98:H118)</f>
        <v>6391754.3399999989</v>
      </c>
      <c r="I119" s="169">
        <f t="shared" si="33"/>
        <v>0</v>
      </c>
      <c r="J119" s="169">
        <f t="shared" si="33"/>
        <v>0</v>
      </c>
      <c r="K119" s="169">
        <f t="shared" si="33"/>
        <v>0</v>
      </c>
      <c r="L119" s="169">
        <f t="shared" si="33"/>
        <v>4550956.7700000014</v>
      </c>
      <c r="M119" s="169">
        <f t="shared" si="33"/>
        <v>1990336.9799999995</v>
      </c>
      <c r="N119" s="169">
        <f t="shared" si="33"/>
        <v>2321837.5</v>
      </c>
      <c r="O119" s="169">
        <f t="shared" si="33"/>
        <v>2079579.86</v>
      </c>
      <c r="P119" s="136">
        <f>C119+D119+E119-F119-G119</f>
        <v>0</v>
      </c>
      <c r="Q119" s="125"/>
      <c r="W119" s="165"/>
      <c r="X119" s="125"/>
      <c r="Y119" s="125"/>
    </row>
    <row r="120" spans="1:29" ht="13.5" thickTop="1" x14ac:dyDescent="0.2">
      <c r="A120" s="125"/>
      <c r="B120" s="165"/>
      <c r="C120" s="153"/>
      <c r="D120" s="154"/>
      <c r="E120" s="154"/>
      <c r="F120" s="162"/>
      <c r="G120" s="163"/>
      <c r="H120" s="164"/>
      <c r="I120" s="162"/>
      <c r="J120" s="167"/>
      <c r="K120" s="167"/>
      <c r="L120" s="162"/>
      <c r="M120" s="162"/>
      <c r="N120" s="162"/>
      <c r="O120" s="162"/>
      <c r="P120" s="125"/>
      <c r="Q120" s="125"/>
      <c r="W120" s="165"/>
      <c r="Z120" s="165"/>
    </row>
    <row r="121" spans="1:29" x14ac:dyDescent="0.2">
      <c r="A121" s="165" t="s">
        <v>158</v>
      </c>
      <c r="B121" s="125"/>
      <c r="C121" s="153"/>
      <c r="D121" s="154"/>
      <c r="E121" s="154"/>
      <c r="F121" s="187"/>
      <c r="G121" s="163"/>
      <c r="H121" s="164"/>
      <c r="I121" s="163"/>
      <c r="J121" s="163"/>
      <c r="K121" s="163"/>
      <c r="L121" s="162"/>
      <c r="M121" s="162"/>
      <c r="N121" s="162"/>
      <c r="O121" s="162"/>
      <c r="P121" s="125"/>
      <c r="Q121" s="125"/>
    </row>
    <row r="122" spans="1:29" x14ac:dyDescent="0.2">
      <c r="A122" s="125"/>
      <c r="B122" s="125" t="s">
        <v>159</v>
      </c>
      <c r="C122" s="153">
        <v>5000000</v>
      </c>
      <c r="D122" s="154"/>
      <c r="E122" s="154"/>
      <c r="F122" s="188">
        <f>1519594.09+758267.97+1278318.07</f>
        <v>3556180.13</v>
      </c>
      <c r="G122" s="163">
        <v>1443819.8700000003</v>
      </c>
      <c r="H122" s="164">
        <v>73368.990000000005</v>
      </c>
      <c r="I122" s="162">
        <f>[5]UMBC!I130</f>
        <v>0</v>
      </c>
      <c r="J122" s="167">
        <f>[5]UMBC!J130</f>
        <v>0</v>
      </c>
      <c r="K122" s="167">
        <f>[5]UMBC!K130</f>
        <v>0</v>
      </c>
      <c r="L122" s="162">
        <f>G122-H122-I122-J122-K122</f>
        <v>1370450.8800000004</v>
      </c>
      <c r="M122" s="162">
        <f t="shared" ref="M122:M141" si="34">H122-N122-O122</f>
        <v>70554.420000000013</v>
      </c>
      <c r="N122" s="162">
        <v>2814.5699999999997</v>
      </c>
      <c r="O122" s="162">
        <v>0</v>
      </c>
      <c r="P122" s="136">
        <f t="shared" ref="P122:P140" si="35">C122+D122+E122-F122-G122</f>
        <v>0</v>
      </c>
      <c r="Q122" s="125" t="s">
        <v>111</v>
      </c>
      <c r="S122" s="125" t="s">
        <v>160</v>
      </c>
      <c r="T122" s="125" t="s">
        <v>160</v>
      </c>
      <c r="U122" s="125">
        <v>20</v>
      </c>
      <c r="V122" s="125" t="s">
        <v>30</v>
      </c>
      <c r="W122" s="125" t="s">
        <v>11</v>
      </c>
      <c r="X122" s="238">
        <f t="shared" ref="X122:X141" si="36">H122</f>
        <v>73368.990000000005</v>
      </c>
      <c r="Y122" s="238">
        <f t="shared" ref="Y122:Y141" si="37">L122</f>
        <v>1370450.8800000004</v>
      </c>
      <c r="Z122" s="125" t="s">
        <v>159</v>
      </c>
    </row>
    <row r="123" spans="1:29" x14ac:dyDescent="0.2">
      <c r="A123" s="125"/>
      <c r="B123" s="125" t="s">
        <v>154</v>
      </c>
      <c r="C123" s="153">
        <v>2000000</v>
      </c>
      <c r="D123" s="154"/>
      <c r="E123" s="154"/>
      <c r="F123" s="163">
        <f>2000000</f>
        <v>2000000</v>
      </c>
      <c r="G123" s="163">
        <v>0</v>
      </c>
      <c r="H123" s="164">
        <v>0</v>
      </c>
      <c r="I123" s="162">
        <v>0</v>
      </c>
      <c r="J123" s="167">
        <v>0</v>
      </c>
      <c r="K123" s="167">
        <v>0</v>
      </c>
      <c r="L123" s="162">
        <f>G123-H123-I123-J123-K123</f>
        <v>0</v>
      </c>
      <c r="M123" s="162">
        <f t="shared" si="34"/>
        <v>0</v>
      </c>
      <c r="N123" s="162">
        <v>0</v>
      </c>
      <c r="O123" s="162">
        <v>0</v>
      </c>
      <c r="P123" s="136">
        <f t="shared" si="35"/>
        <v>0</v>
      </c>
      <c r="Q123" s="125"/>
      <c r="S123" s="125" t="s">
        <v>160</v>
      </c>
      <c r="T123" s="125" t="s">
        <v>160</v>
      </c>
      <c r="U123" s="125">
        <v>20</v>
      </c>
      <c r="V123" s="125" t="s">
        <v>30</v>
      </c>
      <c r="W123" s="125" t="s">
        <v>17</v>
      </c>
      <c r="X123" s="238">
        <f t="shared" si="36"/>
        <v>0</v>
      </c>
      <c r="Y123" s="238">
        <f t="shared" si="37"/>
        <v>0</v>
      </c>
      <c r="Z123" s="125" t="s">
        <v>154</v>
      </c>
    </row>
    <row r="124" spans="1:29" x14ac:dyDescent="0.2">
      <c r="A124" s="125"/>
      <c r="B124" s="165" t="s">
        <v>112</v>
      </c>
      <c r="C124" s="153"/>
      <c r="D124" s="154"/>
      <c r="E124" s="154"/>
      <c r="F124" s="163"/>
      <c r="G124" s="163"/>
      <c r="H124" s="164"/>
      <c r="I124" s="162"/>
      <c r="J124" s="167"/>
      <c r="K124" s="167"/>
      <c r="L124" s="162"/>
      <c r="M124" s="162"/>
      <c r="N124" s="162"/>
      <c r="O124" s="162"/>
      <c r="P124" s="136">
        <f t="shared" si="35"/>
        <v>0</v>
      </c>
      <c r="Q124" s="125"/>
      <c r="W124" s="165"/>
      <c r="X124" s="238">
        <f t="shared" si="36"/>
        <v>0</v>
      </c>
      <c r="Y124" s="238">
        <f t="shared" si="37"/>
        <v>0</v>
      </c>
      <c r="Z124" s="165"/>
    </row>
    <row r="125" spans="1:29" x14ac:dyDescent="0.2">
      <c r="A125" s="125"/>
      <c r="B125" s="125" t="s">
        <v>113</v>
      </c>
      <c r="C125" s="153">
        <v>7300000</v>
      </c>
      <c r="D125" s="154"/>
      <c r="E125" s="154"/>
      <c r="F125" s="163">
        <f>7300000</f>
        <v>7300000</v>
      </c>
      <c r="G125" s="163">
        <v>0</v>
      </c>
      <c r="H125" s="164">
        <v>0</v>
      </c>
      <c r="I125" s="162">
        <v>0</v>
      </c>
      <c r="J125" s="167">
        <v>0</v>
      </c>
      <c r="K125" s="167">
        <v>0</v>
      </c>
      <c r="L125" s="162">
        <f>G125-H125-I125-J125-K125</f>
        <v>0</v>
      </c>
      <c r="M125" s="162">
        <f t="shared" si="34"/>
        <v>0</v>
      </c>
      <c r="N125" s="162">
        <v>0</v>
      </c>
      <c r="O125" s="162">
        <v>0</v>
      </c>
      <c r="P125" s="136">
        <f t="shared" si="35"/>
        <v>0</v>
      </c>
      <c r="Q125" s="125"/>
      <c r="S125" s="125" t="s">
        <v>160</v>
      </c>
      <c r="T125" s="125" t="s">
        <v>446</v>
      </c>
      <c r="U125" s="272" t="s">
        <v>447</v>
      </c>
      <c r="V125" s="125" t="s">
        <v>30</v>
      </c>
      <c r="W125" s="125" t="s">
        <v>7</v>
      </c>
      <c r="X125" s="238">
        <f t="shared" si="36"/>
        <v>0</v>
      </c>
      <c r="Y125" s="238">
        <f t="shared" si="37"/>
        <v>0</v>
      </c>
      <c r="Z125" s="125" t="s">
        <v>113</v>
      </c>
    </row>
    <row r="126" spans="1:29" x14ac:dyDescent="0.2">
      <c r="A126" s="125"/>
      <c r="B126" s="125" t="s">
        <v>114</v>
      </c>
      <c r="C126" s="153">
        <v>2675000</v>
      </c>
      <c r="D126" s="154"/>
      <c r="E126" s="154"/>
      <c r="F126" s="162">
        <f>13390+405590.39+429133.23</f>
        <v>848113.62</v>
      </c>
      <c r="G126" s="163">
        <v>1826886.38</v>
      </c>
      <c r="H126" s="164">
        <v>1026172.55</v>
      </c>
      <c r="I126" s="162">
        <f>[5]UMB!I199</f>
        <v>0</v>
      </c>
      <c r="J126" s="167">
        <f>[5]UMB!J199</f>
        <v>0</v>
      </c>
      <c r="K126" s="167">
        <f>[5]UMB!K199</f>
        <v>0</v>
      </c>
      <c r="L126" s="162">
        <f t="shared" ref="L126:L141" si="38">G126-H126-I126-J126-K126</f>
        <v>800713.82999999984</v>
      </c>
      <c r="M126" s="162">
        <f t="shared" si="34"/>
        <v>19821.059999999939</v>
      </c>
      <c r="N126" s="162">
        <v>202099.75000000012</v>
      </c>
      <c r="O126" s="162">
        <v>804251.74</v>
      </c>
      <c r="P126" s="136">
        <f t="shared" si="35"/>
        <v>0</v>
      </c>
      <c r="Q126" s="125"/>
      <c r="S126" s="125" t="s">
        <v>160</v>
      </c>
      <c r="T126" s="125" t="s">
        <v>446</v>
      </c>
      <c r="U126" s="272" t="s">
        <v>447</v>
      </c>
      <c r="V126" s="125" t="s">
        <v>30</v>
      </c>
      <c r="W126" s="125" t="s">
        <v>8</v>
      </c>
      <c r="X126" s="238">
        <f t="shared" si="36"/>
        <v>1026172.55</v>
      </c>
      <c r="Y126" s="238">
        <f t="shared" si="37"/>
        <v>800713.82999999984</v>
      </c>
      <c r="Z126" s="125" t="s">
        <v>114</v>
      </c>
    </row>
    <row r="127" spans="1:29" x14ac:dyDescent="0.2">
      <c r="A127" s="125"/>
      <c r="B127" s="125" t="s">
        <v>115</v>
      </c>
      <c r="C127" s="153">
        <v>642000</v>
      </c>
      <c r="D127" s="154"/>
      <c r="E127" s="154"/>
      <c r="F127" s="162">
        <v>832.28</v>
      </c>
      <c r="G127" s="163">
        <v>641167.72</v>
      </c>
      <c r="H127" s="164">
        <v>519500.06000000011</v>
      </c>
      <c r="I127" s="162">
        <f>[5]UMES!I118</f>
        <v>0</v>
      </c>
      <c r="J127" s="167">
        <f>[5]UMES!J118</f>
        <v>0</v>
      </c>
      <c r="K127" s="167">
        <f>[5]UMES!K118</f>
        <v>0</v>
      </c>
      <c r="L127" s="162">
        <f t="shared" si="38"/>
        <v>121667.65999999986</v>
      </c>
      <c r="M127" s="162">
        <f t="shared" si="34"/>
        <v>39843.630000000005</v>
      </c>
      <c r="N127" s="162">
        <v>479656.43000000011</v>
      </c>
      <c r="O127" s="162">
        <v>0</v>
      </c>
      <c r="P127" s="136">
        <f t="shared" si="35"/>
        <v>0</v>
      </c>
      <c r="Q127" s="125"/>
      <c r="S127" s="125" t="s">
        <v>160</v>
      </c>
      <c r="T127" s="125" t="s">
        <v>446</v>
      </c>
      <c r="U127" s="272" t="s">
        <v>447</v>
      </c>
      <c r="V127" s="125" t="s">
        <v>30</v>
      </c>
      <c r="W127" s="125" t="s">
        <v>10</v>
      </c>
      <c r="X127" s="238">
        <f t="shared" si="36"/>
        <v>519500.06000000011</v>
      </c>
      <c r="Y127" s="238">
        <f t="shared" si="37"/>
        <v>121667.65999999986</v>
      </c>
      <c r="Z127" s="125" t="s">
        <v>115</v>
      </c>
    </row>
    <row r="128" spans="1:29" x14ac:dyDescent="0.2">
      <c r="A128" s="125"/>
      <c r="B128" s="125" t="s">
        <v>116</v>
      </c>
      <c r="C128" s="153">
        <v>1452000</v>
      </c>
      <c r="D128" s="154"/>
      <c r="E128" s="154"/>
      <c r="F128" s="162">
        <f>340834.58+54036.14+38394.56</f>
        <v>433265.28</v>
      </c>
      <c r="G128" s="163">
        <v>1018734.72</v>
      </c>
      <c r="H128" s="164">
        <v>1014521.1499999999</v>
      </c>
      <c r="I128" s="162">
        <f>[5]UMBC!I118</f>
        <v>0</v>
      </c>
      <c r="J128" s="167">
        <f>[5]UMBC!J118</f>
        <v>0</v>
      </c>
      <c r="K128" s="167">
        <f>[5]UMBC!K118</f>
        <v>0</v>
      </c>
      <c r="L128" s="162">
        <f t="shared" si="38"/>
        <v>4213.5700000000652</v>
      </c>
      <c r="M128" s="162">
        <f t="shared" si="34"/>
        <v>859298.32</v>
      </c>
      <c r="N128" s="162">
        <v>118919.48999999999</v>
      </c>
      <c r="O128" s="162">
        <v>36303.339999999997</v>
      </c>
      <c r="P128" s="136">
        <f t="shared" si="35"/>
        <v>0</v>
      </c>
      <c r="Q128" s="125"/>
      <c r="S128" s="125" t="s">
        <v>160</v>
      </c>
      <c r="T128" s="125" t="s">
        <v>446</v>
      </c>
      <c r="U128" s="272" t="s">
        <v>447</v>
      </c>
      <c r="V128" s="125" t="s">
        <v>30</v>
      </c>
      <c r="W128" s="125" t="s">
        <v>11</v>
      </c>
      <c r="X128" s="238">
        <f t="shared" si="36"/>
        <v>1014521.1499999999</v>
      </c>
      <c r="Y128" s="238">
        <f t="shared" si="37"/>
        <v>4213.5700000000652</v>
      </c>
      <c r="Z128" s="125" t="s">
        <v>116</v>
      </c>
    </row>
    <row r="129" spans="1:26" x14ac:dyDescent="0.2">
      <c r="A129" s="125"/>
      <c r="B129" s="125" t="s">
        <v>117</v>
      </c>
      <c r="C129" s="153">
        <v>317000</v>
      </c>
      <c r="D129" s="154"/>
      <c r="E129" s="154"/>
      <c r="F129" s="162">
        <v>317000</v>
      </c>
      <c r="G129" s="163">
        <v>0</v>
      </c>
      <c r="H129" s="164">
        <v>0</v>
      </c>
      <c r="I129" s="162">
        <v>0</v>
      </c>
      <c r="J129" s="167">
        <v>0</v>
      </c>
      <c r="K129" s="167">
        <v>0</v>
      </c>
      <c r="L129" s="162">
        <f t="shared" si="38"/>
        <v>0</v>
      </c>
      <c r="M129" s="162">
        <f t="shared" si="34"/>
        <v>0</v>
      </c>
      <c r="N129" s="162">
        <v>0</v>
      </c>
      <c r="O129" s="162">
        <v>0</v>
      </c>
      <c r="P129" s="136">
        <f t="shared" si="35"/>
        <v>0</v>
      </c>
      <c r="Q129" s="125"/>
      <c r="S129" s="125" t="s">
        <v>160</v>
      </c>
      <c r="T129" s="125" t="s">
        <v>446</v>
      </c>
      <c r="U129" s="272" t="s">
        <v>447</v>
      </c>
      <c r="V129" s="125" t="s">
        <v>30</v>
      </c>
      <c r="W129" s="125" t="s">
        <v>12</v>
      </c>
      <c r="X129" s="238">
        <f t="shared" si="36"/>
        <v>0</v>
      </c>
      <c r="Y129" s="238">
        <f t="shared" si="37"/>
        <v>0</v>
      </c>
      <c r="Z129" s="125" t="s">
        <v>117</v>
      </c>
    </row>
    <row r="130" spans="1:26" x14ac:dyDescent="0.2">
      <c r="A130" s="125"/>
      <c r="B130" s="125" t="s">
        <v>118</v>
      </c>
      <c r="C130" s="153">
        <v>554000</v>
      </c>
      <c r="D130" s="154"/>
      <c r="E130" s="154"/>
      <c r="F130" s="162">
        <f>144688.18+409311.82</f>
        <v>554000</v>
      </c>
      <c r="G130" s="163">
        <v>0</v>
      </c>
      <c r="H130" s="164">
        <v>0</v>
      </c>
      <c r="I130" s="162">
        <v>0</v>
      </c>
      <c r="J130" s="167">
        <v>0</v>
      </c>
      <c r="K130" s="167">
        <v>0</v>
      </c>
      <c r="L130" s="162">
        <f t="shared" si="38"/>
        <v>0</v>
      </c>
      <c r="M130" s="162">
        <f t="shared" si="34"/>
        <v>0</v>
      </c>
      <c r="N130" s="162">
        <v>0</v>
      </c>
      <c r="O130" s="162">
        <v>0</v>
      </c>
      <c r="P130" s="136">
        <f t="shared" si="35"/>
        <v>0</v>
      </c>
      <c r="Q130" s="125"/>
      <c r="S130" s="125" t="s">
        <v>160</v>
      </c>
      <c r="T130" s="125" t="s">
        <v>446</v>
      </c>
      <c r="U130" s="272" t="s">
        <v>447</v>
      </c>
      <c r="V130" s="125" t="s">
        <v>30</v>
      </c>
      <c r="W130" s="125" t="s">
        <v>13</v>
      </c>
      <c r="X130" s="238">
        <f t="shared" si="36"/>
        <v>0</v>
      </c>
      <c r="Y130" s="238">
        <f t="shared" si="37"/>
        <v>0</v>
      </c>
      <c r="Z130" s="125" t="s">
        <v>118</v>
      </c>
    </row>
    <row r="131" spans="1:26" x14ac:dyDescent="0.2">
      <c r="A131" s="125"/>
      <c r="B131" s="125" t="s">
        <v>119</v>
      </c>
      <c r="C131" s="153">
        <v>654000</v>
      </c>
      <c r="D131" s="154"/>
      <c r="E131" s="154"/>
      <c r="F131" s="162">
        <f>405006.46+248993.54</f>
        <v>654000</v>
      </c>
      <c r="G131" s="163">
        <v>0</v>
      </c>
      <c r="H131" s="164">
        <v>0</v>
      </c>
      <c r="I131" s="162">
        <f>[5]CSU!I69</f>
        <v>0</v>
      </c>
      <c r="J131" s="167">
        <f>[5]CSU!J69</f>
        <v>0</v>
      </c>
      <c r="K131" s="167">
        <f>[5]CSU!K69</f>
        <v>0</v>
      </c>
      <c r="L131" s="162">
        <f t="shared" si="38"/>
        <v>0</v>
      </c>
      <c r="M131" s="162">
        <f t="shared" si="34"/>
        <v>0</v>
      </c>
      <c r="N131" s="162">
        <v>0</v>
      </c>
      <c r="O131" s="162">
        <v>0</v>
      </c>
      <c r="P131" s="136">
        <f t="shared" si="35"/>
        <v>0</v>
      </c>
      <c r="Q131" s="125"/>
      <c r="S131" s="125" t="s">
        <v>160</v>
      </c>
      <c r="T131" s="125" t="s">
        <v>446</v>
      </c>
      <c r="U131" s="272" t="s">
        <v>447</v>
      </c>
      <c r="V131" s="125" t="s">
        <v>30</v>
      </c>
      <c r="W131" s="125" t="s">
        <v>14</v>
      </c>
      <c r="X131" s="238">
        <f t="shared" si="36"/>
        <v>0</v>
      </c>
      <c r="Y131" s="238">
        <f t="shared" si="37"/>
        <v>0</v>
      </c>
      <c r="Z131" s="125" t="s">
        <v>119</v>
      </c>
    </row>
    <row r="132" spans="1:26" x14ac:dyDescent="0.2">
      <c r="A132" s="125"/>
      <c r="B132" s="125" t="s">
        <v>120</v>
      </c>
      <c r="C132" s="153">
        <v>400000</v>
      </c>
      <c r="D132" s="154"/>
      <c r="E132" s="154"/>
      <c r="F132" s="162">
        <f>96350+239419.19</f>
        <v>335769.19</v>
      </c>
      <c r="G132" s="163">
        <v>64230.809999999969</v>
      </c>
      <c r="H132" s="164">
        <v>64230.810000000005</v>
      </c>
      <c r="I132" s="162">
        <f>[5]FSU!I127</f>
        <v>0</v>
      </c>
      <c r="J132" s="167">
        <f>[5]FSU!J127</f>
        <v>0</v>
      </c>
      <c r="K132" s="167">
        <f>[5]FSU!K127</f>
        <v>0</v>
      </c>
      <c r="L132" s="162">
        <f t="shared" si="38"/>
        <v>-3.637978807091713E-11</v>
      </c>
      <c r="M132" s="162">
        <f t="shared" si="34"/>
        <v>0</v>
      </c>
      <c r="N132" s="162">
        <v>47239.340000000004</v>
      </c>
      <c r="O132" s="162">
        <v>16991.47</v>
      </c>
      <c r="P132" s="136">
        <f t="shared" si="35"/>
        <v>0</v>
      </c>
      <c r="Q132" s="125"/>
      <c r="S132" s="125" t="s">
        <v>160</v>
      </c>
      <c r="T132" s="125" t="s">
        <v>446</v>
      </c>
      <c r="U132" s="272" t="s">
        <v>447</v>
      </c>
      <c r="V132" s="125" t="s">
        <v>30</v>
      </c>
      <c r="W132" s="125" t="s">
        <v>15</v>
      </c>
      <c r="X132" s="238">
        <f t="shared" si="36"/>
        <v>64230.810000000005</v>
      </c>
      <c r="Y132" s="238">
        <f t="shared" si="37"/>
        <v>-3.637978807091713E-11</v>
      </c>
      <c r="Z132" s="125" t="s">
        <v>120</v>
      </c>
    </row>
    <row r="133" spans="1:26" x14ac:dyDescent="0.2">
      <c r="A133" s="125"/>
      <c r="B133" s="125" t="s">
        <v>137</v>
      </c>
      <c r="C133" s="153">
        <v>536000</v>
      </c>
      <c r="D133" s="154"/>
      <c r="E133" s="154"/>
      <c r="F133" s="162">
        <f>742.5+328152.75</f>
        <v>328895.25</v>
      </c>
      <c r="G133" s="163">
        <v>207104.75</v>
      </c>
      <c r="H133" s="164">
        <v>206747.25</v>
      </c>
      <c r="I133" s="162">
        <f>[5]SU!I73</f>
        <v>0</v>
      </c>
      <c r="J133" s="167">
        <f>[5]SU!J73</f>
        <v>0</v>
      </c>
      <c r="K133" s="167">
        <f>[5]SU!K73</f>
        <v>0</v>
      </c>
      <c r="L133" s="162">
        <f t="shared" si="38"/>
        <v>357.5</v>
      </c>
      <c r="M133" s="162">
        <f t="shared" si="34"/>
        <v>0</v>
      </c>
      <c r="N133" s="162">
        <v>204528</v>
      </c>
      <c r="O133" s="162">
        <v>2219.25</v>
      </c>
      <c r="P133" s="136">
        <f t="shared" si="35"/>
        <v>0</v>
      </c>
      <c r="Q133" s="125"/>
      <c r="S133" s="125" t="s">
        <v>160</v>
      </c>
      <c r="T133" s="125" t="s">
        <v>446</v>
      </c>
      <c r="U133" s="272" t="s">
        <v>447</v>
      </c>
      <c r="V133" s="125" t="s">
        <v>30</v>
      </c>
      <c r="W133" s="125" t="s">
        <v>16</v>
      </c>
      <c r="X133" s="238">
        <f t="shared" si="36"/>
        <v>206747.25</v>
      </c>
      <c r="Y133" s="238">
        <f t="shared" si="37"/>
        <v>357.5</v>
      </c>
      <c r="Z133" s="125" t="s">
        <v>137</v>
      </c>
    </row>
    <row r="134" spans="1:26" x14ac:dyDescent="0.2">
      <c r="A134" s="125"/>
      <c r="B134" s="125" t="s">
        <v>122</v>
      </c>
      <c r="C134" s="153">
        <v>1589000</v>
      </c>
      <c r="D134" s="154"/>
      <c r="E134" s="154"/>
      <c r="F134" s="162">
        <f>367011.51+207988.49+357268.33+489000</f>
        <v>1421268.33</v>
      </c>
      <c r="G134" s="163">
        <v>167731.66999999998</v>
      </c>
      <c r="H134" s="164">
        <v>167731.07</v>
      </c>
      <c r="I134" s="162">
        <f>[5]TU!I138+[5]TU!I151+[5]TU!I159</f>
        <v>0</v>
      </c>
      <c r="J134" s="167">
        <f>[5]TU!J138+[5]TU!J151+[5]TU!J159</f>
        <v>0</v>
      </c>
      <c r="K134" s="167">
        <f>[5]TU!K138+[5]TU!K151+[5]TU!K159</f>
        <v>0</v>
      </c>
      <c r="L134" s="162">
        <f t="shared" si="38"/>
        <v>0.59999999997671694</v>
      </c>
      <c r="M134" s="162">
        <f t="shared" si="34"/>
        <v>0</v>
      </c>
      <c r="N134" s="162">
        <v>122671.07</v>
      </c>
      <c r="O134" s="162">
        <v>45060</v>
      </c>
      <c r="P134" s="136">
        <f t="shared" si="35"/>
        <v>0</v>
      </c>
      <c r="Q134" s="125"/>
      <c r="S134" s="125" t="s">
        <v>160</v>
      </c>
      <c r="T134" s="125" t="s">
        <v>446</v>
      </c>
      <c r="U134" s="272" t="s">
        <v>447</v>
      </c>
      <c r="V134" s="125" t="s">
        <v>30</v>
      </c>
      <c r="W134" s="125" t="s">
        <v>17</v>
      </c>
      <c r="X134" s="238">
        <f t="shared" si="36"/>
        <v>167731.07</v>
      </c>
      <c r="Y134" s="238">
        <f t="shared" si="37"/>
        <v>0.59999999997671694</v>
      </c>
      <c r="Z134" s="125" t="s">
        <v>122</v>
      </c>
    </row>
    <row r="135" spans="1:26" x14ac:dyDescent="0.2">
      <c r="A135" s="125"/>
      <c r="B135" s="125" t="s">
        <v>123</v>
      </c>
      <c r="C135" s="153">
        <v>418000</v>
      </c>
      <c r="D135" s="154"/>
      <c r="E135" s="154"/>
      <c r="F135" s="162">
        <f>13371.5+295046.47+23808.8</f>
        <v>332226.76999999996</v>
      </c>
      <c r="G135" s="163">
        <v>85773.230000000025</v>
      </c>
      <c r="H135" s="164">
        <v>76509.91</v>
      </c>
      <c r="I135" s="162">
        <f>[5]UBalt!I107</f>
        <v>0</v>
      </c>
      <c r="J135" s="167">
        <f>[5]UBalt!J107</f>
        <v>0</v>
      </c>
      <c r="K135" s="167">
        <f>[5]UBalt!K107</f>
        <v>0</v>
      </c>
      <c r="L135" s="162">
        <f t="shared" si="38"/>
        <v>9263.3200000000215</v>
      </c>
      <c r="M135" s="162">
        <f t="shared" si="34"/>
        <v>76509.91</v>
      </c>
      <c r="N135" s="162">
        <v>0</v>
      </c>
      <c r="O135" s="162">
        <v>0</v>
      </c>
      <c r="P135" s="136">
        <f t="shared" si="35"/>
        <v>0</v>
      </c>
      <c r="Q135" s="125"/>
      <c r="S135" s="125" t="s">
        <v>160</v>
      </c>
      <c r="T135" s="125" t="s">
        <v>446</v>
      </c>
      <c r="U135" s="272" t="s">
        <v>447</v>
      </c>
      <c r="V135" s="125" t="s">
        <v>30</v>
      </c>
      <c r="W135" s="125" t="s">
        <v>18</v>
      </c>
      <c r="X135" s="238">
        <f t="shared" si="36"/>
        <v>76509.91</v>
      </c>
      <c r="Y135" s="238">
        <f t="shared" si="37"/>
        <v>9263.3200000000215</v>
      </c>
      <c r="Z135" s="125" t="s">
        <v>123</v>
      </c>
    </row>
    <row r="136" spans="1:26" x14ac:dyDescent="0.2">
      <c r="A136" s="125"/>
      <c r="B136" s="189" t="s">
        <v>127</v>
      </c>
      <c r="C136" s="153">
        <v>463000</v>
      </c>
      <c r="D136" s="135"/>
      <c r="E136" s="162">
        <f>8697.6+177641.14+50128.27+162025.87+2318.6+2348.4+847+80.78+16856.95+4079.92+81129.75+3352.47+311231.58-130000+5410.7+0.44+569.73+0.7-88000-200000-315000-228000</f>
        <v>-134280.10000000009</v>
      </c>
      <c r="F136" s="162"/>
      <c r="G136" s="163">
        <v>328719.89999999991</v>
      </c>
      <c r="H136" s="164">
        <v>0</v>
      </c>
      <c r="I136" s="162"/>
      <c r="J136" s="167"/>
      <c r="K136" s="167"/>
      <c r="L136" s="162">
        <f t="shared" si="38"/>
        <v>328719.89999999991</v>
      </c>
      <c r="M136" s="162">
        <f t="shared" si="34"/>
        <v>0</v>
      </c>
      <c r="N136" s="162">
        <v>0</v>
      </c>
      <c r="O136" s="162"/>
      <c r="P136" s="136">
        <f t="shared" si="35"/>
        <v>0</v>
      </c>
      <c r="Q136" s="125"/>
      <c r="S136" s="125" t="s">
        <v>160</v>
      </c>
      <c r="T136" s="125" t="s">
        <v>446</v>
      </c>
      <c r="U136" s="272" t="s">
        <v>447</v>
      </c>
      <c r="V136" s="125" t="s">
        <v>30</v>
      </c>
      <c r="W136" s="189" t="s">
        <v>32</v>
      </c>
      <c r="X136" s="238">
        <f t="shared" si="36"/>
        <v>0</v>
      </c>
      <c r="Y136" s="238">
        <f t="shared" si="37"/>
        <v>328719.89999999991</v>
      </c>
      <c r="Z136" s="189" t="s">
        <v>127</v>
      </c>
    </row>
    <row r="137" spans="1:26" x14ac:dyDescent="0.2">
      <c r="A137" s="125"/>
      <c r="B137" s="125" t="s">
        <v>162</v>
      </c>
      <c r="C137" s="153"/>
      <c r="D137" s="125"/>
      <c r="E137" s="162">
        <v>130000</v>
      </c>
      <c r="F137" s="162"/>
      <c r="G137" s="163">
        <v>130000</v>
      </c>
      <c r="H137" s="164">
        <v>0</v>
      </c>
      <c r="I137" s="162">
        <v>0</v>
      </c>
      <c r="J137" s="167">
        <f>[5]UMCP!J7</f>
        <v>0</v>
      </c>
      <c r="K137" s="167">
        <f>[5]UMCP!K7</f>
        <v>0</v>
      </c>
      <c r="L137" s="162">
        <f t="shared" si="38"/>
        <v>130000</v>
      </c>
      <c r="M137" s="162">
        <f t="shared" si="34"/>
        <v>0</v>
      </c>
      <c r="N137" s="162">
        <v>0</v>
      </c>
      <c r="O137" s="162">
        <v>0</v>
      </c>
      <c r="P137" s="136">
        <f t="shared" si="35"/>
        <v>0</v>
      </c>
      <c r="Q137" s="125"/>
      <c r="S137" s="125" t="s">
        <v>160</v>
      </c>
      <c r="T137" s="125" t="s">
        <v>446</v>
      </c>
      <c r="U137" s="272" t="s">
        <v>447</v>
      </c>
      <c r="V137" s="125" t="s">
        <v>30</v>
      </c>
      <c r="W137" s="125" t="s">
        <v>7</v>
      </c>
      <c r="X137" s="238">
        <f t="shared" si="36"/>
        <v>0</v>
      </c>
      <c r="Y137" s="238">
        <f t="shared" si="37"/>
        <v>130000</v>
      </c>
      <c r="Z137" s="125" t="s">
        <v>162</v>
      </c>
    </row>
    <row r="138" spans="1:26" x14ac:dyDescent="0.2">
      <c r="A138" s="125"/>
      <c r="B138" s="125" t="s">
        <v>163</v>
      </c>
      <c r="C138" s="153"/>
      <c r="D138" s="125"/>
      <c r="E138" s="162">
        <v>88000</v>
      </c>
      <c r="F138" s="162"/>
      <c r="G138" s="163">
        <v>88000</v>
      </c>
      <c r="H138" s="164">
        <v>0</v>
      </c>
      <c r="I138" s="162"/>
      <c r="J138" s="167"/>
      <c r="K138" s="167"/>
      <c r="L138" s="162">
        <f t="shared" si="38"/>
        <v>88000</v>
      </c>
      <c r="M138" s="162">
        <f t="shared" si="34"/>
        <v>0</v>
      </c>
      <c r="N138" s="162">
        <v>0</v>
      </c>
      <c r="O138" s="162">
        <v>0</v>
      </c>
      <c r="P138" s="136">
        <f t="shared" si="35"/>
        <v>0</v>
      </c>
      <c r="Q138" s="125"/>
      <c r="S138" s="125" t="s">
        <v>160</v>
      </c>
      <c r="T138" s="125" t="s">
        <v>446</v>
      </c>
      <c r="U138" s="272" t="s">
        <v>447</v>
      </c>
      <c r="V138" s="125" t="s">
        <v>30</v>
      </c>
      <c r="W138" s="125" t="s">
        <v>450</v>
      </c>
      <c r="X138" s="238">
        <f t="shared" si="36"/>
        <v>0</v>
      </c>
      <c r="Y138" s="238">
        <f t="shared" si="37"/>
        <v>88000</v>
      </c>
      <c r="Z138" s="125" t="s">
        <v>163</v>
      </c>
    </row>
    <row r="139" spans="1:26" x14ac:dyDescent="0.2">
      <c r="A139" s="125"/>
      <c r="B139" s="190" t="s">
        <v>164</v>
      </c>
      <c r="C139" s="153"/>
      <c r="D139" s="125"/>
      <c r="E139" s="162">
        <v>200000</v>
      </c>
      <c r="F139" s="162"/>
      <c r="G139" s="163">
        <v>200000</v>
      </c>
      <c r="H139" s="164">
        <v>200000</v>
      </c>
      <c r="I139" s="162"/>
      <c r="J139" s="167"/>
      <c r="K139" s="167"/>
      <c r="L139" s="162">
        <f t="shared" si="38"/>
        <v>0</v>
      </c>
      <c r="M139" s="162">
        <f t="shared" si="34"/>
        <v>200000</v>
      </c>
      <c r="N139" s="162">
        <v>0</v>
      </c>
      <c r="O139" s="162">
        <v>0</v>
      </c>
      <c r="P139" s="136">
        <f t="shared" si="35"/>
        <v>0</v>
      </c>
      <c r="Q139" s="125"/>
      <c r="S139" s="125" t="s">
        <v>160</v>
      </c>
      <c r="T139" s="125" t="s">
        <v>446</v>
      </c>
      <c r="U139" s="272" t="s">
        <v>447</v>
      </c>
      <c r="V139" s="125" t="s">
        <v>30</v>
      </c>
      <c r="W139" s="190" t="s">
        <v>10</v>
      </c>
      <c r="X139" s="238">
        <f t="shared" si="36"/>
        <v>200000</v>
      </c>
      <c r="Y139" s="238">
        <f t="shared" si="37"/>
        <v>0</v>
      </c>
      <c r="Z139" s="190" t="s">
        <v>164</v>
      </c>
    </row>
    <row r="140" spans="1:26" x14ac:dyDescent="0.2">
      <c r="A140" s="125"/>
      <c r="B140" s="190" t="s">
        <v>165</v>
      </c>
      <c r="C140" s="153"/>
      <c r="D140" s="125"/>
      <c r="E140" s="162">
        <v>315000</v>
      </c>
      <c r="F140" s="162"/>
      <c r="G140" s="163">
        <v>315000</v>
      </c>
      <c r="H140" s="164">
        <v>0</v>
      </c>
      <c r="I140" s="162"/>
      <c r="J140" s="167"/>
      <c r="K140" s="167"/>
      <c r="L140" s="162">
        <f t="shared" si="38"/>
        <v>315000</v>
      </c>
      <c r="M140" s="162">
        <f t="shared" si="34"/>
        <v>0</v>
      </c>
      <c r="N140" s="162">
        <v>0</v>
      </c>
      <c r="O140" s="162"/>
      <c r="P140" s="136">
        <f t="shared" si="35"/>
        <v>0</v>
      </c>
      <c r="Q140" s="125"/>
      <c r="S140" s="125" t="s">
        <v>160</v>
      </c>
      <c r="T140" s="125" t="s">
        <v>446</v>
      </c>
      <c r="U140" s="272" t="s">
        <v>447</v>
      </c>
      <c r="V140" s="125" t="s">
        <v>30</v>
      </c>
      <c r="W140" s="190" t="s">
        <v>448</v>
      </c>
      <c r="X140" s="238">
        <f t="shared" si="36"/>
        <v>0</v>
      </c>
      <c r="Y140" s="238">
        <f t="shared" si="37"/>
        <v>315000</v>
      </c>
      <c r="Z140" s="190" t="s">
        <v>165</v>
      </c>
    </row>
    <row r="141" spans="1:26" x14ac:dyDescent="0.2">
      <c r="A141" s="125"/>
      <c r="B141" s="190" t="s">
        <v>384</v>
      </c>
      <c r="C141" s="153"/>
      <c r="D141" s="125"/>
      <c r="E141" s="162">
        <v>228000</v>
      </c>
      <c r="F141" s="162"/>
      <c r="G141" s="163">
        <v>228000</v>
      </c>
      <c r="H141" s="164">
        <v>27571.599999999999</v>
      </c>
      <c r="I141" s="162"/>
      <c r="J141" s="167"/>
      <c r="K141" s="167"/>
      <c r="L141" s="162">
        <f t="shared" si="38"/>
        <v>200428.4</v>
      </c>
      <c r="M141" s="162">
        <f t="shared" si="34"/>
        <v>27571.599999999999</v>
      </c>
      <c r="N141" s="162"/>
      <c r="O141" s="162"/>
      <c r="P141" s="136"/>
      <c r="Q141" s="125"/>
      <c r="S141" s="125" t="s">
        <v>160</v>
      </c>
      <c r="T141" s="125" t="s">
        <v>446</v>
      </c>
      <c r="U141" s="272" t="s">
        <v>447</v>
      </c>
      <c r="V141" s="125" t="s">
        <v>30</v>
      </c>
      <c r="W141" s="190" t="s">
        <v>449</v>
      </c>
      <c r="X141" s="238">
        <f t="shared" si="36"/>
        <v>27571.599999999999</v>
      </c>
      <c r="Y141" s="238">
        <f t="shared" si="37"/>
        <v>200428.4</v>
      </c>
      <c r="Z141" s="190" t="s">
        <v>384</v>
      </c>
    </row>
    <row r="142" spans="1:26" x14ac:dyDescent="0.2">
      <c r="A142" s="125"/>
      <c r="B142" s="125"/>
      <c r="C142" s="153"/>
      <c r="D142" s="154"/>
      <c r="E142" s="154"/>
      <c r="F142" s="162"/>
      <c r="G142" s="156"/>
      <c r="H142" s="157"/>
      <c r="I142" s="154"/>
      <c r="J142" s="158"/>
      <c r="K142" s="158"/>
      <c r="L142" s="154"/>
      <c r="M142" s="154"/>
      <c r="N142" s="154"/>
      <c r="O142" s="154"/>
      <c r="P142" s="125"/>
      <c r="Q142" s="125"/>
    </row>
    <row r="143" spans="1:26" ht="13.5" thickBot="1" x14ac:dyDescent="0.25">
      <c r="A143" s="125"/>
      <c r="B143" s="168" t="s">
        <v>166</v>
      </c>
      <c r="C143" s="169">
        <f t="shared" ref="C143:O143" si="39">SUM(C122:C142)</f>
        <v>24000000</v>
      </c>
      <c r="D143" s="169">
        <f t="shared" si="39"/>
        <v>0</v>
      </c>
      <c r="E143" s="169">
        <f t="shared" si="39"/>
        <v>826719.89999999991</v>
      </c>
      <c r="F143" s="169">
        <f t="shared" si="39"/>
        <v>18081550.849999998</v>
      </c>
      <c r="G143" s="169">
        <f t="shared" si="39"/>
        <v>6745169.0499999989</v>
      </c>
      <c r="H143" s="169">
        <f>SUM(H122:H142)</f>
        <v>3376353.39</v>
      </c>
      <c r="I143" s="169">
        <f t="shared" si="39"/>
        <v>0</v>
      </c>
      <c r="J143" s="169">
        <f t="shared" si="39"/>
        <v>0</v>
      </c>
      <c r="K143" s="169">
        <f>SUM(K122:K142)</f>
        <v>0</v>
      </c>
      <c r="L143" s="169">
        <f t="shared" si="39"/>
        <v>3368815.6599999992</v>
      </c>
      <c r="M143" s="169">
        <f t="shared" si="39"/>
        <v>1293598.94</v>
      </c>
      <c r="N143" s="169">
        <f t="shared" si="39"/>
        <v>1177928.6500000001</v>
      </c>
      <c r="O143" s="169">
        <f t="shared" si="39"/>
        <v>904825.79999999993</v>
      </c>
      <c r="P143" s="136">
        <f>C143+D143+E143-F143-G143</f>
        <v>0</v>
      </c>
      <c r="Q143" s="125"/>
      <c r="W143" s="165"/>
      <c r="X143" s="125"/>
      <c r="Y143" s="125"/>
    </row>
    <row r="144" spans="1:26" ht="13.5" thickTop="1" x14ac:dyDescent="0.2">
      <c r="A144" s="125"/>
      <c r="B144" s="165"/>
      <c r="C144" s="153"/>
      <c r="D144" s="153"/>
      <c r="E144" s="153"/>
      <c r="F144" s="153"/>
      <c r="G144" s="153"/>
      <c r="H144" s="153"/>
      <c r="I144" s="153"/>
      <c r="J144" s="153"/>
      <c r="K144" s="153"/>
      <c r="L144" s="153"/>
      <c r="M144" s="153"/>
      <c r="N144" s="153"/>
      <c r="O144" s="153"/>
      <c r="P144" s="125"/>
      <c r="Q144" s="125"/>
      <c r="W144" s="165"/>
      <c r="Z144" s="165"/>
    </row>
    <row r="145" spans="1:26" x14ac:dyDescent="0.2">
      <c r="A145" s="165" t="s">
        <v>167</v>
      </c>
      <c r="B145" s="125"/>
      <c r="C145" s="153"/>
      <c r="D145" s="154"/>
      <c r="E145" s="154"/>
      <c r="F145" s="162"/>
      <c r="G145" s="163"/>
      <c r="H145" s="164"/>
      <c r="I145" s="163"/>
      <c r="J145" s="163"/>
      <c r="K145" s="163"/>
      <c r="L145" s="162"/>
      <c r="M145" s="162"/>
      <c r="N145" s="162"/>
      <c r="O145" s="162"/>
      <c r="P145" s="125"/>
      <c r="Q145" s="125"/>
    </row>
    <row r="146" spans="1:26" x14ac:dyDescent="0.2">
      <c r="A146" s="125"/>
      <c r="B146" s="125" t="s">
        <v>168</v>
      </c>
      <c r="C146" s="153">
        <v>5000000</v>
      </c>
      <c r="D146" s="154"/>
      <c r="E146" s="154"/>
      <c r="F146" s="163">
        <v>5000000</v>
      </c>
      <c r="G146" s="163">
        <v>0</v>
      </c>
      <c r="H146" s="164">
        <v>0</v>
      </c>
      <c r="I146" s="162">
        <v>0</v>
      </c>
      <c r="J146" s="167">
        <v>0</v>
      </c>
      <c r="K146" s="167">
        <v>0</v>
      </c>
      <c r="L146" s="162">
        <f>G146-H146-I146-J146-K146</f>
        <v>0</v>
      </c>
      <c r="M146" s="162"/>
      <c r="N146" s="162"/>
      <c r="O146" s="162">
        <f>H144+K144</f>
        <v>0</v>
      </c>
      <c r="P146" s="125"/>
      <c r="Q146" s="125"/>
      <c r="W146" s="125" t="s">
        <v>7</v>
      </c>
      <c r="Z146" s="125" t="s">
        <v>168</v>
      </c>
    </row>
    <row r="147" spans="1:26" x14ac:dyDescent="0.2">
      <c r="A147" s="125"/>
      <c r="B147" s="125" t="s">
        <v>169</v>
      </c>
      <c r="C147" s="153">
        <v>10000000</v>
      </c>
      <c r="D147" s="154"/>
      <c r="E147" s="154"/>
      <c r="F147" s="163">
        <f>317972.61+9676071.5+5955.89</f>
        <v>10000000</v>
      </c>
      <c r="G147" s="163">
        <v>0</v>
      </c>
      <c r="H147" s="164">
        <v>0</v>
      </c>
      <c r="I147" s="162">
        <v>0</v>
      </c>
      <c r="J147" s="167">
        <v>0</v>
      </c>
      <c r="K147" s="167">
        <v>0</v>
      </c>
      <c r="L147" s="162">
        <f>G147-H147-I147-J147-K147</f>
        <v>0</v>
      </c>
      <c r="M147" s="162"/>
      <c r="N147" s="162"/>
      <c r="O147" s="162">
        <f>H145+K145</f>
        <v>0</v>
      </c>
      <c r="P147" s="125"/>
      <c r="Q147" s="125"/>
      <c r="W147" s="125" t="s">
        <v>7</v>
      </c>
      <c r="Z147" s="125" t="s">
        <v>169</v>
      </c>
    </row>
    <row r="148" spans="1:26" x14ac:dyDescent="0.2">
      <c r="A148" s="125"/>
      <c r="B148" s="165" t="s">
        <v>112</v>
      </c>
      <c r="C148" s="153"/>
      <c r="D148" s="154"/>
      <c r="E148" s="154"/>
      <c r="F148" s="163"/>
      <c r="G148" s="163"/>
      <c r="H148" s="164"/>
      <c r="I148" s="162"/>
      <c r="J148" s="167"/>
      <c r="K148" s="167"/>
      <c r="L148" s="162"/>
      <c r="M148" s="162"/>
      <c r="N148" s="162"/>
      <c r="O148" s="162"/>
      <c r="P148" s="125"/>
      <c r="Q148" s="125"/>
      <c r="W148" s="165" t="s">
        <v>32</v>
      </c>
      <c r="X148" s="238">
        <f t="shared" ref="X148:X161" si="40">H148</f>
        <v>0</v>
      </c>
      <c r="Y148" s="238">
        <f t="shared" ref="Y148:Y161" si="41">L148</f>
        <v>0</v>
      </c>
      <c r="Z148" s="165" t="s">
        <v>112</v>
      </c>
    </row>
    <row r="149" spans="1:26" x14ac:dyDescent="0.2">
      <c r="A149" s="125"/>
      <c r="B149" s="125" t="s">
        <v>113</v>
      </c>
      <c r="C149" s="153">
        <v>7300000</v>
      </c>
      <c r="D149" s="154"/>
      <c r="E149" s="154"/>
      <c r="F149" s="163">
        <f>2171056.95+5128943.05</f>
        <v>7300000</v>
      </c>
      <c r="G149" s="163">
        <v>0</v>
      </c>
      <c r="H149" s="164">
        <v>0</v>
      </c>
      <c r="I149" s="162">
        <v>0</v>
      </c>
      <c r="J149" s="167">
        <v>0</v>
      </c>
      <c r="K149" s="167">
        <v>0</v>
      </c>
      <c r="L149" s="162">
        <f t="shared" ref="L149:L161" si="42">G149-H149-I149-J149-K149</f>
        <v>0</v>
      </c>
      <c r="M149" s="162"/>
      <c r="N149" s="162"/>
      <c r="O149" s="162">
        <f>H147+K147</f>
        <v>0</v>
      </c>
      <c r="P149" s="125"/>
      <c r="Q149" s="125"/>
      <c r="W149" s="125" t="s">
        <v>7</v>
      </c>
      <c r="X149" s="238">
        <f t="shared" si="40"/>
        <v>0</v>
      </c>
      <c r="Y149" s="238">
        <f t="shared" si="41"/>
        <v>0</v>
      </c>
      <c r="Z149" s="125" t="s">
        <v>113</v>
      </c>
    </row>
    <row r="150" spans="1:26" x14ac:dyDescent="0.2">
      <c r="A150" s="125"/>
      <c r="B150" s="125" t="s">
        <v>114</v>
      </c>
      <c r="C150" s="153">
        <v>2675000</v>
      </c>
      <c r="D150" s="154"/>
      <c r="E150" s="154"/>
      <c r="F150" s="162">
        <f>36926.03+655774.19+47446</f>
        <v>740146.22</v>
      </c>
      <c r="G150" s="163">
        <v>1934853.7800000003</v>
      </c>
      <c r="H150" s="164">
        <v>1504377.0999999999</v>
      </c>
      <c r="I150" s="162">
        <f>[5]UMB!I227</f>
        <v>0</v>
      </c>
      <c r="J150" s="167">
        <f>[5]UMB!J227</f>
        <v>0</v>
      </c>
      <c r="K150" s="167">
        <f>[5]UMB!K227</f>
        <v>0</v>
      </c>
      <c r="L150" s="162">
        <f t="shared" si="42"/>
        <v>430476.6800000004</v>
      </c>
      <c r="M150" s="162">
        <f t="shared" ref="M150:M161" si="43">H150-N150-O150</f>
        <v>559064.58000000007</v>
      </c>
      <c r="N150" s="162">
        <v>419725.30999999994</v>
      </c>
      <c r="O150" s="162">
        <v>525587.21</v>
      </c>
      <c r="P150" s="136">
        <f t="shared" ref="P150:P161" si="44">C150+D150+E150-F150-G150</f>
        <v>0</v>
      </c>
      <c r="Q150" s="125"/>
      <c r="S150" s="125" t="s">
        <v>160</v>
      </c>
      <c r="T150" s="125" t="s">
        <v>446</v>
      </c>
      <c r="U150" s="272" t="s">
        <v>447</v>
      </c>
      <c r="V150" s="125" t="s">
        <v>455</v>
      </c>
      <c r="W150" s="125" t="s">
        <v>8</v>
      </c>
      <c r="X150" s="238">
        <f t="shared" si="40"/>
        <v>1504377.0999999999</v>
      </c>
      <c r="Y150" s="238">
        <f t="shared" si="41"/>
        <v>430476.6800000004</v>
      </c>
      <c r="Z150" s="125" t="s">
        <v>114</v>
      </c>
    </row>
    <row r="151" spans="1:26" x14ac:dyDescent="0.2">
      <c r="A151" s="125"/>
      <c r="B151" s="125" t="s">
        <v>115</v>
      </c>
      <c r="C151" s="153">
        <v>642000</v>
      </c>
      <c r="D151" s="154"/>
      <c r="E151" s="154"/>
      <c r="F151" s="162">
        <f>71845.71+290497.77</f>
        <v>362343.48000000004</v>
      </c>
      <c r="G151" s="163">
        <v>279656.52</v>
      </c>
      <c r="H151" s="164">
        <v>1473.29</v>
      </c>
      <c r="I151" s="162">
        <f>[5]UMES!I128</f>
        <v>0</v>
      </c>
      <c r="J151" s="167">
        <f>[5]UMES!J128</f>
        <v>0</v>
      </c>
      <c r="K151" s="167">
        <f>[5]UMES!K128</f>
        <v>0</v>
      </c>
      <c r="L151" s="162">
        <f t="shared" si="42"/>
        <v>278183.23000000004</v>
      </c>
      <c r="M151" s="162">
        <f t="shared" si="43"/>
        <v>0</v>
      </c>
      <c r="N151" s="162">
        <v>0</v>
      </c>
      <c r="O151" s="162">
        <v>1473.29</v>
      </c>
      <c r="P151" s="136">
        <f t="shared" si="44"/>
        <v>0</v>
      </c>
      <c r="Q151" s="125"/>
      <c r="S151" s="125" t="s">
        <v>160</v>
      </c>
      <c r="T151" s="125" t="s">
        <v>446</v>
      </c>
      <c r="U151" s="272" t="s">
        <v>447</v>
      </c>
      <c r="V151" s="125" t="s">
        <v>455</v>
      </c>
      <c r="W151" s="125" t="s">
        <v>10</v>
      </c>
      <c r="X151" s="238">
        <f t="shared" si="40"/>
        <v>1473.29</v>
      </c>
      <c r="Y151" s="238">
        <f t="shared" si="41"/>
        <v>278183.23000000004</v>
      </c>
      <c r="Z151" s="125" t="s">
        <v>115</v>
      </c>
    </row>
    <row r="152" spans="1:26" x14ac:dyDescent="0.2">
      <c r="A152" s="125"/>
      <c r="B152" s="125" t="s">
        <v>116</v>
      </c>
      <c r="C152" s="153">
        <v>1452000</v>
      </c>
      <c r="D152" s="154"/>
      <c r="E152" s="154"/>
      <c r="F152" s="162">
        <f>1452000</f>
        <v>1452000</v>
      </c>
      <c r="G152" s="163">
        <v>0</v>
      </c>
      <c r="H152" s="164">
        <v>0</v>
      </c>
      <c r="I152" s="162">
        <v>0</v>
      </c>
      <c r="J152" s="167">
        <v>0</v>
      </c>
      <c r="K152" s="167">
        <v>0</v>
      </c>
      <c r="L152" s="162">
        <f t="shared" si="42"/>
        <v>0</v>
      </c>
      <c r="M152" s="162">
        <f t="shared" si="43"/>
        <v>0</v>
      </c>
      <c r="N152" s="162">
        <v>0</v>
      </c>
      <c r="O152" s="162">
        <f>H152+I152+J152+K152</f>
        <v>0</v>
      </c>
      <c r="P152" s="136">
        <f t="shared" si="44"/>
        <v>0</v>
      </c>
      <c r="Q152" s="125"/>
      <c r="S152" s="125" t="s">
        <v>160</v>
      </c>
      <c r="T152" s="125" t="s">
        <v>446</v>
      </c>
      <c r="U152" s="272" t="s">
        <v>447</v>
      </c>
      <c r="V152" s="125" t="s">
        <v>455</v>
      </c>
      <c r="W152" s="125" t="s">
        <v>11</v>
      </c>
      <c r="X152" s="238">
        <f t="shared" si="40"/>
        <v>0</v>
      </c>
      <c r="Y152" s="238">
        <f t="shared" si="41"/>
        <v>0</v>
      </c>
      <c r="Z152" s="125" t="s">
        <v>116</v>
      </c>
    </row>
    <row r="153" spans="1:26" x14ac:dyDescent="0.2">
      <c r="A153" s="125"/>
      <c r="B153" s="125" t="s">
        <v>117</v>
      </c>
      <c r="C153" s="153">
        <v>317000</v>
      </c>
      <c r="D153" s="154"/>
      <c r="E153" s="154"/>
      <c r="F153" s="162">
        <v>317000</v>
      </c>
      <c r="G153" s="163">
        <v>0</v>
      </c>
      <c r="H153" s="164">
        <v>0</v>
      </c>
      <c r="I153" s="162">
        <v>0</v>
      </c>
      <c r="J153" s="167">
        <v>0</v>
      </c>
      <c r="K153" s="167">
        <v>0</v>
      </c>
      <c r="L153" s="162">
        <f t="shared" si="42"/>
        <v>0</v>
      </c>
      <c r="M153" s="162">
        <f t="shared" si="43"/>
        <v>0</v>
      </c>
      <c r="N153" s="162">
        <v>0</v>
      </c>
      <c r="O153" s="162">
        <f>H153+I153+J153+K153</f>
        <v>0</v>
      </c>
      <c r="P153" s="136">
        <f t="shared" si="44"/>
        <v>0</v>
      </c>
      <c r="Q153" s="125"/>
      <c r="S153" s="125" t="s">
        <v>160</v>
      </c>
      <c r="T153" s="125" t="s">
        <v>446</v>
      </c>
      <c r="U153" s="272" t="s">
        <v>447</v>
      </c>
      <c r="V153" s="125" t="s">
        <v>455</v>
      </c>
      <c r="W153" s="125" t="s">
        <v>12</v>
      </c>
      <c r="X153" s="238">
        <f t="shared" si="40"/>
        <v>0</v>
      </c>
      <c r="Y153" s="238">
        <f t="shared" si="41"/>
        <v>0</v>
      </c>
      <c r="Z153" s="125" t="s">
        <v>117</v>
      </c>
    </row>
    <row r="154" spans="1:26" x14ac:dyDescent="0.2">
      <c r="A154" s="125"/>
      <c r="B154" s="125" t="s">
        <v>118</v>
      </c>
      <c r="C154" s="153">
        <v>554000</v>
      </c>
      <c r="D154" s="154"/>
      <c r="E154" s="154"/>
      <c r="F154" s="162">
        <f>159826.61+42301.37</f>
        <v>202127.97999999998</v>
      </c>
      <c r="G154" s="163">
        <v>351872.02</v>
      </c>
      <c r="H154" s="164">
        <v>351872.02</v>
      </c>
      <c r="I154" s="162">
        <f>[5]BSU!I80</f>
        <v>0</v>
      </c>
      <c r="J154" s="167">
        <f>[5]BSU!J80</f>
        <v>0</v>
      </c>
      <c r="K154" s="167">
        <f>[5]BSU!K80</f>
        <v>0</v>
      </c>
      <c r="L154" s="162">
        <f t="shared" si="42"/>
        <v>0</v>
      </c>
      <c r="M154" s="162">
        <f t="shared" si="43"/>
        <v>0</v>
      </c>
      <c r="N154" s="162">
        <v>78023.910000000033</v>
      </c>
      <c r="O154" s="162">
        <v>273848.11</v>
      </c>
      <c r="P154" s="136">
        <f t="shared" si="44"/>
        <v>0</v>
      </c>
      <c r="Q154" s="125"/>
      <c r="S154" s="125" t="s">
        <v>160</v>
      </c>
      <c r="T154" s="125" t="s">
        <v>446</v>
      </c>
      <c r="U154" s="272" t="s">
        <v>447</v>
      </c>
      <c r="V154" s="125" t="s">
        <v>455</v>
      </c>
      <c r="W154" s="125" t="s">
        <v>13</v>
      </c>
      <c r="X154" s="238">
        <f t="shared" si="40"/>
        <v>351872.02</v>
      </c>
      <c r="Y154" s="238">
        <f t="shared" si="41"/>
        <v>0</v>
      </c>
      <c r="Z154" s="125" t="s">
        <v>118</v>
      </c>
    </row>
    <row r="155" spans="1:26" x14ac:dyDescent="0.2">
      <c r="A155" s="125"/>
      <c r="B155" s="125" t="s">
        <v>119</v>
      </c>
      <c r="C155" s="153">
        <v>409000</v>
      </c>
      <c r="D155" s="154"/>
      <c r="E155" s="154"/>
      <c r="F155" s="162">
        <f>274238.46+134761.54</f>
        <v>409000</v>
      </c>
      <c r="G155" s="163">
        <v>0</v>
      </c>
      <c r="H155" s="164">
        <v>0</v>
      </c>
      <c r="I155" s="162">
        <v>0</v>
      </c>
      <c r="J155" s="167">
        <v>0</v>
      </c>
      <c r="K155" s="167">
        <v>0</v>
      </c>
      <c r="L155" s="162">
        <f t="shared" si="42"/>
        <v>0</v>
      </c>
      <c r="M155" s="162">
        <f t="shared" si="43"/>
        <v>0</v>
      </c>
      <c r="N155" s="162">
        <v>0</v>
      </c>
      <c r="O155" s="162">
        <f>H155+I155+J155+K155</f>
        <v>0</v>
      </c>
      <c r="P155" s="136">
        <f t="shared" si="44"/>
        <v>0</v>
      </c>
      <c r="Q155" s="125"/>
      <c r="S155" s="125" t="s">
        <v>160</v>
      </c>
      <c r="T155" s="125" t="s">
        <v>446</v>
      </c>
      <c r="U155" s="272" t="s">
        <v>447</v>
      </c>
      <c r="V155" s="125" t="s">
        <v>455</v>
      </c>
      <c r="W155" s="125" t="s">
        <v>14</v>
      </c>
      <c r="X155" s="238">
        <f t="shared" si="40"/>
        <v>0</v>
      </c>
      <c r="Y155" s="238">
        <f t="shared" si="41"/>
        <v>0</v>
      </c>
      <c r="Z155" s="125" t="s">
        <v>119</v>
      </c>
    </row>
    <row r="156" spans="1:26" x14ac:dyDescent="0.2">
      <c r="A156" s="125"/>
      <c r="B156" s="125" t="s">
        <v>120</v>
      </c>
      <c r="C156" s="153">
        <v>645000</v>
      </c>
      <c r="D156" s="154"/>
      <c r="E156" s="154"/>
      <c r="F156" s="162">
        <f>611741.64</f>
        <v>611741.64</v>
      </c>
      <c r="G156" s="163">
        <v>33258.359999999986</v>
      </c>
      <c r="H156" s="164">
        <v>33258.36</v>
      </c>
      <c r="I156" s="162">
        <f>[5]FSU!I141</f>
        <v>0</v>
      </c>
      <c r="J156" s="167">
        <f>[5]FSU!J141</f>
        <v>0</v>
      </c>
      <c r="K156" s="167">
        <f>[5]FSU!K141</f>
        <v>0</v>
      </c>
      <c r="L156" s="162">
        <f t="shared" si="42"/>
        <v>-1.4551915228366852E-11</v>
      </c>
      <c r="M156" s="162">
        <f t="shared" si="43"/>
        <v>0</v>
      </c>
      <c r="N156" s="162">
        <v>0</v>
      </c>
      <c r="O156" s="162">
        <v>33258.36</v>
      </c>
      <c r="P156" s="136">
        <f t="shared" si="44"/>
        <v>0</v>
      </c>
      <c r="Q156" s="125"/>
      <c r="S156" s="125" t="s">
        <v>160</v>
      </c>
      <c r="T156" s="125" t="s">
        <v>446</v>
      </c>
      <c r="U156" s="272" t="s">
        <v>447</v>
      </c>
      <c r="V156" s="125" t="s">
        <v>455</v>
      </c>
      <c r="W156" s="125" t="s">
        <v>15</v>
      </c>
      <c r="X156" s="238">
        <f t="shared" si="40"/>
        <v>33258.36</v>
      </c>
      <c r="Y156" s="238">
        <f t="shared" si="41"/>
        <v>-1.4551915228366852E-11</v>
      </c>
      <c r="Z156" s="125" t="s">
        <v>120</v>
      </c>
    </row>
    <row r="157" spans="1:26" x14ac:dyDescent="0.2">
      <c r="A157" s="125"/>
      <c r="B157" s="125" t="s">
        <v>137</v>
      </c>
      <c r="C157" s="153">
        <v>536000</v>
      </c>
      <c r="D157" s="154"/>
      <c r="E157" s="154"/>
      <c r="F157" s="162">
        <f>536000</f>
        <v>536000</v>
      </c>
      <c r="G157" s="163">
        <v>0</v>
      </c>
      <c r="H157" s="164">
        <v>0</v>
      </c>
      <c r="I157" s="162">
        <v>0</v>
      </c>
      <c r="J157" s="167">
        <v>0</v>
      </c>
      <c r="K157" s="167">
        <v>0</v>
      </c>
      <c r="L157" s="162">
        <f t="shared" si="42"/>
        <v>0</v>
      </c>
      <c r="M157" s="162">
        <f t="shared" si="43"/>
        <v>0</v>
      </c>
      <c r="N157" s="162">
        <v>0</v>
      </c>
      <c r="O157" s="162">
        <f>H157+I157+J157+K157</f>
        <v>0</v>
      </c>
      <c r="P157" s="136">
        <f t="shared" si="44"/>
        <v>0</v>
      </c>
      <c r="Q157" s="125"/>
      <c r="S157" s="125" t="s">
        <v>160</v>
      </c>
      <c r="T157" s="125" t="s">
        <v>446</v>
      </c>
      <c r="U157" s="272" t="s">
        <v>447</v>
      </c>
      <c r="V157" s="125" t="s">
        <v>455</v>
      </c>
      <c r="W157" s="125" t="s">
        <v>16</v>
      </c>
      <c r="X157" s="238">
        <f t="shared" si="40"/>
        <v>0</v>
      </c>
      <c r="Y157" s="238">
        <f t="shared" si="41"/>
        <v>0</v>
      </c>
      <c r="Z157" s="125" t="s">
        <v>137</v>
      </c>
    </row>
    <row r="158" spans="1:26" x14ac:dyDescent="0.2">
      <c r="A158" s="125"/>
      <c r="B158" s="125" t="s">
        <v>122</v>
      </c>
      <c r="C158" s="153">
        <v>1589000</v>
      </c>
      <c r="D158" s="154"/>
      <c r="E158" s="154"/>
      <c r="F158" s="162">
        <f>32706.17+518001.39+20198.17+550000+377628.95+53455.07+7915.98</f>
        <v>1559905.73</v>
      </c>
      <c r="G158" s="163">
        <v>29094.266999999938</v>
      </c>
      <c r="H158" s="164">
        <v>29094.27</v>
      </c>
      <c r="I158" s="162">
        <f>[5]TU!I174+[5]TU!I180+[5]TU!I188</f>
        <v>0</v>
      </c>
      <c r="J158" s="167">
        <f>[5]TU!J174+[5]TU!J180+[5]TU!J188</f>
        <v>0</v>
      </c>
      <c r="K158" s="167">
        <f>[5]TU!K174+[5]TU!K180+[5]TU!K188</f>
        <v>0</v>
      </c>
      <c r="L158" s="162">
        <f t="shared" si="42"/>
        <v>-3.0000000624568202E-3</v>
      </c>
      <c r="M158" s="162">
        <f t="shared" si="43"/>
        <v>0</v>
      </c>
      <c r="N158" s="162">
        <v>12726.4</v>
      </c>
      <c r="O158" s="162">
        <v>16367.87</v>
      </c>
      <c r="P158" s="136">
        <f t="shared" si="44"/>
        <v>3.0000000806467142E-3</v>
      </c>
      <c r="Q158" s="125"/>
      <c r="S158" s="125" t="s">
        <v>160</v>
      </c>
      <c r="T158" s="125" t="s">
        <v>446</v>
      </c>
      <c r="U158" s="272" t="s">
        <v>447</v>
      </c>
      <c r="V158" s="125" t="s">
        <v>455</v>
      </c>
      <c r="W158" s="125" t="s">
        <v>17</v>
      </c>
      <c r="X158" s="238">
        <f t="shared" si="40"/>
        <v>29094.27</v>
      </c>
      <c r="Y158" s="238">
        <f t="shared" si="41"/>
        <v>-3.0000000624568202E-3</v>
      </c>
      <c r="Z158" s="125" t="s">
        <v>122</v>
      </c>
    </row>
    <row r="159" spans="1:26" x14ac:dyDescent="0.2">
      <c r="A159" s="125"/>
      <c r="B159" s="125" t="s">
        <v>123</v>
      </c>
      <c r="C159" s="153">
        <v>418000</v>
      </c>
      <c r="D159" s="154"/>
      <c r="E159" s="154"/>
      <c r="F159" s="162">
        <f>2748.75+81771.25+15400</f>
        <v>99920</v>
      </c>
      <c r="G159" s="163">
        <v>318080</v>
      </c>
      <c r="H159" s="164">
        <v>275132.16000000003</v>
      </c>
      <c r="I159" s="162">
        <f>[5]UBalt!I130</f>
        <v>0</v>
      </c>
      <c r="J159" s="167">
        <f>[5]UBalt!J130</f>
        <v>0</v>
      </c>
      <c r="K159" s="167">
        <f>[5]UBalt!K130</f>
        <v>0</v>
      </c>
      <c r="L159" s="162">
        <f t="shared" si="42"/>
        <v>42947.839999999967</v>
      </c>
      <c r="M159" s="162">
        <f t="shared" si="43"/>
        <v>95520.620000000024</v>
      </c>
      <c r="N159" s="162">
        <v>143676</v>
      </c>
      <c r="O159" s="162">
        <v>35935.54</v>
      </c>
      <c r="P159" s="136">
        <f t="shared" si="44"/>
        <v>0</v>
      </c>
      <c r="Q159" s="125"/>
      <c r="S159" s="125" t="s">
        <v>160</v>
      </c>
      <c r="T159" s="125" t="s">
        <v>446</v>
      </c>
      <c r="U159" s="272" t="s">
        <v>447</v>
      </c>
      <c r="V159" s="125" t="s">
        <v>455</v>
      </c>
      <c r="W159" s="125" t="s">
        <v>18</v>
      </c>
      <c r="X159" s="238">
        <f t="shared" si="40"/>
        <v>275132.16000000003</v>
      </c>
      <c r="Y159" s="238">
        <f t="shared" si="41"/>
        <v>42947.839999999967</v>
      </c>
      <c r="Z159" s="125" t="s">
        <v>123</v>
      </c>
    </row>
    <row r="160" spans="1:26" x14ac:dyDescent="0.2">
      <c r="A160" s="125"/>
      <c r="B160" s="165" t="s">
        <v>127</v>
      </c>
      <c r="C160" s="153">
        <v>463000</v>
      </c>
      <c r="D160" s="162"/>
      <c r="E160" s="162">
        <f>24627.14-200000-287627.14</f>
        <v>-463000</v>
      </c>
      <c r="F160" s="162"/>
      <c r="G160" s="163">
        <v>0</v>
      </c>
      <c r="H160" s="164"/>
      <c r="I160" s="162"/>
      <c r="J160" s="167"/>
      <c r="K160" s="167"/>
      <c r="L160" s="162"/>
      <c r="M160" s="162">
        <f t="shared" si="43"/>
        <v>0</v>
      </c>
      <c r="N160" s="162"/>
      <c r="O160" s="162"/>
      <c r="P160" s="136">
        <f t="shared" si="44"/>
        <v>0</v>
      </c>
      <c r="Q160" s="125"/>
      <c r="S160" s="125" t="s">
        <v>160</v>
      </c>
      <c r="T160" s="125" t="s">
        <v>446</v>
      </c>
      <c r="U160" s="272" t="s">
        <v>447</v>
      </c>
      <c r="V160" s="125" t="s">
        <v>455</v>
      </c>
      <c r="W160" s="165" t="s">
        <v>32</v>
      </c>
      <c r="X160" s="238">
        <f t="shared" si="40"/>
        <v>0</v>
      </c>
      <c r="Y160" s="238">
        <f t="shared" si="41"/>
        <v>0</v>
      </c>
      <c r="Z160" s="165" t="s">
        <v>127</v>
      </c>
    </row>
    <row r="161" spans="1:26" x14ac:dyDescent="0.2">
      <c r="A161" s="125"/>
      <c r="B161" s="125" t="s">
        <v>170</v>
      </c>
      <c r="C161" s="153"/>
      <c r="D161" s="154"/>
      <c r="E161" s="162">
        <v>200000</v>
      </c>
      <c r="F161" s="162">
        <f>50289.6+58406.01</f>
        <v>108695.61</v>
      </c>
      <c r="G161" s="163">
        <v>91304.389999999985</v>
      </c>
      <c r="H161" s="164">
        <v>0</v>
      </c>
      <c r="I161" s="162">
        <f>[5]UMES!I128</f>
        <v>0</v>
      </c>
      <c r="J161" s="167">
        <f>[5]UMES!J19</f>
        <v>0</v>
      </c>
      <c r="K161" s="167">
        <f>[5]UMES!K19</f>
        <v>0</v>
      </c>
      <c r="L161" s="162">
        <f t="shared" si="42"/>
        <v>91304.389999999985</v>
      </c>
      <c r="M161" s="162">
        <f t="shared" si="43"/>
        <v>0</v>
      </c>
      <c r="N161" s="162">
        <v>0</v>
      </c>
      <c r="O161" s="162">
        <v>0</v>
      </c>
      <c r="P161" s="136">
        <f t="shared" si="44"/>
        <v>0</v>
      </c>
      <c r="Q161" s="125"/>
      <c r="S161" s="125" t="s">
        <v>160</v>
      </c>
      <c r="T161" s="125" t="s">
        <v>446</v>
      </c>
      <c r="U161" s="272" t="s">
        <v>447</v>
      </c>
      <c r="V161" s="125" t="s">
        <v>455</v>
      </c>
      <c r="W161" s="125" t="s">
        <v>10</v>
      </c>
      <c r="X161" s="238">
        <f t="shared" si="40"/>
        <v>0</v>
      </c>
      <c r="Y161" s="238">
        <f t="shared" si="41"/>
        <v>91304.389999999985</v>
      </c>
      <c r="Z161" s="125" t="s">
        <v>170</v>
      </c>
    </row>
    <row r="162" spans="1:26" x14ac:dyDescent="0.2">
      <c r="A162" s="125"/>
      <c r="B162" s="125"/>
      <c r="C162" s="153"/>
      <c r="D162" s="154"/>
      <c r="E162" s="154"/>
      <c r="F162" s="162"/>
      <c r="G162" s="156"/>
      <c r="H162" s="157"/>
      <c r="I162" s="154"/>
      <c r="J162" s="158"/>
      <c r="K162" s="158"/>
      <c r="L162" s="154"/>
      <c r="M162" s="154"/>
      <c r="N162" s="154"/>
      <c r="O162" s="154"/>
      <c r="P162" s="125"/>
      <c r="Q162" s="125"/>
    </row>
    <row r="163" spans="1:26" ht="13.5" thickBot="1" x14ac:dyDescent="0.25">
      <c r="A163" s="125"/>
      <c r="B163" s="168" t="s">
        <v>171</v>
      </c>
      <c r="C163" s="169">
        <f>SUM(C146:C162)</f>
        <v>32000000</v>
      </c>
      <c r="D163" s="169">
        <f t="shared" ref="D163:O163" si="45">SUM(D146:D162)</f>
        <v>0</v>
      </c>
      <c r="E163" s="169">
        <f t="shared" si="45"/>
        <v>-263000</v>
      </c>
      <c r="F163" s="169">
        <f>SUM(F146:F162)</f>
        <v>28698880.66</v>
      </c>
      <c r="G163" s="169">
        <f t="shared" si="45"/>
        <v>3038119.3370000003</v>
      </c>
      <c r="H163" s="169">
        <f t="shared" si="45"/>
        <v>2195207.2000000002</v>
      </c>
      <c r="I163" s="169">
        <f t="shared" si="45"/>
        <v>0</v>
      </c>
      <c r="J163" s="169">
        <f t="shared" si="45"/>
        <v>0</v>
      </c>
      <c r="K163" s="169">
        <f>SUM(K146:K162)</f>
        <v>0</v>
      </c>
      <c r="L163" s="169">
        <f t="shared" si="45"/>
        <v>842912.13700000034</v>
      </c>
      <c r="M163" s="169">
        <f t="shared" si="45"/>
        <v>654585.20000000007</v>
      </c>
      <c r="N163" s="169">
        <f t="shared" si="45"/>
        <v>654151.62</v>
      </c>
      <c r="O163" s="169">
        <f t="shared" si="45"/>
        <v>886470.38</v>
      </c>
      <c r="P163" s="136">
        <f>C163+D163+E163-F163-G163</f>
        <v>2.9999995604157448E-3</v>
      </c>
      <c r="Q163" s="125"/>
      <c r="W163" s="165"/>
      <c r="X163" s="125"/>
      <c r="Y163" s="125"/>
    </row>
    <row r="164" spans="1:26" ht="13.5" thickTop="1" x14ac:dyDescent="0.2">
      <c r="A164" s="125"/>
      <c r="B164" s="125"/>
      <c r="C164" s="153"/>
      <c r="D164" s="154"/>
      <c r="E164" s="154"/>
      <c r="F164" s="191"/>
      <c r="G164" s="156"/>
      <c r="H164" s="157"/>
      <c r="I164" s="154"/>
      <c r="J164" s="158"/>
      <c r="K164" s="158"/>
      <c r="L164" s="154"/>
      <c r="M164" s="154"/>
      <c r="N164" s="154"/>
      <c r="O164" s="154"/>
      <c r="P164" s="125"/>
      <c r="Q164" s="125"/>
    </row>
    <row r="165" spans="1:26" x14ac:dyDescent="0.2">
      <c r="A165" s="165" t="s">
        <v>172</v>
      </c>
      <c r="B165" s="125"/>
      <c r="C165" s="153"/>
      <c r="D165" s="154"/>
      <c r="E165" s="154"/>
      <c r="F165" s="162"/>
      <c r="G165" s="156"/>
      <c r="H165" s="157"/>
      <c r="I165" s="156"/>
      <c r="J165" s="156"/>
      <c r="K165" s="156"/>
      <c r="L165" s="154"/>
      <c r="M165" s="154"/>
      <c r="N165" s="154"/>
      <c r="O165" s="154"/>
      <c r="P165" s="125"/>
      <c r="Q165" s="125"/>
    </row>
    <row r="166" spans="1:26" x14ac:dyDescent="0.2">
      <c r="A166" s="125"/>
      <c r="B166" s="125" t="s">
        <v>168</v>
      </c>
      <c r="C166" s="153">
        <v>7500000</v>
      </c>
      <c r="D166" s="154"/>
      <c r="E166" s="154"/>
      <c r="F166" s="162">
        <f>570673.59+3006114.55+3749577.86+173634</f>
        <v>7500000</v>
      </c>
      <c r="G166" s="163">
        <v>0</v>
      </c>
      <c r="H166" s="164">
        <v>0</v>
      </c>
      <c r="I166" s="162">
        <v>0</v>
      </c>
      <c r="J166" s="167">
        <v>0</v>
      </c>
      <c r="K166" s="167">
        <v>0</v>
      </c>
      <c r="L166" s="162">
        <f>G166-H166-I166-J166-K166</f>
        <v>0</v>
      </c>
      <c r="M166" s="162"/>
      <c r="N166" s="162"/>
      <c r="O166" s="162">
        <f>H164+K164</f>
        <v>0</v>
      </c>
      <c r="P166" s="125"/>
      <c r="Q166" s="125"/>
      <c r="W166" s="125" t="s">
        <v>7</v>
      </c>
      <c r="Z166" s="125" t="s">
        <v>168</v>
      </c>
    </row>
    <row r="167" spans="1:26" x14ac:dyDescent="0.2">
      <c r="A167" s="125"/>
      <c r="B167" s="165" t="s">
        <v>112</v>
      </c>
      <c r="C167" s="153"/>
      <c r="D167" s="154"/>
      <c r="E167" s="154"/>
      <c r="F167" s="128"/>
      <c r="G167" s="156"/>
      <c r="H167" s="157"/>
      <c r="I167" s="154"/>
      <c r="J167" s="158"/>
      <c r="K167" s="158"/>
      <c r="L167" s="162"/>
      <c r="M167" s="162"/>
      <c r="N167" s="162"/>
      <c r="O167" s="162"/>
      <c r="P167" s="125"/>
      <c r="Q167" s="125"/>
      <c r="W167" s="165" t="s">
        <v>32</v>
      </c>
      <c r="X167" s="238">
        <f t="shared" ref="X167:X179" si="46">H167</f>
        <v>0</v>
      </c>
      <c r="Y167" s="238">
        <f t="shared" ref="Y167:Y179" si="47">L167</f>
        <v>0</v>
      </c>
      <c r="Z167" s="165" t="s">
        <v>112</v>
      </c>
    </row>
    <row r="168" spans="1:26" x14ac:dyDescent="0.2">
      <c r="A168" s="125"/>
      <c r="B168" s="125" t="s">
        <v>113</v>
      </c>
      <c r="C168" s="153">
        <f>300000+990000+990000+550000+990000+295000+150000+100000+510000+975000+900000+550000</f>
        <v>7300000</v>
      </c>
      <c r="D168" s="154"/>
      <c r="E168" s="154"/>
      <c r="F168" s="162">
        <f>2767576.24+680881.45+3851542.31</f>
        <v>7300000</v>
      </c>
      <c r="G168" s="163">
        <v>0</v>
      </c>
      <c r="H168" s="164">
        <v>0</v>
      </c>
      <c r="I168" s="162">
        <v>0</v>
      </c>
      <c r="J168" s="167">
        <v>0</v>
      </c>
      <c r="K168" s="167">
        <v>0</v>
      </c>
      <c r="L168" s="162">
        <f t="shared" ref="L168:L178" si="48">G168-H168-I168-J168-K168</f>
        <v>0</v>
      </c>
      <c r="M168" s="162">
        <f t="shared" ref="M168:M179" si="49">H168-N168-O168</f>
        <v>0</v>
      </c>
      <c r="N168" s="162"/>
      <c r="O168" s="162">
        <v>0</v>
      </c>
      <c r="P168" s="136">
        <f t="shared" ref="P168:P179" si="50">C168+D168+E168-F168-G168</f>
        <v>0</v>
      </c>
      <c r="Q168" s="125"/>
      <c r="S168" s="125" t="s">
        <v>160</v>
      </c>
      <c r="T168" s="125" t="s">
        <v>446</v>
      </c>
      <c r="U168" s="272" t="s">
        <v>447</v>
      </c>
      <c r="V168" s="125" t="s">
        <v>456</v>
      </c>
      <c r="W168" s="125" t="s">
        <v>7</v>
      </c>
      <c r="X168" s="238">
        <f t="shared" si="46"/>
        <v>0</v>
      </c>
      <c r="Y168" s="238">
        <f t="shared" si="47"/>
        <v>0</v>
      </c>
      <c r="Z168" s="125" t="s">
        <v>113</v>
      </c>
    </row>
    <row r="169" spans="1:26" x14ac:dyDescent="0.2">
      <c r="A169" s="125"/>
      <c r="B169" s="125" t="s">
        <v>114</v>
      </c>
      <c r="C169" s="153">
        <f>990000+990000+695000</f>
        <v>2675000</v>
      </c>
      <c r="D169" s="162">
        <v>-0.02</v>
      </c>
      <c r="E169" s="154"/>
      <c r="F169" s="163">
        <f>13205.39+184961.16+174257.2+675592.72+34722.5</f>
        <v>1082738.97</v>
      </c>
      <c r="G169" s="163">
        <v>1592261.0099999995</v>
      </c>
      <c r="H169" s="164">
        <v>1575389.58</v>
      </c>
      <c r="I169" s="162">
        <f>[5]UMB!I258</f>
        <v>0</v>
      </c>
      <c r="J169" s="167">
        <f>[5]UMB!J258</f>
        <v>0</v>
      </c>
      <c r="K169" s="167">
        <f>[5]UMB!K258</f>
        <v>0</v>
      </c>
      <c r="L169" s="162">
        <f t="shared" si="48"/>
        <v>16871.429999999469</v>
      </c>
      <c r="M169" s="162">
        <f t="shared" si="49"/>
        <v>785940</v>
      </c>
      <c r="N169" s="162">
        <v>238561.30999999994</v>
      </c>
      <c r="O169" s="162">
        <v>550888.27</v>
      </c>
      <c r="P169" s="136">
        <f t="shared" si="50"/>
        <v>0</v>
      </c>
      <c r="Q169" s="125"/>
      <c r="S169" s="125" t="s">
        <v>160</v>
      </c>
      <c r="T169" s="125" t="s">
        <v>446</v>
      </c>
      <c r="U169" s="272" t="s">
        <v>447</v>
      </c>
      <c r="V169" s="125" t="s">
        <v>456</v>
      </c>
      <c r="W169" s="125" t="s">
        <v>8</v>
      </c>
      <c r="X169" s="238">
        <f t="shared" si="46"/>
        <v>1575389.58</v>
      </c>
      <c r="Y169" s="238">
        <f t="shared" si="47"/>
        <v>16871.429999999469</v>
      </c>
      <c r="Z169" s="125" t="s">
        <v>114</v>
      </c>
    </row>
    <row r="170" spans="1:26" x14ac:dyDescent="0.2">
      <c r="A170" s="125"/>
      <c r="B170" s="125" t="s">
        <v>115</v>
      </c>
      <c r="C170" s="153">
        <v>642000</v>
      </c>
      <c r="D170" s="154"/>
      <c r="E170" s="154"/>
      <c r="F170" s="162">
        <f>637427.17+4572.83</f>
        <v>642000</v>
      </c>
      <c r="G170" s="163">
        <v>-4.1836756281554699E-11</v>
      </c>
      <c r="H170" s="164">
        <v>0</v>
      </c>
      <c r="I170" s="162">
        <f>[5]UMES!I136</f>
        <v>0</v>
      </c>
      <c r="J170" s="167">
        <f>[5]UMES!J136</f>
        <v>0</v>
      </c>
      <c r="K170" s="167">
        <f>[5]UMES!K136</f>
        <v>0</v>
      </c>
      <c r="L170" s="162">
        <f t="shared" si="48"/>
        <v>-4.1836756281554699E-11</v>
      </c>
      <c r="M170" s="162">
        <f t="shared" si="49"/>
        <v>0</v>
      </c>
      <c r="N170" s="162">
        <v>0</v>
      </c>
      <c r="O170" s="162">
        <f>H170+I170+J170+K170</f>
        <v>0</v>
      </c>
      <c r="P170" s="136">
        <f t="shared" si="50"/>
        <v>4.1836756281554699E-11</v>
      </c>
      <c r="Q170" s="125"/>
      <c r="S170" s="125" t="s">
        <v>160</v>
      </c>
      <c r="T170" s="125" t="s">
        <v>446</v>
      </c>
      <c r="U170" s="272" t="s">
        <v>447</v>
      </c>
      <c r="V170" s="125" t="s">
        <v>456</v>
      </c>
      <c r="W170" s="125" t="s">
        <v>10</v>
      </c>
      <c r="X170" s="238">
        <f t="shared" si="46"/>
        <v>0</v>
      </c>
      <c r="Y170" s="238">
        <f t="shared" si="47"/>
        <v>-4.1836756281554699E-11</v>
      </c>
      <c r="Z170" s="125" t="s">
        <v>115</v>
      </c>
    </row>
    <row r="171" spans="1:26" x14ac:dyDescent="0.2">
      <c r="A171" s="125"/>
      <c r="B171" s="125" t="s">
        <v>116</v>
      </c>
      <c r="C171" s="153">
        <v>1452000</v>
      </c>
      <c r="D171" s="154"/>
      <c r="E171" s="154"/>
      <c r="F171" s="162">
        <f>371294.08+1056822.47+23883.45</f>
        <v>1452000</v>
      </c>
      <c r="G171" s="163">
        <v>0</v>
      </c>
      <c r="H171" s="164">
        <v>0</v>
      </c>
      <c r="I171" s="162">
        <v>0</v>
      </c>
      <c r="J171" s="167">
        <v>0</v>
      </c>
      <c r="K171" s="167">
        <v>0</v>
      </c>
      <c r="L171" s="162">
        <f t="shared" si="48"/>
        <v>0</v>
      </c>
      <c r="M171" s="162">
        <f t="shared" si="49"/>
        <v>0</v>
      </c>
      <c r="N171" s="162">
        <v>0</v>
      </c>
      <c r="O171" s="162">
        <f>H171+I171+J171+K171</f>
        <v>0</v>
      </c>
      <c r="P171" s="136">
        <f t="shared" si="50"/>
        <v>0</v>
      </c>
      <c r="Q171" s="125"/>
      <c r="S171" s="125" t="s">
        <v>160</v>
      </c>
      <c r="T171" s="125" t="s">
        <v>446</v>
      </c>
      <c r="U171" s="272" t="s">
        <v>447</v>
      </c>
      <c r="V171" s="125" t="s">
        <v>456</v>
      </c>
      <c r="W171" s="125" t="s">
        <v>11</v>
      </c>
      <c r="X171" s="238">
        <f t="shared" si="46"/>
        <v>0</v>
      </c>
      <c r="Y171" s="238">
        <f t="shared" si="47"/>
        <v>0</v>
      </c>
      <c r="Z171" s="125" t="s">
        <v>116</v>
      </c>
    </row>
    <row r="172" spans="1:26" x14ac:dyDescent="0.2">
      <c r="A172" s="125"/>
      <c r="B172" s="125" t="s">
        <v>117</v>
      </c>
      <c r="C172" s="153">
        <v>317000</v>
      </c>
      <c r="D172" s="154"/>
      <c r="E172" s="154"/>
      <c r="F172" s="162">
        <f>2937.02+314062.98</f>
        <v>317000</v>
      </c>
      <c r="G172" s="163">
        <v>0</v>
      </c>
      <c r="H172" s="164">
        <v>0</v>
      </c>
      <c r="I172" s="162">
        <v>0</v>
      </c>
      <c r="J172" s="167">
        <v>0</v>
      </c>
      <c r="K172" s="167">
        <v>0</v>
      </c>
      <c r="L172" s="162">
        <f t="shared" si="48"/>
        <v>0</v>
      </c>
      <c r="M172" s="162">
        <f t="shared" si="49"/>
        <v>0</v>
      </c>
      <c r="N172" s="162">
        <v>0</v>
      </c>
      <c r="O172" s="162">
        <f>H172+I172+J172+K172</f>
        <v>0</v>
      </c>
      <c r="P172" s="136">
        <f t="shared" si="50"/>
        <v>0</v>
      </c>
      <c r="Q172" s="125"/>
      <c r="S172" s="125" t="s">
        <v>160</v>
      </c>
      <c r="T172" s="125" t="s">
        <v>446</v>
      </c>
      <c r="U172" s="272" t="s">
        <v>447</v>
      </c>
      <c r="V172" s="125" t="s">
        <v>456</v>
      </c>
      <c r="W172" s="125" t="s">
        <v>12</v>
      </c>
      <c r="X172" s="238">
        <f t="shared" si="46"/>
        <v>0</v>
      </c>
      <c r="Y172" s="238">
        <f t="shared" si="47"/>
        <v>0</v>
      </c>
      <c r="Z172" s="125" t="s">
        <v>117</v>
      </c>
    </row>
    <row r="173" spans="1:26" x14ac:dyDescent="0.2">
      <c r="A173" s="125"/>
      <c r="B173" s="125" t="s">
        <v>118</v>
      </c>
      <c r="C173" s="153">
        <f>400000+154000</f>
        <v>554000</v>
      </c>
      <c r="D173" s="154"/>
      <c r="E173" s="154"/>
      <c r="F173" s="163">
        <f>28173+78156.58+373685.53</f>
        <v>480015.11000000004</v>
      </c>
      <c r="G173" s="163">
        <v>73984.890000000014</v>
      </c>
      <c r="H173" s="164">
        <v>73984.89</v>
      </c>
      <c r="I173" s="162">
        <f>[5]BSU!I92</f>
        <v>0</v>
      </c>
      <c r="J173" s="167">
        <f>[5]BSU!J92</f>
        <v>0</v>
      </c>
      <c r="K173" s="167">
        <f>[5]BSU!K92</f>
        <v>0</v>
      </c>
      <c r="L173" s="162">
        <f t="shared" si="48"/>
        <v>1.4551915228366852E-11</v>
      </c>
      <c r="M173" s="162">
        <f t="shared" si="49"/>
        <v>0</v>
      </c>
      <c r="N173" s="162">
        <v>0</v>
      </c>
      <c r="O173" s="162">
        <v>73984.89</v>
      </c>
      <c r="P173" s="136">
        <f t="shared" si="50"/>
        <v>0</v>
      </c>
      <c r="Q173" s="125"/>
      <c r="S173" s="125" t="s">
        <v>160</v>
      </c>
      <c r="T173" s="125" t="s">
        <v>446</v>
      </c>
      <c r="U173" s="272" t="s">
        <v>447</v>
      </c>
      <c r="V173" s="125" t="s">
        <v>456</v>
      </c>
      <c r="W173" s="125" t="s">
        <v>13</v>
      </c>
      <c r="X173" s="238">
        <f t="shared" si="46"/>
        <v>73984.89</v>
      </c>
      <c r="Y173" s="238">
        <f t="shared" si="47"/>
        <v>1.4551915228366852E-11</v>
      </c>
      <c r="Z173" s="125" t="s">
        <v>118</v>
      </c>
    </row>
    <row r="174" spans="1:26" x14ac:dyDescent="0.2">
      <c r="A174" s="125"/>
      <c r="B174" s="125" t="s">
        <v>119</v>
      </c>
      <c r="C174" s="153">
        <f>50000+150000+109000</f>
        <v>309000</v>
      </c>
      <c r="D174" s="154"/>
      <c r="E174" s="154"/>
      <c r="F174" s="162">
        <f>309000</f>
        <v>309000</v>
      </c>
      <c r="G174" s="163">
        <v>0</v>
      </c>
      <c r="H174" s="164">
        <v>0</v>
      </c>
      <c r="I174" s="162">
        <v>0</v>
      </c>
      <c r="J174" s="167">
        <v>0</v>
      </c>
      <c r="K174" s="167">
        <v>0</v>
      </c>
      <c r="L174" s="162">
        <f t="shared" si="48"/>
        <v>0</v>
      </c>
      <c r="M174" s="162">
        <f t="shared" si="49"/>
        <v>0</v>
      </c>
      <c r="N174" s="162">
        <v>0</v>
      </c>
      <c r="O174" s="162">
        <v>0</v>
      </c>
      <c r="P174" s="136">
        <f t="shared" si="50"/>
        <v>0</v>
      </c>
      <c r="Q174" s="125"/>
      <c r="S174" s="125" t="s">
        <v>160</v>
      </c>
      <c r="T174" s="125" t="s">
        <v>446</v>
      </c>
      <c r="U174" s="272" t="s">
        <v>447</v>
      </c>
      <c r="V174" s="125" t="s">
        <v>456</v>
      </c>
      <c r="W174" s="125" t="s">
        <v>14</v>
      </c>
      <c r="X174" s="238">
        <f t="shared" si="46"/>
        <v>0</v>
      </c>
      <c r="Y174" s="238">
        <f t="shared" si="47"/>
        <v>0</v>
      </c>
      <c r="Z174" s="125" t="s">
        <v>119</v>
      </c>
    </row>
    <row r="175" spans="1:26" x14ac:dyDescent="0.2">
      <c r="A175" s="125"/>
      <c r="B175" s="125" t="s">
        <v>120</v>
      </c>
      <c r="C175" s="153">
        <f>96974+51974+496052</f>
        <v>645000</v>
      </c>
      <c r="D175" s="154"/>
      <c r="E175" s="154"/>
      <c r="F175" s="163">
        <f>499480.88+49097+52268</f>
        <v>600845.88</v>
      </c>
      <c r="G175" s="163">
        <v>44154.119999999995</v>
      </c>
      <c r="H175" s="164">
        <v>44154.12</v>
      </c>
      <c r="I175" s="162">
        <f>[5]FSU!I154</f>
        <v>0</v>
      </c>
      <c r="J175" s="167">
        <f>[5]FSU!J154</f>
        <v>0</v>
      </c>
      <c r="K175" s="167">
        <f>[5]FSU!K154</f>
        <v>0</v>
      </c>
      <c r="L175" s="162">
        <f t="shared" si="48"/>
        <v>-7.2759576141834259E-12</v>
      </c>
      <c r="M175" s="162">
        <f t="shared" si="49"/>
        <v>0</v>
      </c>
      <c r="N175" s="162">
        <v>0</v>
      </c>
      <c r="O175" s="162">
        <v>44154.12</v>
      </c>
      <c r="P175" s="136">
        <f t="shared" si="50"/>
        <v>0</v>
      </c>
      <c r="Q175" s="125"/>
      <c r="S175" s="125" t="s">
        <v>160</v>
      </c>
      <c r="T175" s="125" t="s">
        <v>446</v>
      </c>
      <c r="U175" s="272" t="s">
        <v>447</v>
      </c>
      <c r="V175" s="125" t="s">
        <v>456</v>
      </c>
      <c r="W175" s="125" t="s">
        <v>15</v>
      </c>
      <c r="X175" s="238">
        <f t="shared" si="46"/>
        <v>44154.12</v>
      </c>
      <c r="Y175" s="238">
        <f t="shared" si="47"/>
        <v>-7.2759576141834259E-12</v>
      </c>
      <c r="Z175" s="125" t="s">
        <v>120</v>
      </c>
    </row>
    <row r="176" spans="1:26" x14ac:dyDescent="0.2">
      <c r="A176" s="125"/>
      <c r="B176" s="125" t="s">
        <v>137</v>
      </c>
      <c r="C176" s="153">
        <v>536000</v>
      </c>
      <c r="D176" s="154"/>
      <c r="E176" s="154"/>
      <c r="F176" s="163">
        <f>10442.22+514492.66+11065.12</f>
        <v>536000</v>
      </c>
      <c r="G176" s="163">
        <v>0</v>
      </c>
      <c r="H176" s="164">
        <v>0</v>
      </c>
      <c r="I176" s="162">
        <v>0</v>
      </c>
      <c r="J176" s="167">
        <v>0</v>
      </c>
      <c r="K176" s="167">
        <v>0</v>
      </c>
      <c r="L176" s="162">
        <f t="shared" si="48"/>
        <v>0</v>
      </c>
      <c r="M176" s="162">
        <f t="shared" si="49"/>
        <v>0</v>
      </c>
      <c r="N176" s="162">
        <v>0</v>
      </c>
      <c r="O176" s="162">
        <v>0</v>
      </c>
      <c r="P176" s="136">
        <f t="shared" si="50"/>
        <v>0</v>
      </c>
      <c r="Q176" s="125"/>
      <c r="S176" s="125" t="s">
        <v>160</v>
      </c>
      <c r="T176" s="125" t="s">
        <v>446</v>
      </c>
      <c r="U176" s="272" t="s">
        <v>447</v>
      </c>
      <c r="V176" s="125" t="s">
        <v>456</v>
      </c>
      <c r="W176" s="125" t="s">
        <v>16</v>
      </c>
      <c r="X176" s="238">
        <f t="shared" si="46"/>
        <v>0</v>
      </c>
      <c r="Y176" s="238">
        <f t="shared" si="47"/>
        <v>0</v>
      </c>
      <c r="Z176" s="125" t="s">
        <v>137</v>
      </c>
    </row>
    <row r="177" spans="1:26" x14ac:dyDescent="0.2">
      <c r="A177" s="125"/>
      <c r="B177" s="125" t="s">
        <v>122</v>
      </c>
      <c r="C177" s="153">
        <f>600000+550000+439000</f>
        <v>1589000</v>
      </c>
      <c r="D177" s="162">
        <v>-0.7</v>
      </c>
      <c r="E177" s="126"/>
      <c r="F177" s="163">
        <f>588447.37+453769.26+513210.16</f>
        <v>1555426.79</v>
      </c>
      <c r="G177" s="163">
        <v>33572.510000000024</v>
      </c>
      <c r="H177" s="164">
        <v>33572.51</v>
      </c>
      <c r="I177" s="162">
        <v>0</v>
      </c>
      <c r="J177" s="167">
        <v>0</v>
      </c>
      <c r="K177" s="167">
        <v>0</v>
      </c>
      <c r="L177" s="162">
        <f t="shared" si="48"/>
        <v>2.1827872842550278E-11</v>
      </c>
      <c r="M177" s="162">
        <f t="shared" si="49"/>
        <v>0</v>
      </c>
      <c r="N177" s="162">
        <v>0</v>
      </c>
      <c r="O177" s="162">
        <v>33572.51</v>
      </c>
      <c r="P177" s="136">
        <f t="shared" si="50"/>
        <v>0</v>
      </c>
      <c r="Q177" s="125"/>
      <c r="S177" s="125" t="s">
        <v>160</v>
      </c>
      <c r="T177" s="125" t="s">
        <v>446</v>
      </c>
      <c r="U177" s="272" t="s">
        <v>447</v>
      </c>
      <c r="V177" s="125" t="s">
        <v>456</v>
      </c>
      <c r="W177" s="125" t="s">
        <v>17</v>
      </c>
      <c r="X177" s="238">
        <f t="shared" si="46"/>
        <v>33572.51</v>
      </c>
      <c r="Y177" s="238">
        <f t="shared" si="47"/>
        <v>2.1827872842550278E-11</v>
      </c>
      <c r="Z177" s="125" t="s">
        <v>122</v>
      </c>
    </row>
    <row r="178" spans="1:26" x14ac:dyDescent="0.2">
      <c r="A178" s="125"/>
      <c r="B178" s="125" t="s">
        <v>123</v>
      </c>
      <c r="C178" s="153">
        <v>418000</v>
      </c>
      <c r="D178" s="154"/>
      <c r="E178" s="154"/>
      <c r="F178" s="162">
        <f>78065+160839.77+177315+1780.23</f>
        <v>418000</v>
      </c>
      <c r="G178" s="163">
        <v>1.0459189070388675E-11</v>
      </c>
      <c r="H178" s="164">
        <v>0</v>
      </c>
      <c r="I178" s="162">
        <f>[5]UBalt!I139</f>
        <v>0</v>
      </c>
      <c r="J178" s="167">
        <f>[5]UBalt!J139</f>
        <v>0</v>
      </c>
      <c r="K178" s="167">
        <f>[5]UBalt!K139</f>
        <v>0</v>
      </c>
      <c r="L178" s="162">
        <f t="shared" si="48"/>
        <v>1.0459189070388675E-11</v>
      </c>
      <c r="M178" s="162">
        <f t="shared" si="49"/>
        <v>0</v>
      </c>
      <c r="N178" s="162">
        <v>0</v>
      </c>
      <c r="O178" s="162">
        <v>0</v>
      </c>
      <c r="P178" s="136">
        <f t="shared" si="50"/>
        <v>-1.0459189070388675E-11</v>
      </c>
      <c r="Q178" s="125"/>
      <c r="S178" s="125" t="s">
        <v>160</v>
      </c>
      <c r="T178" s="125" t="s">
        <v>446</v>
      </c>
      <c r="U178" s="272" t="s">
        <v>447</v>
      </c>
      <c r="V178" s="125" t="s">
        <v>456</v>
      </c>
      <c r="W178" s="125" t="s">
        <v>18</v>
      </c>
      <c r="X178" s="238">
        <f t="shared" si="46"/>
        <v>0</v>
      </c>
      <c r="Y178" s="238">
        <f t="shared" si="47"/>
        <v>1.0459189070388675E-11</v>
      </c>
      <c r="Z178" s="125" t="s">
        <v>123</v>
      </c>
    </row>
    <row r="179" spans="1:26" x14ac:dyDescent="0.2">
      <c r="A179" s="125"/>
      <c r="B179" s="165" t="s">
        <v>127</v>
      </c>
      <c r="C179" s="153">
        <v>563000</v>
      </c>
      <c r="D179" s="154"/>
      <c r="E179" s="162">
        <f>-563000</f>
        <v>-563000</v>
      </c>
      <c r="F179" s="162"/>
      <c r="G179" s="163">
        <v>0</v>
      </c>
      <c r="H179" s="164"/>
      <c r="I179" s="162"/>
      <c r="J179" s="167"/>
      <c r="K179" s="167"/>
      <c r="L179" s="162"/>
      <c r="M179" s="162">
        <f t="shared" si="49"/>
        <v>0</v>
      </c>
      <c r="N179" s="162"/>
      <c r="O179" s="162"/>
      <c r="P179" s="136">
        <f t="shared" si="50"/>
        <v>0</v>
      </c>
      <c r="Q179" s="125"/>
      <c r="S179" s="125" t="s">
        <v>160</v>
      </c>
      <c r="T179" s="125" t="s">
        <v>446</v>
      </c>
      <c r="U179" s="272" t="s">
        <v>447</v>
      </c>
      <c r="V179" s="125" t="s">
        <v>456</v>
      </c>
      <c r="W179" s="165" t="s">
        <v>32</v>
      </c>
      <c r="X179" s="238">
        <f t="shared" si="46"/>
        <v>0</v>
      </c>
      <c r="Y179" s="238">
        <f t="shared" si="47"/>
        <v>0</v>
      </c>
      <c r="Z179" s="165" t="s">
        <v>127</v>
      </c>
    </row>
    <row r="180" spans="1:26" x14ac:dyDescent="0.2">
      <c r="A180" s="125"/>
      <c r="B180" s="125"/>
      <c r="C180" s="153"/>
      <c r="D180" s="154"/>
      <c r="E180" s="154"/>
      <c r="F180" s="162"/>
      <c r="G180" s="156"/>
      <c r="H180" s="157"/>
      <c r="I180" s="154"/>
      <c r="J180" s="158"/>
      <c r="K180" s="158"/>
      <c r="L180" s="154"/>
      <c r="M180" s="154"/>
      <c r="N180" s="154"/>
      <c r="O180" s="154"/>
      <c r="P180" s="125"/>
      <c r="Q180" s="125"/>
    </row>
    <row r="181" spans="1:26" ht="13.5" thickBot="1" x14ac:dyDescent="0.25">
      <c r="A181" s="125"/>
      <c r="B181" s="168" t="s">
        <v>173</v>
      </c>
      <c r="C181" s="169">
        <f t="shared" ref="C181:K181" si="51">SUM(C166:C180)</f>
        <v>24500000</v>
      </c>
      <c r="D181" s="192">
        <f t="shared" si="51"/>
        <v>-0.72</v>
      </c>
      <c r="E181" s="192">
        <f t="shared" si="51"/>
        <v>-563000</v>
      </c>
      <c r="F181" s="192">
        <f t="shared" si="51"/>
        <v>22193026.749999996</v>
      </c>
      <c r="G181" s="192">
        <f t="shared" si="51"/>
        <v>1743972.5299999996</v>
      </c>
      <c r="H181" s="192">
        <f t="shared" si="51"/>
        <v>1727101.1</v>
      </c>
      <c r="I181" s="192">
        <f t="shared" si="51"/>
        <v>0</v>
      </c>
      <c r="J181" s="192">
        <f t="shared" si="51"/>
        <v>0</v>
      </c>
      <c r="K181" s="192">
        <f t="shared" si="51"/>
        <v>0</v>
      </c>
      <c r="L181" s="192">
        <f>SUM(L166:L180)</f>
        <v>16871.429999999466</v>
      </c>
      <c r="M181" s="192">
        <f>SUM(M166:M180)</f>
        <v>785940</v>
      </c>
      <c r="N181" s="192">
        <f>SUM(N166:N180)</f>
        <v>238561.30999999994</v>
      </c>
      <c r="O181" s="192">
        <f>SUM(O166:O180)</f>
        <v>702599.79</v>
      </c>
      <c r="P181" s="136">
        <f>C181+D181+E181-F181-G181</f>
        <v>5.3551048040390015E-9</v>
      </c>
      <c r="Q181" s="125"/>
      <c r="W181" s="165"/>
      <c r="X181" s="125"/>
      <c r="Y181" s="125"/>
    </row>
    <row r="182" spans="1:26" ht="13.5" thickTop="1" x14ac:dyDescent="0.2">
      <c r="A182" s="125"/>
      <c r="B182" s="125"/>
      <c r="C182" s="153"/>
      <c r="D182" s="154"/>
      <c r="E182" s="154"/>
      <c r="F182" s="191"/>
      <c r="G182" s="156"/>
      <c r="H182" s="157"/>
      <c r="I182" s="154"/>
      <c r="J182" s="158"/>
      <c r="K182" s="158"/>
      <c r="L182" s="154"/>
      <c r="M182" s="154"/>
      <c r="N182" s="154"/>
      <c r="O182" s="154"/>
      <c r="P182" s="125"/>
      <c r="Q182" s="125"/>
    </row>
    <row r="183" spans="1:26" x14ac:dyDescent="0.2">
      <c r="A183" s="165" t="s">
        <v>174</v>
      </c>
      <c r="B183" s="125"/>
      <c r="C183" s="153"/>
      <c r="D183" s="154"/>
      <c r="E183" s="154"/>
      <c r="F183" s="162"/>
      <c r="G183" s="156"/>
      <c r="H183" s="157"/>
      <c r="I183" s="156"/>
      <c r="J183" s="156"/>
      <c r="K183" s="156"/>
      <c r="L183" s="154"/>
      <c r="M183" s="154"/>
      <c r="N183" s="154"/>
      <c r="O183" s="154"/>
      <c r="P183" s="125"/>
      <c r="Q183" s="125"/>
    </row>
    <row r="184" spans="1:26" x14ac:dyDescent="0.2">
      <c r="A184" s="125"/>
      <c r="B184" s="125" t="s">
        <v>175</v>
      </c>
      <c r="C184" s="153">
        <v>5000000</v>
      </c>
      <c r="D184" s="162"/>
      <c r="E184" s="162"/>
      <c r="F184" s="162">
        <f>233366.84+57065.83+3761966.02+325934.68+385895.56+235771.07</f>
        <v>5000000</v>
      </c>
      <c r="G184" s="163">
        <v>0</v>
      </c>
      <c r="H184" s="164">
        <v>0</v>
      </c>
      <c r="I184" s="162">
        <v>0</v>
      </c>
      <c r="J184" s="167">
        <v>0</v>
      </c>
      <c r="K184" s="167">
        <v>0</v>
      </c>
      <c r="L184" s="162">
        <f>G184-H184-I184-J184-K184</f>
        <v>0</v>
      </c>
      <c r="M184" s="162">
        <f>H184-N184-O184</f>
        <v>0</v>
      </c>
      <c r="N184" s="162"/>
      <c r="O184" s="162">
        <v>0</v>
      </c>
      <c r="P184" s="136">
        <f t="shared" ref="P184:P201" si="52">C184+D184+E184-F184-G184</f>
        <v>0</v>
      </c>
      <c r="Q184" s="125"/>
      <c r="S184" s="125" t="s">
        <v>160</v>
      </c>
      <c r="T184" s="125" t="s">
        <v>160</v>
      </c>
      <c r="U184" s="125">
        <v>20</v>
      </c>
      <c r="V184" s="125" t="s">
        <v>24</v>
      </c>
      <c r="W184" s="125" t="s">
        <v>7</v>
      </c>
      <c r="X184" s="238">
        <f t="shared" ref="X184:X201" si="53">H184</f>
        <v>0</v>
      </c>
      <c r="Y184" s="238">
        <f t="shared" ref="Y184:Y201" si="54">L184</f>
        <v>0</v>
      </c>
      <c r="Z184" s="125" t="s">
        <v>175</v>
      </c>
    </row>
    <row r="185" spans="1:26" x14ac:dyDescent="0.2">
      <c r="A185" s="125"/>
      <c r="B185" s="125" t="s">
        <v>168</v>
      </c>
      <c r="C185" s="153">
        <v>20000000</v>
      </c>
      <c r="D185" s="162"/>
      <c r="E185" s="162"/>
      <c r="F185" s="162">
        <f>57764.24+19923609.95+18625.81</f>
        <v>19999999.999999996</v>
      </c>
      <c r="G185" s="163">
        <v>0</v>
      </c>
      <c r="H185" s="164">
        <v>0</v>
      </c>
      <c r="I185" s="162">
        <v>0</v>
      </c>
      <c r="J185" s="167">
        <v>0</v>
      </c>
      <c r="K185" s="167">
        <v>0</v>
      </c>
      <c r="L185" s="162">
        <f>G185-H185-I185-J185-K185</f>
        <v>0</v>
      </c>
      <c r="M185" s="162">
        <f>H185-N185-O185</f>
        <v>0</v>
      </c>
      <c r="N185" s="162"/>
      <c r="O185" s="162">
        <v>0</v>
      </c>
      <c r="P185" s="136">
        <f t="shared" si="52"/>
        <v>3.7252902984619141E-9</v>
      </c>
      <c r="Q185" s="125"/>
      <c r="S185" s="125" t="s">
        <v>160</v>
      </c>
      <c r="T185" s="125" t="s">
        <v>160</v>
      </c>
      <c r="U185" s="125">
        <v>20</v>
      </c>
      <c r="V185" s="125" t="s">
        <v>24</v>
      </c>
      <c r="W185" s="125" t="s">
        <v>7</v>
      </c>
      <c r="X185" s="238">
        <f t="shared" si="53"/>
        <v>0</v>
      </c>
      <c r="Y185" s="238">
        <f t="shared" si="54"/>
        <v>0</v>
      </c>
      <c r="Z185" s="125" t="s">
        <v>168</v>
      </c>
    </row>
    <row r="186" spans="1:26" x14ac:dyDescent="0.2">
      <c r="A186" s="125"/>
      <c r="B186" s="125" t="s">
        <v>176</v>
      </c>
      <c r="C186" s="153">
        <v>12500000</v>
      </c>
      <c r="D186" s="162"/>
      <c r="E186" s="162"/>
      <c r="F186" s="162">
        <f>9668105.38+340252.44+1882829.88+36511.16+572301.14</f>
        <v>12500000</v>
      </c>
      <c r="G186" s="163">
        <v>0</v>
      </c>
      <c r="H186" s="164">
        <v>0</v>
      </c>
      <c r="I186" s="162">
        <v>0</v>
      </c>
      <c r="J186" s="167">
        <v>0</v>
      </c>
      <c r="K186" s="167">
        <v>0</v>
      </c>
      <c r="L186" s="162">
        <f>G186-H186-I186-J186-K186</f>
        <v>0</v>
      </c>
      <c r="M186" s="162">
        <f>H186-N186-O186</f>
        <v>0</v>
      </c>
      <c r="N186" s="162"/>
      <c r="O186" s="162">
        <v>0</v>
      </c>
      <c r="P186" s="136">
        <f t="shared" si="52"/>
        <v>0</v>
      </c>
      <c r="Q186" s="125"/>
      <c r="S186" s="125" t="s">
        <v>160</v>
      </c>
      <c r="T186" s="125" t="s">
        <v>160</v>
      </c>
      <c r="U186" s="125">
        <v>20</v>
      </c>
      <c r="V186" s="125" t="s">
        <v>24</v>
      </c>
      <c r="W186" s="125" t="s">
        <v>16</v>
      </c>
      <c r="X186" s="238">
        <f t="shared" si="53"/>
        <v>0</v>
      </c>
      <c r="Y186" s="238">
        <f t="shared" si="54"/>
        <v>0</v>
      </c>
      <c r="Z186" s="125" t="s">
        <v>176</v>
      </c>
    </row>
    <row r="187" spans="1:26" x14ac:dyDescent="0.2">
      <c r="A187" s="125"/>
      <c r="B187" s="165" t="s">
        <v>112</v>
      </c>
      <c r="C187" s="153"/>
      <c r="D187" s="162"/>
      <c r="E187" s="162"/>
      <c r="F187" s="162"/>
      <c r="G187" s="163"/>
      <c r="H187" s="164"/>
      <c r="I187" s="162"/>
      <c r="J187" s="167"/>
      <c r="K187" s="167"/>
      <c r="L187" s="162"/>
      <c r="M187" s="162"/>
      <c r="N187" s="162"/>
      <c r="O187" s="162"/>
      <c r="P187" s="136">
        <f t="shared" si="52"/>
        <v>0</v>
      </c>
      <c r="Q187" s="125"/>
      <c r="W187" s="165"/>
      <c r="X187" s="238">
        <f t="shared" si="53"/>
        <v>0</v>
      </c>
      <c r="Y187" s="238">
        <f t="shared" si="54"/>
        <v>0</v>
      </c>
      <c r="Z187" s="165"/>
    </row>
    <row r="188" spans="1:26" x14ac:dyDescent="0.2">
      <c r="A188" s="125"/>
      <c r="B188" s="125" t="s">
        <v>113</v>
      </c>
      <c r="C188" s="153">
        <f>300000+990000+990000+550000+990000+295000+150000+100000+510000+975000+900000+550000</f>
        <v>7300000</v>
      </c>
      <c r="D188" s="162"/>
      <c r="E188" s="162"/>
      <c r="F188" s="162">
        <f>1361945.98+5938054.02</f>
        <v>7300000</v>
      </c>
      <c r="G188" s="163">
        <v>0</v>
      </c>
      <c r="H188" s="164">
        <v>0</v>
      </c>
      <c r="I188" s="162">
        <v>0</v>
      </c>
      <c r="J188" s="167">
        <v>0</v>
      </c>
      <c r="K188" s="167">
        <v>0</v>
      </c>
      <c r="L188" s="162">
        <f t="shared" ref="L188:L200" si="55">G188-H188-I188-J188-K188</f>
        <v>0</v>
      </c>
      <c r="M188" s="162">
        <f t="shared" ref="M188:M201" si="56">H188-N188-O188</f>
        <v>0</v>
      </c>
      <c r="N188" s="162"/>
      <c r="O188" s="162">
        <v>0</v>
      </c>
      <c r="P188" s="136">
        <f t="shared" si="52"/>
        <v>0</v>
      </c>
      <c r="Q188" s="125"/>
      <c r="S188" s="125" t="s">
        <v>160</v>
      </c>
      <c r="T188" s="125" t="s">
        <v>446</v>
      </c>
      <c r="U188" s="272" t="s">
        <v>447</v>
      </c>
      <c r="V188" s="125" t="s">
        <v>24</v>
      </c>
      <c r="W188" s="125" t="s">
        <v>7</v>
      </c>
      <c r="X188" s="238">
        <f t="shared" si="53"/>
        <v>0</v>
      </c>
      <c r="Y188" s="238">
        <f t="shared" si="54"/>
        <v>0</v>
      </c>
      <c r="Z188" s="125" t="s">
        <v>113</v>
      </c>
    </row>
    <row r="189" spans="1:26" x14ac:dyDescent="0.2">
      <c r="A189" s="125"/>
      <c r="B189" s="125" t="s">
        <v>114</v>
      </c>
      <c r="C189" s="153">
        <f>990000+990000+695000</f>
        <v>2675000</v>
      </c>
      <c r="D189" s="162">
        <v>0.02</v>
      </c>
      <c r="E189" s="162"/>
      <c r="F189" s="162">
        <f>889486.9+1052436.18+89262.15+515004.4+39277.38</f>
        <v>2585467.0099999998</v>
      </c>
      <c r="G189" s="163">
        <v>89533.010000000111</v>
      </c>
      <c r="H189" s="164">
        <v>89533.01</v>
      </c>
      <c r="I189" s="162">
        <f>[5]UMB!I275</f>
        <v>0</v>
      </c>
      <c r="J189" s="167">
        <f>[5]UMB!J275</f>
        <v>0</v>
      </c>
      <c r="K189" s="167">
        <f>[5]UMB!K275</f>
        <v>0</v>
      </c>
      <c r="L189" s="162">
        <f t="shared" si="55"/>
        <v>1.1641532182693481E-10</v>
      </c>
      <c r="M189" s="162">
        <f t="shared" si="56"/>
        <v>0</v>
      </c>
      <c r="N189" s="162">
        <v>0</v>
      </c>
      <c r="O189" s="162">
        <v>89533.01</v>
      </c>
      <c r="P189" s="136">
        <f t="shared" si="52"/>
        <v>1.3096723705530167E-10</v>
      </c>
      <c r="Q189" s="125"/>
      <c r="S189" s="125" t="s">
        <v>160</v>
      </c>
      <c r="T189" s="125" t="s">
        <v>446</v>
      </c>
      <c r="U189" s="272" t="s">
        <v>447</v>
      </c>
      <c r="V189" s="125" t="s">
        <v>24</v>
      </c>
      <c r="W189" s="125" t="s">
        <v>8</v>
      </c>
      <c r="X189" s="238">
        <f t="shared" si="53"/>
        <v>89533.01</v>
      </c>
      <c r="Y189" s="238">
        <f t="shared" si="54"/>
        <v>1.1641532182693481E-10</v>
      </c>
      <c r="Z189" s="125" t="s">
        <v>114</v>
      </c>
    </row>
    <row r="190" spans="1:26" x14ac:dyDescent="0.2">
      <c r="A190" s="125"/>
      <c r="B190" s="125" t="s">
        <v>115</v>
      </c>
      <c r="C190" s="153">
        <v>642000</v>
      </c>
      <c r="D190" s="162"/>
      <c r="E190" s="162"/>
      <c r="F190" s="163">
        <f>77261+564739</f>
        <v>642000</v>
      </c>
      <c r="G190" s="163">
        <v>0</v>
      </c>
      <c r="H190" s="164">
        <v>0</v>
      </c>
      <c r="I190" s="162">
        <v>0</v>
      </c>
      <c r="J190" s="167">
        <v>0</v>
      </c>
      <c r="K190" s="167">
        <v>0</v>
      </c>
      <c r="L190" s="162">
        <f t="shared" si="55"/>
        <v>0</v>
      </c>
      <c r="M190" s="162">
        <f t="shared" si="56"/>
        <v>0</v>
      </c>
      <c r="N190" s="162">
        <v>0</v>
      </c>
      <c r="O190" s="162">
        <v>0</v>
      </c>
      <c r="P190" s="136">
        <f t="shared" si="52"/>
        <v>0</v>
      </c>
      <c r="Q190" s="125"/>
      <c r="S190" s="125" t="s">
        <v>160</v>
      </c>
      <c r="T190" s="125" t="s">
        <v>446</v>
      </c>
      <c r="U190" s="272" t="s">
        <v>447</v>
      </c>
      <c r="V190" s="125" t="s">
        <v>24</v>
      </c>
      <c r="W190" s="125" t="s">
        <v>10</v>
      </c>
      <c r="X190" s="238">
        <f t="shared" si="53"/>
        <v>0</v>
      </c>
      <c r="Y190" s="238">
        <f t="shared" si="54"/>
        <v>0</v>
      </c>
      <c r="Z190" s="125" t="s">
        <v>115</v>
      </c>
    </row>
    <row r="191" spans="1:26" x14ac:dyDescent="0.2">
      <c r="A191" s="125"/>
      <c r="B191" s="125" t="s">
        <v>116</v>
      </c>
      <c r="C191" s="153">
        <v>1452000</v>
      </c>
      <c r="D191" s="162"/>
      <c r="E191" s="162"/>
      <c r="F191" s="162">
        <f>853408.33+498591.67+100000</f>
        <v>1452000</v>
      </c>
      <c r="G191" s="163">
        <v>0</v>
      </c>
      <c r="H191" s="164">
        <v>0</v>
      </c>
      <c r="I191" s="162">
        <v>0</v>
      </c>
      <c r="J191" s="167">
        <v>0</v>
      </c>
      <c r="K191" s="167">
        <v>0</v>
      </c>
      <c r="L191" s="162">
        <f t="shared" si="55"/>
        <v>0</v>
      </c>
      <c r="M191" s="162">
        <f t="shared" si="56"/>
        <v>0</v>
      </c>
      <c r="N191" s="162">
        <v>0</v>
      </c>
      <c r="O191" s="162">
        <v>0</v>
      </c>
      <c r="P191" s="136">
        <f t="shared" si="52"/>
        <v>0</v>
      </c>
      <c r="Q191" s="125"/>
      <c r="S191" s="125" t="s">
        <v>160</v>
      </c>
      <c r="T191" s="125" t="s">
        <v>446</v>
      </c>
      <c r="U191" s="272" t="s">
        <v>447</v>
      </c>
      <c r="V191" s="125" t="s">
        <v>24</v>
      </c>
      <c r="W191" s="125" t="s">
        <v>11</v>
      </c>
      <c r="X191" s="238">
        <f t="shared" si="53"/>
        <v>0</v>
      </c>
      <c r="Y191" s="238">
        <f t="shared" si="54"/>
        <v>0</v>
      </c>
      <c r="Z191" s="125" t="s">
        <v>116</v>
      </c>
    </row>
    <row r="192" spans="1:26" x14ac:dyDescent="0.2">
      <c r="A192" s="125"/>
      <c r="B192" s="125" t="s">
        <v>117</v>
      </c>
      <c r="C192" s="153">
        <v>317000</v>
      </c>
      <c r="D192" s="162"/>
      <c r="E192" s="162"/>
      <c r="F192" s="162">
        <f>317000</f>
        <v>317000</v>
      </c>
      <c r="G192" s="163">
        <v>0</v>
      </c>
      <c r="H192" s="164">
        <v>0</v>
      </c>
      <c r="I192" s="162">
        <v>0</v>
      </c>
      <c r="J192" s="167">
        <v>0</v>
      </c>
      <c r="K192" s="167">
        <v>0</v>
      </c>
      <c r="L192" s="162">
        <f t="shared" si="55"/>
        <v>0</v>
      </c>
      <c r="M192" s="162">
        <f t="shared" si="56"/>
        <v>0</v>
      </c>
      <c r="N192" s="162">
        <v>0</v>
      </c>
      <c r="O192" s="162">
        <v>0</v>
      </c>
      <c r="P192" s="136">
        <f t="shared" si="52"/>
        <v>0</v>
      </c>
      <c r="Q192" s="125"/>
      <c r="S192" s="125" t="s">
        <v>160</v>
      </c>
      <c r="T192" s="125" t="s">
        <v>446</v>
      </c>
      <c r="U192" s="272" t="s">
        <v>447</v>
      </c>
      <c r="V192" s="125" t="s">
        <v>24</v>
      </c>
      <c r="W192" s="125" t="s">
        <v>12</v>
      </c>
      <c r="X192" s="238">
        <f t="shared" si="53"/>
        <v>0</v>
      </c>
      <c r="Y192" s="238">
        <f t="shared" si="54"/>
        <v>0</v>
      </c>
      <c r="Z192" s="125" t="s">
        <v>117</v>
      </c>
    </row>
    <row r="193" spans="1:26" x14ac:dyDescent="0.2">
      <c r="A193" s="125"/>
      <c r="B193" s="125" t="s">
        <v>118</v>
      </c>
      <c r="C193" s="153">
        <f>154000+400000</f>
        <v>554000</v>
      </c>
      <c r="D193" s="162"/>
      <c r="E193" s="162"/>
      <c r="F193" s="162">
        <f>182583.42+275528.65+49660.29+12202.63+34025.01</f>
        <v>554000</v>
      </c>
      <c r="G193" s="163">
        <v>0</v>
      </c>
      <c r="H193" s="164">
        <v>0</v>
      </c>
      <c r="I193" s="162">
        <v>0</v>
      </c>
      <c r="J193" s="167">
        <v>0</v>
      </c>
      <c r="K193" s="167">
        <v>0</v>
      </c>
      <c r="L193" s="162">
        <f t="shared" si="55"/>
        <v>0</v>
      </c>
      <c r="M193" s="162">
        <f t="shared" si="56"/>
        <v>0</v>
      </c>
      <c r="N193" s="162">
        <v>0</v>
      </c>
      <c r="O193" s="162">
        <v>0</v>
      </c>
      <c r="P193" s="136">
        <f t="shared" si="52"/>
        <v>0</v>
      </c>
      <c r="Q193" s="125"/>
      <c r="S193" s="125" t="s">
        <v>160</v>
      </c>
      <c r="T193" s="125" t="s">
        <v>446</v>
      </c>
      <c r="U193" s="272" t="s">
        <v>447</v>
      </c>
      <c r="V193" s="125" t="s">
        <v>24</v>
      </c>
      <c r="W193" s="125" t="s">
        <v>13</v>
      </c>
      <c r="X193" s="238">
        <f t="shared" si="53"/>
        <v>0</v>
      </c>
      <c r="Y193" s="238">
        <f t="shared" si="54"/>
        <v>0</v>
      </c>
      <c r="Z193" s="125" t="s">
        <v>118</v>
      </c>
    </row>
    <row r="194" spans="1:26" x14ac:dyDescent="0.2">
      <c r="A194" s="125"/>
      <c r="B194" s="125" t="s">
        <v>119</v>
      </c>
      <c r="C194" s="153">
        <f>284000+125000</f>
        <v>409000</v>
      </c>
      <c r="D194" s="162"/>
      <c r="E194" s="162"/>
      <c r="F194" s="163">
        <f>349767.69+59232.31</f>
        <v>409000</v>
      </c>
      <c r="G194" s="163">
        <v>0</v>
      </c>
      <c r="H194" s="164">
        <v>0</v>
      </c>
      <c r="I194" s="162">
        <v>0</v>
      </c>
      <c r="J194" s="167">
        <v>0</v>
      </c>
      <c r="K194" s="167">
        <v>0</v>
      </c>
      <c r="L194" s="162">
        <f t="shared" si="55"/>
        <v>0</v>
      </c>
      <c r="M194" s="162">
        <f t="shared" si="56"/>
        <v>0</v>
      </c>
      <c r="N194" s="162">
        <v>0</v>
      </c>
      <c r="O194" s="162">
        <v>0</v>
      </c>
      <c r="P194" s="136">
        <f t="shared" si="52"/>
        <v>0</v>
      </c>
      <c r="Q194" s="125"/>
      <c r="S194" s="125" t="s">
        <v>160</v>
      </c>
      <c r="T194" s="125" t="s">
        <v>446</v>
      </c>
      <c r="U194" s="272" t="s">
        <v>447</v>
      </c>
      <c r="V194" s="125" t="s">
        <v>24</v>
      </c>
      <c r="W194" s="125" t="s">
        <v>14</v>
      </c>
      <c r="X194" s="238">
        <f t="shared" si="53"/>
        <v>0</v>
      </c>
      <c r="Y194" s="238">
        <f t="shared" si="54"/>
        <v>0</v>
      </c>
      <c r="Z194" s="125" t="s">
        <v>119</v>
      </c>
    </row>
    <row r="195" spans="1:26" x14ac:dyDescent="0.2">
      <c r="A195" s="125"/>
      <c r="B195" s="125" t="s">
        <v>120</v>
      </c>
      <c r="C195" s="153">
        <f>495000+150000</f>
        <v>645000</v>
      </c>
      <c r="D195" s="162"/>
      <c r="E195" s="162"/>
      <c r="F195" s="163">
        <f>218980.88+67737+325356.07+23047.08</f>
        <v>635121.02999999991</v>
      </c>
      <c r="G195" s="163">
        <v>9878.9700000000448</v>
      </c>
      <c r="H195" s="164">
        <v>9878.9699999999993</v>
      </c>
      <c r="I195" s="162">
        <f>[5]FSU!I166</f>
        <v>0</v>
      </c>
      <c r="J195" s="167">
        <f>[5]FSU!J166</f>
        <v>0</v>
      </c>
      <c r="K195" s="167">
        <f>[5]FSU!K166</f>
        <v>0</v>
      </c>
      <c r="L195" s="162">
        <f t="shared" si="55"/>
        <v>4.5474735088646412E-11</v>
      </c>
      <c r="M195" s="162">
        <f t="shared" si="56"/>
        <v>0</v>
      </c>
      <c r="N195" s="162">
        <v>0</v>
      </c>
      <c r="O195" s="162">
        <v>9878.9699999999993</v>
      </c>
      <c r="P195" s="136">
        <f t="shared" si="52"/>
        <v>4.3655745685100555E-11</v>
      </c>
      <c r="Q195" s="125"/>
      <c r="S195" s="125" t="s">
        <v>160</v>
      </c>
      <c r="T195" s="125" t="s">
        <v>446</v>
      </c>
      <c r="U195" s="272" t="s">
        <v>447</v>
      </c>
      <c r="V195" s="125" t="s">
        <v>24</v>
      </c>
      <c r="W195" s="125" t="s">
        <v>15</v>
      </c>
      <c r="X195" s="238">
        <f t="shared" si="53"/>
        <v>9878.9699999999993</v>
      </c>
      <c r="Y195" s="238">
        <f t="shared" si="54"/>
        <v>4.5474735088646412E-11</v>
      </c>
      <c r="Z195" s="125" t="s">
        <v>120</v>
      </c>
    </row>
    <row r="196" spans="1:26" x14ac:dyDescent="0.2">
      <c r="A196" s="125"/>
      <c r="B196" s="125" t="s">
        <v>137</v>
      </c>
      <c r="C196" s="153">
        <f>100000+236000+200000</f>
        <v>536000</v>
      </c>
      <c r="D196" s="162">
        <v>0.03</v>
      </c>
      <c r="E196" s="162"/>
      <c r="F196" s="162">
        <f>51450.65+149768.64+281527.91+41350.19+11902.64</f>
        <v>536000.02999999991</v>
      </c>
      <c r="G196" s="163">
        <v>0</v>
      </c>
      <c r="H196" s="164">
        <v>0</v>
      </c>
      <c r="I196" s="162">
        <v>0</v>
      </c>
      <c r="J196" s="167">
        <v>0</v>
      </c>
      <c r="K196" s="167">
        <v>0</v>
      </c>
      <c r="L196" s="162">
        <f t="shared" si="55"/>
        <v>0</v>
      </c>
      <c r="M196" s="162">
        <f t="shared" si="56"/>
        <v>0</v>
      </c>
      <c r="N196" s="162"/>
      <c r="O196" s="162">
        <v>0</v>
      </c>
      <c r="P196" s="136">
        <f t="shared" si="52"/>
        <v>1.1641532182693481E-10</v>
      </c>
      <c r="Q196" s="125"/>
      <c r="S196" s="125" t="s">
        <v>160</v>
      </c>
      <c r="T196" s="125" t="s">
        <v>446</v>
      </c>
      <c r="U196" s="272" t="s">
        <v>447</v>
      </c>
      <c r="V196" s="125" t="s">
        <v>24</v>
      </c>
      <c r="W196" s="125" t="s">
        <v>16</v>
      </c>
      <c r="X196" s="238">
        <f t="shared" si="53"/>
        <v>0</v>
      </c>
      <c r="Y196" s="238">
        <f t="shared" si="54"/>
        <v>0</v>
      </c>
      <c r="Z196" s="125" t="s">
        <v>137</v>
      </c>
    </row>
    <row r="197" spans="1:26" x14ac:dyDescent="0.2">
      <c r="A197" s="125"/>
      <c r="B197" s="125" t="s">
        <v>122</v>
      </c>
      <c r="C197" s="153">
        <f>900000+250000+439000</f>
        <v>1589000</v>
      </c>
      <c r="D197" s="162"/>
      <c r="E197" s="162"/>
      <c r="F197" s="162">
        <f>621656.31+967343.69</f>
        <v>1589000</v>
      </c>
      <c r="G197" s="163">
        <v>0</v>
      </c>
      <c r="H197" s="164">
        <v>0</v>
      </c>
      <c r="I197" s="162">
        <f>[5]TU!I208+[5]TU!I215+[5]TU!I221</f>
        <v>0</v>
      </c>
      <c r="J197" s="167">
        <f>[5]TU!J208+[5]TU!J215+[5]TU!J221</f>
        <v>0</v>
      </c>
      <c r="K197" s="167">
        <f>[5]TU!K208+[5]TU!K215+[5]TU!K221</f>
        <v>0</v>
      </c>
      <c r="L197" s="162">
        <f t="shared" si="55"/>
        <v>0</v>
      </c>
      <c r="M197" s="162">
        <f t="shared" si="56"/>
        <v>0</v>
      </c>
      <c r="N197" s="162">
        <v>0</v>
      </c>
      <c r="O197" s="162">
        <v>0</v>
      </c>
      <c r="P197" s="136">
        <f t="shared" si="52"/>
        <v>0</v>
      </c>
      <c r="Q197" s="125"/>
      <c r="S197" s="125" t="s">
        <v>160</v>
      </c>
      <c r="T197" s="125" t="s">
        <v>446</v>
      </c>
      <c r="U197" s="272" t="s">
        <v>447</v>
      </c>
      <c r="V197" s="125" t="s">
        <v>24</v>
      </c>
      <c r="W197" s="125" t="s">
        <v>17</v>
      </c>
      <c r="X197" s="238">
        <f t="shared" si="53"/>
        <v>0</v>
      </c>
      <c r="Y197" s="238">
        <f t="shared" si="54"/>
        <v>0</v>
      </c>
      <c r="Z197" s="125" t="s">
        <v>122</v>
      </c>
    </row>
    <row r="198" spans="1:26" x14ac:dyDescent="0.2">
      <c r="A198" s="125"/>
      <c r="B198" s="125" t="s">
        <v>123</v>
      </c>
      <c r="C198" s="153">
        <v>418000</v>
      </c>
      <c r="D198" s="162"/>
      <c r="E198" s="162"/>
      <c r="F198" s="162">
        <f>17749.93+363435.12+18289.79+18525.16</f>
        <v>417999.99999999994</v>
      </c>
      <c r="G198" s="163">
        <v>0</v>
      </c>
      <c r="H198" s="164">
        <v>0</v>
      </c>
      <c r="I198" s="162">
        <f>[5]UBalt!I148</f>
        <v>0</v>
      </c>
      <c r="J198" s="167">
        <f>[5]UBalt!J148</f>
        <v>0</v>
      </c>
      <c r="K198" s="167">
        <f>[5]UBalt!K148</f>
        <v>0</v>
      </c>
      <c r="L198" s="162">
        <f t="shared" si="55"/>
        <v>0</v>
      </c>
      <c r="M198" s="162">
        <f t="shared" si="56"/>
        <v>0</v>
      </c>
      <c r="N198" s="162"/>
      <c r="O198" s="162">
        <v>0</v>
      </c>
      <c r="P198" s="136">
        <f t="shared" si="52"/>
        <v>5.8207660913467407E-11</v>
      </c>
      <c r="Q198" s="125"/>
      <c r="S198" s="125" t="s">
        <v>160</v>
      </c>
      <c r="T198" s="125" t="s">
        <v>446</v>
      </c>
      <c r="U198" s="272" t="s">
        <v>447</v>
      </c>
      <c r="V198" s="125" t="s">
        <v>24</v>
      </c>
      <c r="W198" s="125" t="s">
        <v>18</v>
      </c>
      <c r="X198" s="238">
        <f t="shared" si="53"/>
        <v>0</v>
      </c>
      <c r="Y198" s="238">
        <f t="shared" si="54"/>
        <v>0</v>
      </c>
      <c r="Z198" s="125" t="s">
        <v>123</v>
      </c>
    </row>
    <row r="199" spans="1:26" x14ac:dyDescent="0.2">
      <c r="A199" s="125"/>
      <c r="B199" s="165" t="s">
        <v>127</v>
      </c>
      <c r="C199" s="153">
        <v>463000</v>
      </c>
      <c r="D199" s="135"/>
      <c r="E199" s="162">
        <f>82000+829190.54+288809.46-100000-1200000-250000-113000</f>
        <v>-463000</v>
      </c>
      <c r="F199" s="167"/>
      <c r="G199" s="163">
        <v>0</v>
      </c>
      <c r="H199" s="164"/>
      <c r="I199" s="162"/>
      <c r="J199" s="167"/>
      <c r="K199" s="167"/>
      <c r="L199" s="162"/>
      <c r="M199" s="162">
        <f t="shared" si="56"/>
        <v>0</v>
      </c>
      <c r="N199" s="162"/>
      <c r="O199" s="162"/>
      <c r="P199" s="136">
        <f t="shared" si="52"/>
        <v>0</v>
      </c>
      <c r="Q199" s="125"/>
      <c r="S199" s="125" t="s">
        <v>160</v>
      </c>
      <c r="T199" s="125" t="s">
        <v>446</v>
      </c>
      <c r="U199" s="272" t="s">
        <v>447</v>
      </c>
      <c r="V199" s="125" t="s">
        <v>24</v>
      </c>
      <c r="W199" s="165" t="s">
        <v>32</v>
      </c>
      <c r="X199" s="238">
        <f t="shared" si="53"/>
        <v>0</v>
      </c>
      <c r="Y199" s="238">
        <f t="shared" si="54"/>
        <v>0</v>
      </c>
      <c r="Z199" s="165" t="s">
        <v>127</v>
      </c>
    </row>
    <row r="200" spans="1:26" x14ac:dyDescent="0.2">
      <c r="A200" s="125"/>
      <c r="B200" s="125" t="s">
        <v>177</v>
      </c>
      <c r="C200" s="166"/>
      <c r="D200" s="135"/>
      <c r="E200" s="167">
        <f>100000+1200000</f>
        <v>1300000</v>
      </c>
      <c r="F200" s="162">
        <f>610722.96+220997.45+425919.2+42360.39</f>
        <v>1299999.9999999998</v>
      </c>
      <c r="G200" s="163">
        <v>0</v>
      </c>
      <c r="H200" s="164">
        <v>0</v>
      </c>
      <c r="I200" s="162">
        <v>0</v>
      </c>
      <c r="J200" s="167">
        <v>0</v>
      </c>
      <c r="K200" s="167">
        <v>0</v>
      </c>
      <c r="L200" s="162">
        <f t="shared" si="55"/>
        <v>0</v>
      </c>
      <c r="M200" s="162">
        <f t="shared" si="56"/>
        <v>0</v>
      </c>
      <c r="N200" s="162"/>
      <c r="O200" s="162">
        <v>0</v>
      </c>
      <c r="P200" s="136">
        <f t="shared" si="52"/>
        <v>2.3283064365386963E-10</v>
      </c>
      <c r="Q200" s="125"/>
      <c r="S200" s="125" t="s">
        <v>160</v>
      </c>
      <c r="T200" s="125" t="s">
        <v>446</v>
      </c>
      <c r="U200" s="272" t="s">
        <v>447</v>
      </c>
      <c r="V200" s="125" t="s">
        <v>24</v>
      </c>
      <c r="W200" s="125" t="s">
        <v>14</v>
      </c>
      <c r="X200" s="238">
        <f t="shared" si="53"/>
        <v>0</v>
      </c>
      <c r="Y200" s="238">
        <f t="shared" si="54"/>
        <v>0</v>
      </c>
      <c r="Z200" s="125" t="s">
        <v>177</v>
      </c>
    </row>
    <row r="201" spans="1:26" x14ac:dyDescent="0.2">
      <c r="A201" s="125"/>
      <c r="B201" s="125" t="s">
        <v>156</v>
      </c>
      <c r="C201" s="166"/>
      <c r="D201" s="135"/>
      <c r="E201" s="167">
        <v>250000</v>
      </c>
      <c r="F201" s="162">
        <f>65573.85+184426.15</f>
        <v>250000</v>
      </c>
      <c r="G201" s="163">
        <v>0</v>
      </c>
      <c r="H201" s="164">
        <v>0</v>
      </c>
      <c r="I201" s="162"/>
      <c r="J201" s="167"/>
      <c r="K201" s="167">
        <f>'[5]USM &amp; COI'!K84</f>
        <v>0</v>
      </c>
      <c r="L201" s="162">
        <f>G201-H201-I201-J201-K201</f>
        <v>0</v>
      </c>
      <c r="M201" s="162">
        <f t="shared" si="56"/>
        <v>0</v>
      </c>
      <c r="N201" s="162"/>
      <c r="O201" s="162">
        <v>0</v>
      </c>
      <c r="P201" s="136">
        <f t="shared" si="52"/>
        <v>0</v>
      </c>
      <c r="Q201" s="125"/>
      <c r="S201" s="125" t="s">
        <v>160</v>
      </c>
      <c r="T201" s="125" t="s">
        <v>446</v>
      </c>
      <c r="U201" s="272" t="s">
        <v>447</v>
      </c>
      <c r="V201" s="125" t="s">
        <v>24</v>
      </c>
      <c r="W201" s="125" t="s">
        <v>448</v>
      </c>
      <c r="X201" s="238">
        <f t="shared" si="53"/>
        <v>0</v>
      </c>
      <c r="Y201" s="238">
        <f t="shared" si="54"/>
        <v>0</v>
      </c>
      <c r="Z201" s="125" t="s">
        <v>156</v>
      </c>
    </row>
    <row r="202" spans="1:26" x14ac:dyDescent="0.2">
      <c r="A202" s="125"/>
      <c r="B202" s="125"/>
      <c r="C202" s="153"/>
      <c r="D202" s="154"/>
      <c r="E202" s="154"/>
      <c r="F202" s="162"/>
      <c r="G202" s="156"/>
      <c r="H202" s="157"/>
      <c r="I202" s="154"/>
      <c r="J202" s="158"/>
      <c r="K202" s="158"/>
      <c r="L202" s="154"/>
      <c r="M202" s="154"/>
      <c r="N202" s="154"/>
      <c r="O202" s="154"/>
      <c r="P202" s="125"/>
      <c r="Q202" s="125"/>
    </row>
    <row r="203" spans="1:26" ht="13.5" thickBot="1" x14ac:dyDescent="0.25">
      <c r="A203" s="125"/>
      <c r="B203" s="168" t="s">
        <v>178</v>
      </c>
      <c r="C203" s="169">
        <f t="shared" ref="C203:O203" si="57">SUM(C184:C202)</f>
        <v>54500000</v>
      </c>
      <c r="D203" s="169">
        <f t="shared" si="57"/>
        <v>0.05</v>
      </c>
      <c r="E203" s="169">
        <f t="shared" si="57"/>
        <v>1087000</v>
      </c>
      <c r="F203" s="192">
        <f t="shared" si="57"/>
        <v>55487588.07</v>
      </c>
      <c r="G203" s="169">
        <f t="shared" si="57"/>
        <v>99411.980000000156</v>
      </c>
      <c r="H203" s="193">
        <f t="shared" si="57"/>
        <v>99411.98</v>
      </c>
      <c r="I203" s="169">
        <f t="shared" si="57"/>
        <v>0</v>
      </c>
      <c r="J203" s="169">
        <f t="shared" si="57"/>
        <v>0</v>
      </c>
      <c r="K203" s="169">
        <f t="shared" si="57"/>
        <v>0</v>
      </c>
      <c r="L203" s="169">
        <f t="shared" si="57"/>
        <v>1.6189005691558123E-10</v>
      </c>
      <c r="M203" s="169">
        <f t="shared" si="57"/>
        <v>0</v>
      </c>
      <c r="N203" s="169">
        <f t="shared" si="57"/>
        <v>0</v>
      </c>
      <c r="O203" s="169">
        <f t="shared" si="57"/>
        <v>99411.98</v>
      </c>
      <c r="P203" s="136">
        <f>C203+D203+E203-F203-G203</f>
        <v>-3.434251993894577E-9</v>
      </c>
      <c r="Q203" s="125"/>
      <c r="W203" s="165"/>
      <c r="X203" s="125"/>
      <c r="Y203" s="125"/>
    </row>
    <row r="204" spans="1:26" ht="13.5" thickTop="1" x14ac:dyDescent="0.2">
      <c r="A204" s="125"/>
      <c r="B204" s="125"/>
      <c r="C204" s="153"/>
      <c r="D204" s="154"/>
      <c r="E204" s="154"/>
      <c r="F204" s="191"/>
      <c r="G204" s="156"/>
      <c r="H204" s="157"/>
      <c r="I204" s="154"/>
      <c r="J204" s="158"/>
      <c r="K204" s="158"/>
      <c r="L204" s="154"/>
      <c r="M204" s="154"/>
      <c r="N204" s="154"/>
      <c r="O204" s="154"/>
      <c r="P204" s="125"/>
      <c r="Q204" s="125"/>
    </row>
    <row r="205" spans="1:26" x14ac:dyDescent="0.2">
      <c r="A205" s="165" t="s">
        <v>109</v>
      </c>
      <c r="B205" s="125"/>
      <c r="C205" s="153"/>
      <c r="D205" s="154"/>
      <c r="E205" s="154"/>
      <c r="F205" s="162"/>
      <c r="G205" s="156"/>
      <c r="H205" s="157"/>
      <c r="I205" s="156"/>
      <c r="J205" s="156"/>
      <c r="K205" s="156"/>
      <c r="L205" s="154"/>
      <c r="M205" s="154"/>
      <c r="N205" s="154"/>
      <c r="O205" s="154"/>
      <c r="P205" s="125"/>
      <c r="Q205" s="125"/>
    </row>
    <row r="206" spans="1:26" x14ac:dyDescent="0.2">
      <c r="A206" s="125"/>
      <c r="B206" s="125" t="s">
        <v>179</v>
      </c>
      <c r="C206" s="153">
        <v>5000000</v>
      </c>
      <c r="D206" s="154"/>
      <c r="E206" s="154"/>
      <c r="F206" s="162">
        <f>2386505.39+1680899.39+112315.64+37609.43+444747.89+15591.94+322330.32</f>
        <v>5000000.0000000009</v>
      </c>
      <c r="G206" s="172">
        <v>0</v>
      </c>
      <c r="H206" s="173">
        <v>0</v>
      </c>
      <c r="I206" s="172">
        <f>[5]UMCP!I316</f>
        <v>0</v>
      </c>
      <c r="J206" s="172">
        <f>[5]UMCP!J316</f>
        <v>0</v>
      </c>
      <c r="K206" s="172">
        <f>[5]UMCP!K316</f>
        <v>0</v>
      </c>
      <c r="L206" s="162">
        <f>G206-H206-I206-J206-K206</f>
        <v>0</v>
      </c>
      <c r="M206" s="162"/>
      <c r="N206" s="162"/>
      <c r="O206" s="162">
        <f>H204+K204</f>
        <v>0</v>
      </c>
      <c r="P206" s="125"/>
      <c r="Q206" s="125"/>
      <c r="W206" s="125" t="s">
        <v>7</v>
      </c>
      <c r="Z206" s="125" t="s">
        <v>179</v>
      </c>
    </row>
    <row r="207" spans="1:26" x14ac:dyDescent="0.2">
      <c r="A207" s="125"/>
      <c r="B207" s="125" t="s">
        <v>180</v>
      </c>
      <c r="C207" s="153">
        <v>10000000</v>
      </c>
      <c r="D207" s="154"/>
      <c r="E207" s="154"/>
      <c r="F207" s="162">
        <f>202050.59+8360021.99+258271.37+1179656.05</f>
        <v>10000000</v>
      </c>
      <c r="G207" s="172">
        <v>0</v>
      </c>
      <c r="H207" s="173">
        <v>0</v>
      </c>
      <c r="I207" s="172">
        <v>0</v>
      </c>
      <c r="J207" s="172">
        <v>0</v>
      </c>
      <c r="K207" s="172">
        <v>0</v>
      </c>
      <c r="L207" s="162">
        <f>G207-H207-I207-J207-K207</f>
        <v>0</v>
      </c>
      <c r="M207" s="162"/>
      <c r="N207" s="162"/>
      <c r="O207" s="162">
        <f>H205+K205</f>
        <v>0</v>
      </c>
      <c r="P207" s="125"/>
      <c r="Q207" s="125"/>
      <c r="W207" s="125" t="s">
        <v>7</v>
      </c>
      <c r="Z207" s="125" t="s">
        <v>180</v>
      </c>
    </row>
    <row r="208" spans="1:26" x14ac:dyDescent="0.2">
      <c r="A208" s="125"/>
      <c r="B208" s="165" t="s">
        <v>112</v>
      </c>
      <c r="C208" s="153"/>
      <c r="D208" s="154"/>
      <c r="E208" s="154"/>
      <c r="F208" s="162"/>
      <c r="G208" s="156"/>
      <c r="H208" s="157"/>
      <c r="I208" s="156"/>
      <c r="J208" s="156"/>
      <c r="K208" s="156"/>
      <c r="L208" s="162"/>
      <c r="M208" s="162"/>
      <c r="N208" s="162"/>
      <c r="O208" s="162"/>
      <c r="P208" s="125"/>
      <c r="Q208" s="125"/>
      <c r="W208" s="165"/>
      <c r="Z208" s="165"/>
    </row>
    <row r="209" spans="1:26" x14ac:dyDescent="0.2">
      <c r="A209" s="125"/>
      <c r="B209" s="125" t="s">
        <v>113</v>
      </c>
      <c r="C209" s="162">
        <v>7300000</v>
      </c>
      <c r="D209" s="162"/>
      <c r="E209" s="154"/>
      <c r="F209" s="162">
        <f>7300000</f>
        <v>7300000</v>
      </c>
      <c r="G209" s="163">
        <v>0</v>
      </c>
      <c r="H209" s="164">
        <v>0</v>
      </c>
      <c r="I209" s="163">
        <v>0</v>
      </c>
      <c r="J209" s="163">
        <v>0</v>
      </c>
      <c r="K209" s="163">
        <v>0</v>
      </c>
      <c r="L209" s="162">
        <f t="shared" ref="L209:L222" si="58">G209-H209-I209-J209-K209</f>
        <v>0</v>
      </c>
      <c r="M209" s="162"/>
      <c r="N209" s="162"/>
      <c r="O209" s="162">
        <f>H207+K207</f>
        <v>0</v>
      </c>
      <c r="P209" s="125"/>
      <c r="Q209" s="125"/>
      <c r="W209" s="125" t="s">
        <v>7</v>
      </c>
      <c r="X209" s="238">
        <f t="shared" ref="X209:X223" si="59">H209</f>
        <v>0</v>
      </c>
      <c r="Y209" s="238">
        <f t="shared" ref="Y209:Y223" si="60">L209</f>
        <v>0</v>
      </c>
      <c r="Z209" s="125" t="s">
        <v>113</v>
      </c>
    </row>
    <row r="210" spans="1:26" x14ac:dyDescent="0.2">
      <c r="A210" s="125"/>
      <c r="B210" s="125" t="s">
        <v>114</v>
      </c>
      <c r="C210" s="162">
        <f>990000+990000+695000</f>
        <v>2675000</v>
      </c>
      <c r="D210" s="162"/>
      <c r="E210" s="154"/>
      <c r="F210" s="162">
        <f>17183.71+229661+131826.35+690398.91+1500831.83+2485+49881.91+26243.19+10483.21</f>
        <v>2658995.11</v>
      </c>
      <c r="G210" s="163">
        <v>16004.889999999719</v>
      </c>
      <c r="H210" s="164">
        <v>16004.89</v>
      </c>
      <c r="I210" s="163">
        <f>[5]UMB!I295</f>
        <v>0</v>
      </c>
      <c r="J210" s="163">
        <f>[5]UMB!J295</f>
        <v>0</v>
      </c>
      <c r="K210" s="163">
        <f>[5]UMB!K295</f>
        <v>0</v>
      </c>
      <c r="L210" s="162">
        <f t="shared" si="58"/>
        <v>-2.801243681460619E-10</v>
      </c>
      <c r="M210" s="162">
        <f t="shared" ref="M210:M219" si="61">H210-N210-O210</f>
        <v>0</v>
      </c>
      <c r="N210" s="162">
        <v>0</v>
      </c>
      <c r="O210" s="162">
        <v>16004.89</v>
      </c>
      <c r="P210" s="136">
        <f t="shared" ref="P210:P219" si="62">C210+D210+E210-F210-G210</f>
        <v>4.1109160520136356E-10</v>
      </c>
      <c r="Q210" s="125"/>
      <c r="S210" s="125" t="s">
        <v>160</v>
      </c>
      <c r="T210" s="125" t="s">
        <v>446</v>
      </c>
      <c r="U210" s="272" t="s">
        <v>447</v>
      </c>
      <c r="V210" s="125" t="s">
        <v>457</v>
      </c>
      <c r="W210" s="125" t="s">
        <v>8</v>
      </c>
      <c r="X210" s="238">
        <f t="shared" si="59"/>
        <v>16004.89</v>
      </c>
      <c r="Y210" s="238">
        <f t="shared" si="60"/>
        <v>-2.801243681460619E-10</v>
      </c>
      <c r="Z210" s="125" t="s">
        <v>114</v>
      </c>
    </row>
    <row r="211" spans="1:26" x14ac:dyDescent="0.2">
      <c r="A211" s="125"/>
      <c r="B211" s="125" t="s">
        <v>115</v>
      </c>
      <c r="C211" s="162">
        <v>642000</v>
      </c>
      <c r="D211" s="126"/>
      <c r="E211" s="162">
        <v>-569.73</v>
      </c>
      <c r="F211" s="162">
        <f>641430.27</f>
        <v>641430.27</v>
      </c>
      <c r="G211" s="163">
        <v>-1.8644641386345029E-11</v>
      </c>
      <c r="H211" s="164">
        <v>0</v>
      </c>
      <c r="I211" s="163">
        <f>[5]UMES!I143</f>
        <v>0</v>
      </c>
      <c r="J211" s="163">
        <f>[5]UMES!J143</f>
        <v>0</v>
      </c>
      <c r="K211" s="163">
        <f>[5]UMES!K143</f>
        <v>0</v>
      </c>
      <c r="L211" s="162">
        <f t="shared" si="58"/>
        <v>-1.8644641386345029E-11</v>
      </c>
      <c r="M211" s="162">
        <f t="shared" si="61"/>
        <v>0</v>
      </c>
      <c r="N211" s="162">
        <v>0</v>
      </c>
      <c r="O211" s="162">
        <v>0</v>
      </c>
      <c r="P211" s="136">
        <f t="shared" si="62"/>
        <v>1.8644641386345029E-11</v>
      </c>
      <c r="Q211" s="125"/>
      <c r="S211" s="125" t="s">
        <v>160</v>
      </c>
      <c r="T211" s="125" t="s">
        <v>446</v>
      </c>
      <c r="U211" s="272" t="s">
        <v>447</v>
      </c>
      <c r="V211" s="125" t="s">
        <v>457</v>
      </c>
      <c r="W211" s="125" t="s">
        <v>10</v>
      </c>
      <c r="X211" s="238">
        <f t="shared" si="59"/>
        <v>0</v>
      </c>
      <c r="Y211" s="238">
        <f t="shared" si="60"/>
        <v>-1.8644641386345029E-11</v>
      </c>
      <c r="Z211" s="125" t="s">
        <v>115</v>
      </c>
    </row>
    <row r="212" spans="1:26" x14ac:dyDescent="0.2">
      <c r="A212" s="125"/>
      <c r="B212" s="125" t="s">
        <v>116</v>
      </c>
      <c r="C212" s="162">
        <v>1452000</v>
      </c>
      <c r="D212" s="162"/>
      <c r="E212" s="154"/>
      <c r="F212" s="162">
        <f>1352000+100000</f>
        <v>1452000</v>
      </c>
      <c r="G212" s="163">
        <v>0</v>
      </c>
      <c r="H212" s="164">
        <v>0</v>
      </c>
      <c r="I212" s="163">
        <v>0</v>
      </c>
      <c r="J212" s="163">
        <v>0</v>
      </c>
      <c r="K212" s="163">
        <v>0</v>
      </c>
      <c r="L212" s="162">
        <f t="shared" si="58"/>
        <v>0</v>
      </c>
      <c r="M212" s="162">
        <f t="shared" si="61"/>
        <v>0</v>
      </c>
      <c r="N212" s="162">
        <v>0</v>
      </c>
      <c r="O212" s="162">
        <v>0</v>
      </c>
      <c r="P212" s="136">
        <f t="shared" si="62"/>
        <v>0</v>
      </c>
      <c r="Q212" s="125"/>
      <c r="S212" s="125" t="s">
        <v>160</v>
      </c>
      <c r="T212" s="125" t="s">
        <v>446</v>
      </c>
      <c r="U212" s="272" t="s">
        <v>447</v>
      </c>
      <c r="V212" s="125" t="s">
        <v>457</v>
      </c>
      <c r="W212" s="125" t="s">
        <v>11</v>
      </c>
      <c r="X212" s="238">
        <f t="shared" si="59"/>
        <v>0</v>
      </c>
      <c r="Y212" s="238">
        <f t="shared" si="60"/>
        <v>0</v>
      </c>
      <c r="Z212" s="125" t="s">
        <v>116</v>
      </c>
    </row>
    <row r="213" spans="1:26" x14ac:dyDescent="0.2">
      <c r="A213" s="125"/>
      <c r="B213" s="125" t="s">
        <v>117</v>
      </c>
      <c r="C213" s="162">
        <v>317000</v>
      </c>
      <c r="D213" s="162"/>
      <c r="E213" s="154"/>
      <c r="F213" s="163">
        <f>188967.76+128032.24</f>
        <v>317000</v>
      </c>
      <c r="G213" s="163">
        <v>0</v>
      </c>
      <c r="H213" s="164">
        <v>0</v>
      </c>
      <c r="I213" s="163">
        <v>0</v>
      </c>
      <c r="J213" s="163">
        <v>0</v>
      </c>
      <c r="K213" s="163">
        <v>0</v>
      </c>
      <c r="L213" s="162">
        <f t="shared" si="58"/>
        <v>0</v>
      </c>
      <c r="M213" s="162">
        <f t="shared" si="61"/>
        <v>0</v>
      </c>
      <c r="N213" s="162">
        <v>0</v>
      </c>
      <c r="O213" s="162">
        <v>0</v>
      </c>
      <c r="P213" s="136">
        <f t="shared" si="62"/>
        <v>0</v>
      </c>
      <c r="Q213" s="125"/>
      <c r="S213" s="125" t="s">
        <v>160</v>
      </c>
      <c r="T213" s="125" t="s">
        <v>446</v>
      </c>
      <c r="U213" s="272" t="s">
        <v>447</v>
      </c>
      <c r="V213" s="125" t="s">
        <v>457</v>
      </c>
      <c r="W213" s="125" t="s">
        <v>12</v>
      </c>
      <c r="X213" s="238">
        <f t="shared" si="59"/>
        <v>0</v>
      </c>
      <c r="Y213" s="238">
        <f t="shared" si="60"/>
        <v>0</v>
      </c>
      <c r="Z213" s="125" t="s">
        <v>117</v>
      </c>
    </row>
    <row r="214" spans="1:26" x14ac:dyDescent="0.2">
      <c r="A214" s="125"/>
      <c r="B214" s="125" t="s">
        <v>118</v>
      </c>
      <c r="C214" s="162">
        <v>554000</v>
      </c>
      <c r="D214" s="162"/>
      <c r="E214" s="154"/>
      <c r="F214" s="162">
        <f>494268.28+57168.93+2562.79</f>
        <v>554000.00000000012</v>
      </c>
      <c r="G214" s="163">
        <v>0</v>
      </c>
      <c r="H214" s="164">
        <v>0</v>
      </c>
      <c r="I214" s="163">
        <v>0</v>
      </c>
      <c r="J214" s="163">
        <v>0</v>
      </c>
      <c r="K214" s="163">
        <v>0</v>
      </c>
      <c r="L214" s="162">
        <f t="shared" si="58"/>
        <v>0</v>
      </c>
      <c r="M214" s="162">
        <f t="shared" si="61"/>
        <v>0</v>
      </c>
      <c r="N214" s="162">
        <v>0</v>
      </c>
      <c r="O214" s="162">
        <v>0</v>
      </c>
      <c r="P214" s="136">
        <f t="shared" si="62"/>
        <v>-1.1641532182693481E-10</v>
      </c>
      <c r="Q214" s="125"/>
      <c r="S214" s="125" t="s">
        <v>160</v>
      </c>
      <c r="T214" s="125" t="s">
        <v>446</v>
      </c>
      <c r="U214" s="272" t="s">
        <v>447</v>
      </c>
      <c r="V214" s="125" t="s">
        <v>457</v>
      </c>
      <c r="W214" s="125" t="s">
        <v>13</v>
      </c>
      <c r="X214" s="238">
        <f t="shared" si="59"/>
        <v>0</v>
      </c>
      <c r="Y214" s="238">
        <f t="shared" si="60"/>
        <v>0</v>
      </c>
      <c r="Z214" s="125" t="s">
        <v>118</v>
      </c>
    </row>
    <row r="215" spans="1:26" x14ac:dyDescent="0.2">
      <c r="A215" s="125"/>
      <c r="B215" s="125" t="s">
        <v>119</v>
      </c>
      <c r="C215" s="162">
        <f>284000+125000</f>
        <v>409000</v>
      </c>
      <c r="D215" s="167">
        <f>8568.82+8657.18</f>
        <v>17226</v>
      </c>
      <c r="E215" s="154"/>
      <c r="F215" s="167">
        <f>333494.01+10775.25+81956.74</f>
        <v>426226</v>
      </c>
      <c r="G215" s="163">
        <v>0</v>
      </c>
      <c r="H215" s="164">
        <v>0</v>
      </c>
      <c r="I215" s="163">
        <v>0</v>
      </c>
      <c r="J215" s="163">
        <v>0</v>
      </c>
      <c r="K215" s="163">
        <v>0</v>
      </c>
      <c r="L215" s="162">
        <f t="shared" si="58"/>
        <v>0</v>
      </c>
      <c r="M215" s="162">
        <f t="shared" si="61"/>
        <v>0</v>
      </c>
      <c r="N215" s="162">
        <v>0</v>
      </c>
      <c r="O215" s="162">
        <v>0</v>
      </c>
      <c r="P215" s="136">
        <f t="shared" si="62"/>
        <v>0</v>
      </c>
      <c r="Q215" s="125"/>
      <c r="S215" s="125" t="s">
        <v>160</v>
      </c>
      <c r="T215" s="125" t="s">
        <v>446</v>
      </c>
      <c r="U215" s="272" t="s">
        <v>447</v>
      </c>
      <c r="V215" s="125" t="s">
        <v>457</v>
      </c>
      <c r="W215" s="125" t="s">
        <v>14</v>
      </c>
      <c r="X215" s="238">
        <f t="shared" si="59"/>
        <v>0</v>
      </c>
      <c r="Y215" s="238">
        <f t="shared" si="60"/>
        <v>0</v>
      </c>
      <c r="Z215" s="125" t="s">
        <v>119</v>
      </c>
    </row>
    <row r="216" spans="1:26" x14ac:dyDescent="0.2">
      <c r="A216" s="125"/>
      <c r="B216" s="125" t="s">
        <v>120</v>
      </c>
      <c r="C216" s="162">
        <f>450000+195000</f>
        <v>645000</v>
      </c>
      <c r="D216" s="162"/>
      <c r="E216" s="154"/>
      <c r="F216" s="162">
        <f>34127.16+527404.43+3750+79718.41</f>
        <v>645000.00000000012</v>
      </c>
      <c r="G216" s="163">
        <v>0</v>
      </c>
      <c r="H216" s="164">
        <v>0</v>
      </c>
      <c r="I216" s="163">
        <v>0</v>
      </c>
      <c r="J216" s="163">
        <v>0</v>
      </c>
      <c r="K216" s="163">
        <v>0</v>
      </c>
      <c r="L216" s="162">
        <f t="shared" si="58"/>
        <v>0</v>
      </c>
      <c r="M216" s="162">
        <f t="shared" si="61"/>
        <v>0</v>
      </c>
      <c r="N216" s="162">
        <v>0</v>
      </c>
      <c r="O216" s="162">
        <v>0</v>
      </c>
      <c r="P216" s="136">
        <f t="shared" si="62"/>
        <v>-1.1641532182693481E-10</v>
      </c>
      <c r="Q216" s="125"/>
      <c r="S216" s="125" t="s">
        <v>160</v>
      </c>
      <c r="T216" s="125" t="s">
        <v>446</v>
      </c>
      <c r="U216" s="272" t="s">
        <v>447</v>
      </c>
      <c r="V216" s="125" t="s">
        <v>457</v>
      </c>
      <c r="W216" s="125" t="s">
        <v>15</v>
      </c>
      <c r="X216" s="238">
        <f t="shared" si="59"/>
        <v>0</v>
      </c>
      <c r="Y216" s="238">
        <f t="shared" si="60"/>
        <v>0</v>
      </c>
      <c r="Z216" s="125" t="s">
        <v>120</v>
      </c>
    </row>
    <row r="217" spans="1:26" x14ac:dyDescent="0.2">
      <c r="A217" s="125"/>
      <c r="B217" s="125" t="s">
        <v>137</v>
      </c>
      <c r="C217" s="162">
        <f>300000+236000</f>
        <v>536000</v>
      </c>
      <c r="D217" s="162"/>
      <c r="E217" s="154"/>
      <c r="F217" s="162">
        <f>201126.68+334873.32</f>
        <v>536000</v>
      </c>
      <c r="G217" s="163">
        <v>0</v>
      </c>
      <c r="H217" s="164">
        <v>0</v>
      </c>
      <c r="I217" s="163">
        <v>0</v>
      </c>
      <c r="J217" s="163">
        <v>0</v>
      </c>
      <c r="K217" s="163">
        <v>0</v>
      </c>
      <c r="L217" s="162">
        <f t="shared" si="58"/>
        <v>0</v>
      </c>
      <c r="M217" s="162">
        <f t="shared" si="61"/>
        <v>0</v>
      </c>
      <c r="N217" s="162">
        <v>0</v>
      </c>
      <c r="O217" s="162">
        <v>0</v>
      </c>
      <c r="P217" s="136">
        <f t="shared" si="62"/>
        <v>0</v>
      </c>
      <c r="Q217" s="125"/>
      <c r="S217" s="125" t="s">
        <v>160</v>
      </c>
      <c r="T217" s="125" t="s">
        <v>446</v>
      </c>
      <c r="U217" s="272" t="s">
        <v>447</v>
      </c>
      <c r="V217" s="125" t="s">
        <v>457</v>
      </c>
      <c r="W217" s="125" t="s">
        <v>16</v>
      </c>
      <c r="X217" s="238">
        <f t="shared" si="59"/>
        <v>0</v>
      </c>
      <c r="Y217" s="238">
        <f t="shared" si="60"/>
        <v>0</v>
      </c>
      <c r="Z217" s="125" t="s">
        <v>137</v>
      </c>
    </row>
    <row r="218" spans="1:26" x14ac:dyDescent="0.2">
      <c r="A218" s="125"/>
      <c r="B218" s="125" t="s">
        <v>122</v>
      </c>
      <c r="C218" s="162">
        <f>550000+550000+489000</f>
        <v>1589000</v>
      </c>
      <c r="D218" s="162"/>
      <c r="E218" s="154"/>
      <c r="F218" s="162">
        <f>84859.81+1340943.35+53861.98+4809.95+104524.91</f>
        <v>1589000</v>
      </c>
      <c r="G218" s="163">
        <v>0</v>
      </c>
      <c r="H218" s="164">
        <v>0</v>
      </c>
      <c r="I218" s="163">
        <f>[5]TU!I229+[5]TU!I243+[5]TU!I251</f>
        <v>0</v>
      </c>
      <c r="J218" s="163">
        <f>[5]TU!J229+[5]TU!J243+[5]TU!J251</f>
        <v>0</v>
      </c>
      <c r="K218" s="163">
        <f>[5]TU!K229+[5]TU!K243+[5]TU!K251</f>
        <v>0</v>
      </c>
      <c r="L218" s="162">
        <f t="shared" si="58"/>
        <v>0</v>
      </c>
      <c r="M218" s="162">
        <f t="shared" si="61"/>
        <v>0</v>
      </c>
      <c r="N218" s="162">
        <v>0</v>
      </c>
      <c r="O218" s="162">
        <v>0</v>
      </c>
      <c r="P218" s="136">
        <f t="shared" si="62"/>
        <v>0</v>
      </c>
      <c r="Q218" s="125"/>
      <c r="S218" s="125" t="s">
        <v>160</v>
      </c>
      <c r="T218" s="125" t="s">
        <v>446</v>
      </c>
      <c r="U218" s="272" t="s">
        <v>447</v>
      </c>
      <c r="V218" s="125" t="s">
        <v>457</v>
      </c>
      <c r="W218" s="125" t="s">
        <v>17</v>
      </c>
      <c r="X218" s="238">
        <f t="shared" si="59"/>
        <v>0</v>
      </c>
      <c r="Y218" s="238">
        <f t="shared" si="60"/>
        <v>0</v>
      </c>
      <c r="Z218" s="125" t="s">
        <v>122</v>
      </c>
    </row>
    <row r="219" spans="1:26" x14ac:dyDescent="0.2">
      <c r="A219" s="125"/>
      <c r="B219" s="125" t="s">
        <v>123</v>
      </c>
      <c r="C219" s="153">
        <v>418000</v>
      </c>
      <c r="D219" s="154"/>
      <c r="E219" s="154"/>
      <c r="F219" s="162">
        <f>290213.4+1733.06+7974.04+47924.96+45244+22388.85</f>
        <v>415478.31</v>
      </c>
      <c r="G219" s="163">
        <v>2521.6900000000387</v>
      </c>
      <c r="H219" s="164">
        <v>2521.69</v>
      </c>
      <c r="I219" s="163">
        <f>[5]UBalt!I161</f>
        <v>0</v>
      </c>
      <c r="J219" s="163">
        <f>[5]UBalt!J161</f>
        <v>0</v>
      </c>
      <c r="K219" s="163">
        <f>[5]UBalt!K161</f>
        <v>0</v>
      </c>
      <c r="L219" s="162">
        <f t="shared" si="58"/>
        <v>3.865352482534945E-11</v>
      </c>
      <c r="M219" s="162">
        <f t="shared" si="61"/>
        <v>2521.69</v>
      </c>
      <c r="N219" s="162">
        <v>0</v>
      </c>
      <c r="O219" s="162">
        <v>0</v>
      </c>
      <c r="P219" s="136">
        <f t="shared" si="62"/>
        <v>-3.637978807091713E-11</v>
      </c>
      <c r="Q219" s="125"/>
      <c r="S219" s="125" t="s">
        <v>160</v>
      </c>
      <c r="T219" s="125" t="s">
        <v>446</v>
      </c>
      <c r="U219" s="272" t="s">
        <v>447</v>
      </c>
      <c r="V219" s="125" t="s">
        <v>457</v>
      </c>
      <c r="W219" s="125" t="s">
        <v>18</v>
      </c>
      <c r="X219" s="238">
        <f t="shared" si="59"/>
        <v>2521.69</v>
      </c>
      <c r="Y219" s="238">
        <f t="shared" si="60"/>
        <v>3.865352482534945E-11</v>
      </c>
      <c r="Z219" s="125" t="s">
        <v>123</v>
      </c>
    </row>
    <row r="220" spans="1:26" x14ac:dyDescent="0.2">
      <c r="A220" s="125"/>
      <c r="B220" s="165" t="s">
        <v>127</v>
      </c>
      <c r="C220" s="153">
        <v>463000</v>
      </c>
      <c r="D220" s="162"/>
      <c r="E220" s="162">
        <f>-200000-125000-100000-38000</f>
        <v>-463000</v>
      </c>
      <c r="F220" s="162"/>
      <c r="G220" s="163">
        <v>0</v>
      </c>
      <c r="H220" s="164"/>
      <c r="I220" s="163"/>
      <c r="J220" s="163"/>
      <c r="K220" s="163"/>
      <c r="L220" s="162"/>
      <c r="M220" s="162"/>
      <c r="N220" s="162"/>
      <c r="O220" s="162"/>
      <c r="P220" s="125"/>
      <c r="Q220" s="125"/>
      <c r="S220" s="125" t="s">
        <v>160</v>
      </c>
      <c r="T220" s="125" t="s">
        <v>446</v>
      </c>
      <c r="U220" s="272" t="s">
        <v>447</v>
      </c>
      <c r="V220" s="125" t="s">
        <v>457</v>
      </c>
      <c r="W220" s="165" t="s">
        <v>32</v>
      </c>
      <c r="X220" s="238">
        <f t="shared" si="59"/>
        <v>0</v>
      </c>
      <c r="Y220" s="238">
        <f t="shared" si="60"/>
        <v>0</v>
      </c>
      <c r="Z220" s="165" t="s">
        <v>127</v>
      </c>
    </row>
    <row r="221" spans="1:26" x14ac:dyDescent="0.2">
      <c r="A221" s="125"/>
      <c r="B221" s="125" t="s">
        <v>182</v>
      </c>
      <c r="C221" s="153"/>
      <c r="D221" s="162"/>
      <c r="E221" s="162">
        <v>200000</v>
      </c>
      <c r="F221" s="163">
        <f>12000+175073.75+12926.25</f>
        <v>200000</v>
      </c>
      <c r="G221" s="163">
        <v>0</v>
      </c>
      <c r="H221" s="164">
        <v>0</v>
      </c>
      <c r="I221" s="163">
        <v>0</v>
      </c>
      <c r="J221" s="163">
        <v>0</v>
      </c>
      <c r="K221" s="163">
        <v>0</v>
      </c>
      <c r="L221" s="162">
        <f t="shared" si="58"/>
        <v>0</v>
      </c>
      <c r="M221" s="162"/>
      <c r="N221" s="162"/>
      <c r="O221" s="162">
        <v>0</v>
      </c>
      <c r="P221" s="125"/>
      <c r="Q221" s="125"/>
      <c r="S221" s="125" t="s">
        <v>160</v>
      </c>
      <c r="T221" s="125" t="s">
        <v>446</v>
      </c>
      <c r="U221" s="272" t="s">
        <v>447</v>
      </c>
      <c r="V221" s="125" t="s">
        <v>457</v>
      </c>
      <c r="W221" s="125" t="s">
        <v>14</v>
      </c>
      <c r="X221" s="238">
        <f t="shared" si="59"/>
        <v>0</v>
      </c>
      <c r="Y221" s="238">
        <f t="shared" si="60"/>
        <v>0</v>
      </c>
      <c r="Z221" s="125" t="s">
        <v>182</v>
      </c>
    </row>
    <row r="222" spans="1:26" x14ac:dyDescent="0.2">
      <c r="A222" s="125"/>
      <c r="B222" s="125" t="s">
        <v>183</v>
      </c>
      <c r="C222" s="153"/>
      <c r="D222" s="162"/>
      <c r="E222" s="162">
        <v>125000</v>
      </c>
      <c r="F222" s="162">
        <f>10428.44+114387.04+184.52</f>
        <v>125000</v>
      </c>
      <c r="G222" s="163">
        <v>0</v>
      </c>
      <c r="H222" s="164">
        <v>0</v>
      </c>
      <c r="I222" s="163">
        <v>0</v>
      </c>
      <c r="J222" s="163">
        <v>0</v>
      </c>
      <c r="K222" s="163">
        <v>0</v>
      </c>
      <c r="L222" s="162">
        <f t="shared" si="58"/>
        <v>0</v>
      </c>
      <c r="M222" s="162"/>
      <c r="N222" s="162"/>
      <c r="O222" s="162">
        <v>0</v>
      </c>
      <c r="P222" s="125"/>
      <c r="Q222" s="125"/>
      <c r="S222" s="125" t="s">
        <v>160</v>
      </c>
      <c r="T222" s="125" t="s">
        <v>446</v>
      </c>
      <c r="U222" s="272" t="s">
        <v>447</v>
      </c>
      <c r="V222" s="125" t="s">
        <v>457</v>
      </c>
      <c r="W222" s="125" t="s">
        <v>12</v>
      </c>
      <c r="X222" s="238">
        <f t="shared" si="59"/>
        <v>0</v>
      </c>
      <c r="Y222" s="238">
        <f t="shared" si="60"/>
        <v>0</v>
      </c>
      <c r="Z222" s="125" t="s">
        <v>183</v>
      </c>
    </row>
    <row r="223" spans="1:26" x14ac:dyDescent="0.2">
      <c r="A223" s="125"/>
      <c r="B223" s="125" t="s">
        <v>184</v>
      </c>
      <c r="C223" s="153"/>
      <c r="D223" s="162"/>
      <c r="E223" s="162">
        <f>100000</f>
        <v>100000</v>
      </c>
      <c r="F223" s="162">
        <f>17814.81+82185.19</f>
        <v>100000</v>
      </c>
      <c r="G223" s="163">
        <v>0</v>
      </c>
      <c r="H223" s="164">
        <v>0</v>
      </c>
      <c r="I223" s="163">
        <v>0</v>
      </c>
      <c r="J223" s="163">
        <v>0</v>
      </c>
      <c r="K223" s="163">
        <f>[5]UMCP!K15</f>
        <v>0</v>
      </c>
      <c r="L223" s="162">
        <f>G223-H223-I223-J223-K223</f>
        <v>0</v>
      </c>
      <c r="M223" s="162"/>
      <c r="N223" s="162"/>
      <c r="O223" s="162">
        <v>0</v>
      </c>
      <c r="P223" s="125"/>
      <c r="Q223" s="125"/>
      <c r="S223" s="125" t="s">
        <v>160</v>
      </c>
      <c r="T223" s="125" t="s">
        <v>446</v>
      </c>
      <c r="U223" s="272" t="s">
        <v>447</v>
      </c>
      <c r="V223" s="125" t="s">
        <v>457</v>
      </c>
      <c r="W223" s="125" t="s">
        <v>7</v>
      </c>
      <c r="X223" s="238">
        <f t="shared" si="59"/>
        <v>0</v>
      </c>
      <c r="Y223" s="238">
        <f t="shared" si="60"/>
        <v>0</v>
      </c>
      <c r="Z223" s="125" t="s">
        <v>184</v>
      </c>
    </row>
    <row r="224" spans="1:26" x14ac:dyDescent="0.2">
      <c r="A224" s="125"/>
      <c r="B224" s="125"/>
      <c r="C224" s="153"/>
      <c r="D224" s="154"/>
      <c r="E224" s="154"/>
      <c r="F224" s="162"/>
      <c r="G224" s="156"/>
      <c r="H224" s="157"/>
      <c r="I224" s="156"/>
      <c r="J224" s="156"/>
      <c r="K224" s="156"/>
      <c r="L224" s="154"/>
      <c r="M224" s="154"/>
      <c r="N224" s="154"/>
      <c r="O224" s="154"/>
      <c r="P224" s="125"/>
      <c r="Q224" s="125"/>
    </row>
    <row r="225" spans="1:26" ht="13.5" thickBot="1" x14ac:dyDescent="0.25">
      <c r="A225" s="125"/>
      <c r="B225" s="168" t="s">
        <v>129</v>
      </c>
      <c r="C225" s="169">
        <f t="shared" ref="C225:O225" si="63">SUM(C206:C224)</f>
        <v>32000000</v>
      </c>
      <c r="D225" s="169">
        <f t="shared" si="63"/>
        <v>17226</v>
      </c>
      <c r="E225" s="169">
        <f t="shared" si="63"/>
        <v>-38569.729999999981</v>
      </c>
      <c r="F225" s="192">
        <f t="shared" si="63"/>
        <v>31960129.689999998</v>
      </c>
      <c r="G225" s="169">
        <f t="shared" si="63"/>
        <v>18526.57999999974</v>
      </c>
      <c r="H225" s="193">
        <f>SUM(H206:H224)</f>
        <v>18526.579999999998</v>
      </c>
      <c r="I225" s="169">
        <f t="shared" si="63"/>
        <v>0</v>
      </c>
      <c r="J225" s="169">
        <f t="shared" si="63"/>
        <v>0</v>
      </c>
      <c r="K225" s="169">
        <f t="shared" si="63"/>
        <v>0</v>
      </c>
      <c r="L225" s="169">
        <f t="shared" si="63"/>
        <v>-2.6011548470705748E-10</v>
      </c>
      <c r="M225" s="169">
        <f t="shared" si="63"/>
        <v>2521.69</v>
      </c>
      <c r="N225" s="169">
        <f t="shared" si="63"/>
        <v>0</v>
      </c>
      <c r="O225" s="169">
        <f t="shared" si="63"/>
        <v>16004.89</v>
      </c>
      <c r="P225" s="136">
        <f>C225+D225+E225-F225-G225</f>
        <v>2.1973391994833946E-9</v>
      </c>
      <c r="Q225" s="125"/>
      <c r="W225" s="165"/>
      <c r="X225" s="125"/>
      <c r="Y225" s="125"/>
    </row>
    <row r="226" spans="1:26" ht="13.5" thickTop="1" x14ac:dyDescent="0.2">
      <c r="A226" s="125"/>
      <c r="B226" s="125"/>
      <c r="C226" s="153"/>
      <c r="D226" s="154"/>
      <c r="E226" s="154"/>
      <c r="F226" s="191"/>
      <c r="G226" s="172"/>
      <c r="H226" s="173"/>
      <c r="I226" s="172"/>
      <c r="J226" s="172"/>
      <c r="K226" s="172"/>
      <c r="L226" s="162"/>
      <c r="M226" s="162"/>
      <c r="N226" s="162"/>
      <c r="O226" s="162"/>
      <c r="P226" s="125"/>
      <c r="Q226" s="125"/>
    </row>
    <row r="227" spans="1:26" x14ac:dyDescent="0.2">
      <c r="A227" s="165" t="s">
        <v>185</v>
      </c>
      <c r="B227" s="125"/>
      <c r="C227" s="153"/>
      <c r="D227" s="154"/>
      <c r="E227" s="154"/>
      <c r="F227" s="162"/>
      <c r="G227" s="156"/>
      <c r="H227" s="157"/>
      <c r="I227" s="156"/>
      <c r="J227" s="156"/>
      <c r="K227" s="156"/>
      <c r="L227" s="154"/>
      <c r="M227" s="154"/>
      <c r="N227" s="154"/>
      <c r="O227" s="154"/>
      <c r="P227" s="125"/>
      <c r="Q227" s="125"/>
    </row>
    <row r="228" spans="1:26" x14ac:dyDescent="0.2">
      <c r="A228" s="125"/>
      <c r="B228" s="125" t="s">
        <v>179</v>
      </c>
      <c r="C228" s="153">
        <v>5000000</v>
      </c>
      <c r="D228" s="154"/>
      <c r="E228" s="154"/>
      <c r="F228" s="162">
        <f>3529+2923550.04+105092+1082695.32+267467.11+355792.93+261873.6</f>
        <v>5000000</v>
      </c>
      <c r="G228" s="172">
        <v>0</v>
      </c>
      <c r="H228" s="173">
        <v>0</v>
      </c>
      <c r="I228" s="172">
        <v>0</v>
      </c>
      <c r="J228" s="172">
        <v>0</v>
      </c>
      <c r="K228" s="172">
        <v>0</v>
      </c>
      <c r="L228" s="162">
        <f>G228-H228-I228-J228-K228</f>
        <v>0</v>
      </c>
      <c r="M228" s="162"/>
      <c r="N228" s="162"/>
      <c r="O228" s="162">
        <f>H228+I228+J228+K228</f>
        <v>0</v>
      </c>
      <c r="P228" s="125"/>
      <c r="Q228" s="125"/>
      <c r="W228" s="125" t="s">
        <v>7</v>
      </c>
      <c r="Z228" s="125" t="s">
        <v>179</v>
      </c>
    </row>
    <row r="229" spans="1:26" x14ac:dyDescent="0.2">
      <c r="A229" s="125"/>
      <c r="B229" s="125" t="s">
        <v>186</v>
      </c>
      <c r="C229" s="153">
        <v>10000000</v>
      </c>
      <c r="D229" s="154"/>
      <c r="E229" s="154"/>
      <c r="F229" s="162">
        <f>9969803.99+30196.01</f>
        <v>10000000</v>
      </c>
      <c r="G229" s="172">
        <v>0</v>
      </c>
      <c r="H229" s="173">
        <v>0</v>
      </c>
      <c r="I229" s="172">
        <v>0</v>
      </c>
      <c r="J229" s="172">
        <v>0</v>
      </c>
      <c r="K229" s="172">
        <v>0</v>
      </c>
      <c r="L229" s="162">
        <f>G229-H229-I229-J229-K229</f>
        <v>0</v>
      </c>
      <c r="M229" s="162"/>
      <c r="N229" s="162"/>
      <c r="O229" s="162">
        <f>H229+I229+J229+K229</f>
        <v>0</v>
      </c>
      <c r="P229" s="125"/>
      <c r="Q229" s="125"/>
      <c r="W229" s="125" t="s">
        <v>14</v>
      </c>
      <c r="Z229" s="125" t="s">
        <v>186</v>
      </c>
    </row>
    <row r="230" spans="1:26" x14ac:dyDescent="0.2">
      <c r="A230" s="125"/>
      <c r="B230" s="165" t="s">
        <v>112</v>
      </c>
      <c r="C230" s="153"/>
      <c r="D230" s="154"/>
      <c r="E230" s="154"/>
      <c r="F230" s="162"/>
      <c r="G230" s="156"/>
      <c r="H230" s="157"/>
      <c r="I230" s="156"/>
      <c r="J230" s="156"/>
      <c r="K230" s="156"/>
      <c r="L230" s="162"/>
      <c r="M230" s="162"/>
      <c r="N230" s="162"/>
      <c r="O230" s="162"/>
      <c r="P230" s="125"/>
      <c r="Q230" s="125"/>
      <c r="W230" s="165"/>
      <c r="Z230" s="165"/>
    </row>
    <row r="231" spans="1:26" x14ac:dyDescent="0.2">
      <c r="A231" s="125"/>
      <c r="B231" s="125" t="s">
        <v>113</v>
      </c>
      <c r="C231" s="162">
        <v>7300000</v>
      </c>
      <c r="D231" s="162"/>
      <c r="E231" s="162"/>
      <c r="F231" s="162">
        <f>1854333.16+428252.37+5017414.47</f>
        <v>7300000</v>
      </c>
      <c r="G231" s="163">
        <v>0</v>
      </c>
      <c r="H231" s="164">
        <v>0</v>
      </c>
      <c r="I231" s="163">
        <v>0</v>
      </c>
      <c r="J231" s="163">
        <v>0</v>
      </c>
      <c r="K231" s="163">
        <v>0</v>
      </c>
      <c r="L231" s="162">
        <f t="shared" ref="L231:L243" si="64">G231-H231-I231-J231-K231</f>
        <v>0</v>
      </c>
      <c r="M231" s="162"/>
      <c r="N231" s="162"/>
      <c r="O231" s="162">
        <f>H231+I231+J231+K231</f>
        <v>0</v>
      </c>
      <c r="P231" s="125"/>
      <c r="Q231" s="125"/>
      <c r="W231" s="125" t="s">
        <v>7</v>
      </c>
      <c r="Z231" s="125" t="s">
        <v>113</v>
      </c>
    </row>
    <row r="232" spans="1:26" x14ac:dyDescent="0.2">
      <c r="A232" s="125"/>
      <c r="B232" s="125" t="s">
        <v>114</v>
      </c>
      <c r="C232" s="162">
        <v>2675000</v>
      </c>
      <c r="D232" s="162"/>
      <c r="E232" s="162"/>
      <c r="F232" s="162">
        <f>27961.56+248653.58+1461944.86+27572.65+761929.36+1092+70720.87+9695.05+87.36</f>
        <v>2609657.2899999996</v>
      </c>
      <c r="G232" s="163">
        <v>65342.709999999992</v>
      </c>
      <c r="H232" s="164">
        <v>65342.71</v>
      </c>
      <c r="I232" s="163">
        <f>[5]UMB!I313</f>
        <v>0</v>
      </c>
      <c r="J232" s="163">
        <f>[5]UMB!J313</f>
        <v>0</v>
      </c>
      <c r="K232" s="163">
        <f>[5]UMB!K313</f>
        <v>0</v>
      </c>
      <c r="L232" s="162">
        <f t="shared" si="64"/>
        <v>-7.2759576141834259E-12</v>
      </c>
      <c r="M232" s="162">
        <f>H232-N232-O232</f>
        <v>0</v>
      </c>
      <c r="N232" s="162">
        <v>0</v>
      </c>
      <c r="O232" s="162">
        <v>65342.71</v>
      </c>
      <c r="P232" s="136">
        <f t="shared" ref="P232:P243" si="65">C232+D232+E232-F232-G232</f>
        <v>4.3655745685100555E-10</v>
      </c>
      <c r="Q232" s="125"/>
      <c r="S232" s="125" t="s">
        <v>160</v>
      </c>
      <c r="T232" s="125" t="s">
        <v>446</v>
      </c>
      <c r="U232" s="272" t="s">
        <v>447</v>
      </c>
      <c r="V232" s="125" t="s">
        <v>458</v>
      </c>
      <c r="W232" s="125" t="s">
        <v>8</v>
      </c>
      <c r="X232" s="238">
        <f t="shared" ref="X232:X243" si="66">H232</f>
        <v>65342.71</v>
      </c>
      <c r="Y232" s="238">
        <f t="shared" ref="Y232:Y243" si="67">L232</f>
        <v>-7.2759576141834259E-12</v>
      </c>
      <c r="Z232" s="125" t="s">
        <v>114</v>
      </c>
    </row>
    <row r="233" spans="1:26" x14ac:dyDescent="0.2">
      <c r="A233" s="125"/>
      <c r="B233" s="125" t="s">
        <v>115</v>
      </c>
      <c r="C233" s="162">
        <v>642000</v>
      </c>
      <c r="D233" s="162"/>
      <c r="E233" s="162"/>
      <c r="F233" s="163">
        <f>265235.37+376764.63</f>
        <v>642000</v>
      </c>
      <c r="G233" s="163">
        <v>0</v>
      </c>
      <c r="H233" s="164">
        <v>0</v>
      </c>
      <c r="I233" s="163">
        <v>0</v>
      </c>
      <c r="J233" s="163">
        <v>0</v>
      </c>
      <c r="K233" s="163">
        <v>0</v>
      </c>
      <c r="L233" s="162">
        <f t="shared" si="64"/>
        <v>0</v>
      </c>
      <c r="M233" s="162"/>
      <c r="N233" s="162">
        <v>0</v>
      </c>
      <c r="O233" s="162">
        <f t="shared" ref="O233:O241" si="68">H233+I233+J233+K233</f>
        <v>0</v>
      </c>
      <c r="P233" s="136">
        <f t="shared" si="65"/>
        <v>0</v>
      </c>
      <c r="Q233" s="125"/>
      <c r="S233" s="125" t="s">
        <v>160</v>
      </c>
      <c r="T233" s="125" t="s">
        <v>446</v>
      </c>
      <c r="U233" s="272" t="s">
        <v>447</v>
      </c>
      <c r="W233" s="125" t="s">
        <v>10</v>
      </c>
      <c r="X233" s="238">
        <f t="shared" si="66"/>
        <v>0</v>
      </c>
      <c r="Y233" s="238">
        <f t="shared" si="67"/>
        <v>0</v>
      </c>
      <c r="Z233" s="125" t="s">
        <v>115</v>
      </c>
    </row>
    <row r="234" spans="1:26" x14ac:dyDescent="0.2">
      <c r="A234" s="125"/>
      <c r="B234" s="125" t="s">
        <v>116</v>
      </c>
      <c r="C234" s="162">
        <v>1452000</v>
      </c>
      <c r="D234" s="162"/>
      <c r="E234" s="162"/>
      <c r="F234" s="162">
        <f>75040.75+1319734.01+38257.4+18967.84</f>
        <v>1452000</v>
      </c>
      <c r="G234" s="163">
        <v>0</v>
      </c>
      <c r="H234" s="164">
        <v>0</v>
      </c>
      <c r="I234" s="163">
        <v>0</v>
      </c>
      <c r="J234" s="163">
        <v>0</v>
      </c>
      <c r="K234" s="163">
        <v>0</v>
      </c>
      <c r="L234" s="162">
        <f t="shared" si="64"/>
        <v>0</v>
      </c>
      <c r="M234" s="162"/>
      <c r="N234" s="162">
        <v>0</v>
      </c>
      <c r="O234" s="162">
        <f t="shared" si="68"/>
        <v>0</v>
      </c>
      <c r="P234" s="136">
        <f t="shared" si="65"/>
        <v>0</v>
      </c>
      <c r="Q234" s="125"/>
      <c r="S234" s="125" t="s">
        <v>160</v>
      </c>
      <c r="T234" s="125" t="s">
        <v>446</v>
      </c>
      <c r="U234" s="272" t="s">
        <v>447</v>
      </c>
      <c r="W234" s="125" t="s">
        <v>11</v>
      </c>
      <c r="X234" s="238">
        <f t="shared" si="66"/>
        <v>0</v>
      </c>
      <c r="Y234" s="238">
        <f t="shared" si="67"/>
        <v>0</v>
      </c>
      <c r="Z234" s="125" t="s">
        <v>116</v>
      </c>
    </row>
    <row r="235" spans="1:26" x14ac:dyDescent="0.2">
      <c r="A235" s="125"/>
      <c r="B235" s="125" t="s">
        <v>117</v>
      </c>
      <c r="C235" s="162">
        <v>317000</v>
      </c>
      <c r="D235" s="162"/>
      <c r="E235" s="162"/>
      <c r="F235" s="162">
        <f>317000</f>
        <v>317000</v>
      </c>
      <c r="G235" s="163">
        <v>0</v>
      </c>
      <c r="H235" s="164">
        <v>0</v>
      </c>
      <c r="I235" s="163">
        <v>0</v>
      </c>
      <c r="J235" s="163">
        <v>0</v>
      </c>
      <c r="K235" s="163">
        <v>0</v>
      </c>
      <c r="L235" s="162">
        <f t="shared" si="64"/>
        <v>0</v>
      </c>
      <c r="M235" s="162"/>
      <c r="N235" s="162">
        <v>0</v>
      </c>
      <c r="O235" s="162">
        <f t="shared" si="68"/>
        <v>0</v>
      </c>
      <c r="P235" s="136">
        <f t="shared" si="65"/>
        <v>0</v>
      </c>
      <c r="Q235" s="125"/>
      <c r="S235" s="125" t="s">
        <v>160</v>
      </c>
      <c r="T235" s="125" t="s">
        <v>446</v>
      </c>
      <c r="U235" s="272" t="s">
        <v>447</v>
      </c>
      <c r="W235" s="125" t="s">
        <v>12</v>
      </c>
      <c r="X235" s="238">
        <f t="shared" si="66"/>
        <v>0</v>
      </c>
      <c r="Y235" s="238">
        <f t="shared" si="67"/>
        <v>0</v>
      </c>
      <c r="Z235" s="125" t="s">
        <v>117</v>
      </c>
    </row>
    <row r="236" spans="1:26" x14ac:dyDescent="0.2">
      <c r="A236" s="125"/>
      <c r="B236" s="125" t="s">
        <v>118</v>
      </c>
      <c r="C236" s="162">
        <v>554000</v>
      </c>
      <c r="D236" s="162"/>
      <c r="E236" s="162"/>
      <c r="F236" s="162">
        <f>14006.5+9101+530000+892.5</f>
        <v>554000</v>
      </c>
      <c r="G236" s="163">
        <v>0</v>
      </c>
      <c r="H236" s="164">
        <v>0</v>
      </c>
      <c r="I236" s="163">
        <v>0</v>
      </c>
      <c r="J236" s="163">
        <v>0</v>
      </c>
      <c r="K236" s="163">
        <v>0</v>
      </c>
      <c r="L236" s="162">
        <f t="shared" si="64"/>
        <v>0</v>
      </c>
      <c r="M236" s="162"/>
      <c r="N236" s="162">
        <v>0</v>
      </c>
      <c r="O236" s="162">
        <f t="shared" si="68"/>
        <v>0</v>
      </c>
      <c r="P236" s="136">
        <f t="shared" si="65"/>
        <v>0</v>
      </c>
      <c r="Q236" s="125"/>
      <c r="S236" s="125" t="s">
        <v>160</v>
      </c>
      <c r="T236" s="125" t="s">
        <v>446</v>
      </c>
      <c r="U236" s="272" t="s">
        <v>447</v>
      </c>
      <c r="W236" s="125" t="s">
        <v>13</v>
      </c>
      <c r="X236" s="238">
        <f t="shared" si="66"/>
        <v>0</v>
      </c>
      <c r="Y236" s="238">
        <f t="shared" si="67"/>
        <v>0</v>
      </c>
      <c r="Z236" s="125" t="s">
        <v>118</v>
      </c>
    </row>
    <row r="237" spans="1:26" x14ac:dyDescent="0.2">
      <c r="A237" s="125"/>
      <c r="B237" s="125" t="s">
        <v>119</v>
      </c>
      <c r="C237" s="162">
        <v>409000</v>
      </c>
      <c r="D237" s="54">
        <v>-8657.18</v>
      </c>
      <c r="E237" s="162"/>
      <c r="F237" s="167">
        <f>400342.82</f>
        <v>400342.82</v>
      </c>
      <c r="G237" s="163">
        <v>0</v>
      </c>
      <c r="H237" s="164">
        <v>0</v>
      </c>
      <c r="I237" s="163">
        <v>0</v>
      </c>
      <c r="J237" s="163">
        <v>0</v>
      </c>
      <c r="K237" s="163">
        <v>0</v>
      </c>
      <c r="L237" s="162">
        <f t="shared" si="64"/>
        <v>0</v>
      </c>
      <c r="M237" s="162"/>
      <c r="N237" s="162">
        <v>0</v>
      </c>
      <c r="O237" s="162">
        <f t="shared" si="68"/>
        <v>0</v>
      </c>
      <c r="P237" s="136">
        <f t="shared" si="65"/>
        <v>0</v>
      </c>
      <c r="Q237" s="125"/>
      <c r="S237" s="125" t="s">
        <v>160</v>
      </c>
      <c r="T237" s="125" t="s">
        <v>446</v>
      </c>
      <c r="U237" s="272" t="s">
        <v>447</v>
      </c>
      <c r="W237" s="125" t="s">
        <v>14</v>
      </c>
      <c r="X237" s="238">
        <f t="shared" si="66"/>
        <v>0</v>
      </c>
      <c r="Y237" s="238">
        <f t="shared" si="67"/>
        <v>0</v>
      </c>
      <c r="Z237" s="125" t="s">
        <v>119</v>
      </c>
    </row>
    <row r="238" spans="1:26" x14ac:dyDescent="0.2">
      <c r="A238" s="125"/>
      <c r="B238" s="125" t="s">
        <v>120</v>
      </c>
      <c r="C238" s="162">
        <v>645000</v>
      </c>
      <c r="D238" s="162"/>
      <c r="E238" s="162"/>
      <c r="F238" s="162">
        <f>94801.54+119529.13+19228.26+323200+6410.7+81830.37</f>
        <v>644999.99999999988</v>
      </c>
      <c r="G238" s="163">
        <v>0</v>
      </c>
      <c r="H238" s="164">
        <v>0</v>
      </c>
      <c r="I238" s="163">
        <v>0</v>
      </c>
      <c r="J238" s="163">
        <v>0</v>
      </c>
      <c r="K238" s="163">
        <v>0</v>
      </c>
      <c r="L238" s="162">
        <f t="shared" si="64"/>
        <v>0</v>
      </c>
      <c r="M238" s="162"/>
      <c r="N238" s="162">
        <v>0</v>
      </c>
      <c r="O238" s="162">
        <f t="shared" si="68"/>
        <v>0</v>
      </c>
      <c r="P238" s="136">
        <f t="shared" si="65"/>
        <v>1.1641532182693481E-10</v>
      </c>
      <c r="Q238" s="125"/>
      <c r="S238" s="125" t="s">
        <v>160</v>
      </c>
      <c r="T238" s="125" t="s">
        <v>446</v>
      </c>
      <c r="U238" s="272" t="s">
        <v>447</v>
      </c>
      <c r="W238" s="125" t="s">
        <v>15</v>
      </c>
      <c r="X238" s="238">
        <f t="shared" si="66"/>
        <v>0</v>
      </c>
      <c r="Y238" s="238">
        <f t="shared" si="67"/>
        <v>0</v>
      </c>
      <c r="Z238" s="125" t="s">
        <v>120</v>
      </c>
    </row>
    <row r="239" spans="1:26" x14ac:dyDescent="0.2">
      <c r="A239" s="125"/>
      <c r="B239" s="125" t="s">
        <v>137</v>
      </c>
      <c r="C239" s="162">
        <v>536000</v>
      </c>
      <c r="D239" s="162">
        <v>-0.03</v>
      </c>
      <c r="E239" s="162"/>
      <c r="F239" s="162">
        <f>459882.47+76117.5</f>
        <v>535999.97</v>
      </c>
      <c r="G239" s="163">
        <v>0</v>
      </c>
      <c r="H239" s="164">
        <v>0</v>
      </c>
      <c r="I239" s="163">
        <v>0</v>
      </c>
      <c r="J239" s="163">
        <v>0</v>
      </c>
      <c r="K239" s="163">
        <v>0</v>
      </c>
      <c r="L239" s="162">
        <f t="shared" si="64"/>
        <v>0</v>
      </c>
      <c r="M239" s="162"/>
      <c r="N239" s="162">
        <v>0</v>
      </c>
      <c r="O239" s="162">
        <f t="shared" si="68"/>
        <v>0</v>
      </c>
      <c r="P239" s="136">
        <f t="shared" si="65"/>
        <v>0</v>
      </c>
      <c r="Q239" s="125"/>
      <c r="S239" s="125" t="s">
        <v>160</v>
      </c>
      <c r="T239" s="125" t="s">
        <v>446</v>
      </c>
      <c r="U239" s="272" t="s">
        <v>447</v>
      </c>
      <c r="W239" s="125" t="s">
        <v>16</v>
      </c>
      <c r="X239" s="238">
        <f t="shared" si="66"/>
        <v>0</v>
      </c>
      <c r="Y239" s="238">
        <f t="shared" si="67"/>
        <v>0</v>
      </c>
      <c r="Z239" s="125" t="s">
        <v>137</v>
      </c>
    </row>
    <row r="240" spans="1:26" x14ac:dyDescent="0.2">
      <c r="A240" s="125"/>
      <c r="B240" s="125" t="s">
        <v>122</v>
      </c>
      <c r="C240" s="162">
        <v>1589000</v>
      </c>
      <c r="D240" s="162"/>
      <c r="E240" s="162"/>
      <c r="F240" s="162">
        <f>1297648.93+14449.5+4900+272001.57</f>
        <v>1589000</v>
      </c>
      <c r="G240" s="163">
        <v>0</v>
      </c>
      <c r="H240" s="164">
        <v>0</v>
      </c>
      <c r="I240" s="163">
        <v>0</v>
      </c>
      <c r="J240" s="163">
        <v>0</v>
      </c>
      <c r="K240" s="163">
        <v>0</v>
      </c>
      <c r="L240" s="162">
        <f t="shared" si="64"/>
        <v>0</v>
      </c>
      <c r="M240" s="162"/>
      <c r="N240" s="162">
        <v>0</v>
      </c>
      <c r="O240" s="162">
        <f t="shared" si="68"/>
        <v>0</v>
      </c>
      <c r="P240" s="136">
        <f t="shared" si="65"/>
        <v>0</v>
      </c>
      <c r="Q240" s="125"/>
      <c r="S240" s="125" t="s">
        <v>160</v>
      </c>
      <c r="T240" s="125" t="s">
        <v>446</v>
      </c>
      <c r="U240" s="272" t="s">
        <v>447</v>
      </c>
      <c r="W240" s="125" t="s">
        <v>17</v>
      </c>
      <c r="X240" s="238">
        <f t="shared" si="66"/>
        <v>0</v>
      </c>
      <c r="Y240" s="238">
        <f t="shared" si="67"/>
        <v>0</v>
      </c>
      <c r="Z240" s="125" t="s">
        <v>122</v>
      </c>
    </row>
    <row r="241" spans="1:26" x14ac:dyDescent="0.2">
      <c r="A241" s="125"/>
      <c r="B241" s="125" t="s">
        <v>123</v>
      </c>
      <c r="C241" s="153">
        <v>418000</v>
      </c>
      <c r="D241" s="162">
        <v>-67674.259999999995</v>
      </c>
      <c r="E241" s="154"/>
      <c r="F241" s="162">
        <f>133766.84+186228.72+14900+15430.18</f>
        <v>350325.74</v>
      </c>
      <c r="G241" s="163">
        <v>0</v>
      </c>
      <c r="H241" s="164">
        <v>0</v>
      </c>
      <c r="I241" s="163">
        <v>0</v>
      </c>
      <c r="J241" s="163">
        <v>0</v>
      </c>
      <c r="K241" s="163">
        <v>0</v>
      </c>
      <c r="L241" s="162">
        <f t="shared" si="64"/>
        <v>0</v>
      </c>
      <c r="M241" s="162"/>
      <c r="N241" s="162">
        <v>0</v>
      </c>
      <c r="O241" s="162">
        <f t="shared" si="68"/>
        <v>0</v>
      </c>
      <c r="P241" s="136">
        <f t="shared" si="65"/>
        <v>0</v>
      </c>
      <c r="Q241" s="125"/>
      <c r="S241" s="125" t="s">
        <v>160</v>
      </c>
      <c r="T241" s="125" t="s">
        <v>446</v>
      </c>
      <c r="U241" s="272" t="s">
        <v>447</v>
      </c>
      <c r="W241" s="125" t="s">
        <v>18</v>
      </c>
      <c r="X241" s="238">
        <f t="shared" si="66"/>
        <v>0</v>
      </c>
      <c r="Y241" s="238">
        <f t="shared" si="67"/>
        <v>0</v>
      </c>
      <c r="Z241" s="125" t="s">
        <v>123</v>
      </c>
    </row>
    <row r="242" spans="1:26" x14ac:dyDescent="0.2">
      <c r="A242" s="125"/>
      <c r="B242" s="165" t="s">
        <v>127</v>
      </c>
      <c r="C242" s="153">
        <v>463000</v>
      </c>
      <c r="D242" s="126"/>
      <c r="E242" s="54">
        <f>24627.14-80000-288809.46-75000-43817.68</f>
        <v>-463000</v>
      </c>
      <c r="F242" s="162">
        <f>'[5]Emergency Funds'!G104</f>
        <v>0</v>
      </c>
      <c r="G242" s="163">
        <v>0</v>
      </c>
      <c r="H242" s="164"/>
      <c r="I242" s="163"/>
      <c r="J242" s="163"/>
      <c r="K242" s="163"/>
      <c r="L242" s="162"/>
      <c r="M242" s="162">
        <f>H242-N242-O242</f>
        <v>0</v>
      </c>
      <c r="N242" s="162"/>
      <c r="O242" s="162"/>
      <c r="P242" s="136">
        <f t="shared" si="65"/>
        <v>0</v>
      </c>
      <c r="Q242" s="125"/>
      <c r="S242" s="125" t="s">
        <v>160</v>
      </c>
      <c r="T242" s="125" t="s">
        <v>446</v>
      </c>
      <c r="U242" s="272" t="s">
        <v>447</v>
      </c>
      <c r="V242" s="125" t="s">
        <v>458</v>
      </c>
      <c r="W242" s="165" t="s">
        <v>32</v>
      </c>
      <c r="X242" s="238">
        <f t="shared" si="66"/>
        <v>0</v>
      </c>
      <c r="Y242" s="238">
        <f t="shared" si="67"/>
        <v>0</v>
      </c>
      <c r="Z242" s="165" t="s">
        <v>127</v>
      </c>
    </row>
    <row r="243" spans="1:26" x14ac:dyDescent="0.2">
      <c r="A243" s="125"/>
      <c r="B243" s="125" t="s">
        <v>187</v>
      </c>
      <c r="C243" s="153"/>
      <c r="D243" s="126">
        <v>-63620.75</v>
      </c>
      <c r="E243" s="54">
        <f>75000</f>
        <v>75000</v>
      </c>
      <c r="F243" s="162">
        <f>11379.25</f>
        <v>11379.25</v>
      </c>
      <c r="G243" s="163">
        <v>0</v>
      </c>
      <c r="H243" s="164">
        <v>0</v>
      </c>
      <c r="I243" s="163">
        <f>[5]UMES!I10</f>
        <v>0</v>
      </c>
      <c r="J243" s="163">
        <f>[5]UMES!J10</f>
        <v>0</v>
      </c>
      <c r="K243" s="163">
        <f>[5]UMES!K10</f>
        <v>0</v>
      </c>
      <c r="L243" s="162">
        <f t="shared" si="64"/>
        <v>0</v>
      </c>
      <c r="M243" s="162">
        <f>H243-N243-O243</f>
        <v>0</v>
      </c>
      <c r="N243" s="162">
        <v>0</v>
      </c>
      <c r="O243" s="162">
        <v>0</v>
      </c>
      <c r="P243" s="136">
        <f t="shared" si="65"/>
        <v>0</v>
      </c>
      <c r="Q243" s="125"/>
      <c r="S243" s="125" t="s">
        <v>160</v>
      </c>
      <c r="T243" s="125" t="s">
        <v>446</v>
      </c>
      <c r="U243" s="272" t="s">
        <v>447</v>
      </c>
      <c r="V243" s="125" t="s">
        <v>458</v>
      </c>
      <c r="W243" s="125" t="s">
        <v>10</v>
      </c>
      <c r="X243" s="238">
        <f t="shared" si="66"/>
        <v>0</v>
      </c>
      <c r="Y243" s="238">
        <f t="shared" si="67"/>
        <v>0</v>
      </c>
      <c r="Z243" s="125" t="s">
        <v>187</v>
      </c>
    </row>
    <row r="244" spans="1:26" x14ac:dyDescent="0.2">
      <c r="A244" s="125"/>
      <c r="B244" s="125"/>
      <c r="C244" s="153"/>
      <c r="D244" s="154"/>
      <c r="E244" s="154"/>
      <c r="F244" s="162"/>
      <c r="G244" s="156"/>
      <c r="H244" s="157"/>
      <c r="I244" s="156"/>
      <c r="J244" s="156"/>
      <c r="K244" s="156"/>
      <c r="L244" s="154"/>
      <c r="M244" s="154"/>
      <c r="N244" s="154"/>
      <c r="O244" s="154"/>
      <c r="P244" s="125"/>
      <c r="Q244" s="125"/>
    </row>
    <row r="245" spans="1:26" ht="13.5" thickBot="1" x14ac:dyDescent="0.25">
      <c r="A245" s="125"/>
      <c r="B245" s="168" t="s">
        <v>188</v>
      </c>
      <c r="C245" s="169">
        <f t="shared" ref="C245:O245" si="69">SUM(C228:C244)</f>
        <v>32000000</v>
      </c>
      <c r="D245" s="169">
        <f t="shared" si="69"/>
        <v>-139952.22</v>
      </c>
      <c r="E245" s="169">
        <f t="shared" si="69"/>
        <v>-388000</v>
      </c>
      <c r="F245" s="192">
        <f t="shared" si="69"/>
        <v>31406705.069999997</v>
      </c>
      <c r="G245" s="169">
        <f t="shared" si="69"/>
        <v>65342.709999999992</v>
      </c>
      <c r="H245" s="193">
        <f t="shared" si="69"/>
        <v>65342.71</v>
      </c>
      <c r="I245" s="169">
        <f t="shared" si="69"/>
        <v>0</v>
      </c>
      <c r="J245" s="169">
        <f t="shared" si="69"/>
        <v>0</v>
      </c>
      <c r="K245" s="169">
        <f t="shared" si="69"/>
        <v>0</v>
      </c>
      <c r="L245" s="169">
        <f t="shared" si="69"/>
        <v>-7.2759576141834259E-12</v>
      </c>
      <c r="M245" s="169">
        <f t="shared" si="69"/>
        <v>0</v>
      </c>
      <c r="N245" s="169">
        <f t="shared" si="69"/>
        <v>0</v>
      </c>
      <c r="O245" s="169">
        <f t="shared" si="69"/>
        <v>65342.71</v>
      </c>
      <c r="P245" s="136">
        <f>C245+D245+E245-F245-G245</f>
        <v>4.6275090426206589E-9</v>
      </c>
      <c r="Q245" s="125"/>
      <c r="W245" s="165"/>
      <c r="X245" s="125"/>
      <c r="Y245" s="125"/>
    </row>
    <row r="246" spans="1:26" ht="13.5" thickTop="1" x14ac:dyDescent="0.2">
      <c r="A246" s="125"/>
      <c r="B246" s="165"/>
      <c r="C246" s="153"/>
      <c r="D246" s="153"/>
      <c r="E246" s="153"/>
      <c r="F246" s="191"/>
      <c r="G246" s="153"/>
      <c r="H246" s="166"/>
      <c r="I246" s="153"/>
      <c r="J246" s="153"/>
      <c r="K246" s="153"/>
      <c r="L246" s="153"/>
      <c r="M246" s="153"/>
      <c r="N246" s="153"/>
      <c r="O246" s="153"/>
      <c r="P246" s="125"/>
      <c r="Q246" s="125"/>
      <c r="W246" s="165"/>
      <c r="Z246" s="165"/>
    </row>
    <row r="247" spans="1:26" x14ac:dyDescent="0.2">
      <c r="A247" s="165" t="s">
        <v>189</v>
      </c>
      <c r="B247" s="125"/>
      <c r="C247" s="153"/>
      <c r="D247" s="154"/>
      <c r="E247" s="154"/>
      <c r="F247" s="162"/>
      <c r="G247" s="156"/>
      <c r="H247" s="157"/>
      <c r="I247" s="156"/>
      <c r="J247" s="156"/>
      <c r="K247" s="156"/>
      <c r="L247" s="154"/>
      <c r="M247" s="154"/>
      <c r="N247" s="154"/>
      <c r="O247" s="154"/>
      <c r="P247" s="125"/>
      <c r="Q247" s="125"/>
    </row>
    <row r="248" spans="1:26" x14ac:dyDescent="0.2">
      <c r="A248" s="125"/>
      <c r="B248" s="125" t="s">
        <v>190</v>
      </c>
      <c r="C248" s="153">
        <v>5000000</v>
      </c>
      <c r="D248" s="154"/>
      <c r="E248" s="154"/>
      <c r="F248" s="162">
        <f>2778210.96+92729.25+1551217.53+577842.26</f>
        <v>5000000</v>
      </c>
      <c r="G248" s="172">
        <v>0</v>
      </c>
      <c r="H248" s="173">
        <v>0</v>
      </c>
      <c r="I248" s="172">
        <v>0</v>
      </c>
      <c r="J248" s="172">
        <v>0</v>
      </c>
      <c r="K248" s="172">
        <v>0</v>
      </c>
      <c r="L248" s="162">
        <f>G248-H248-I248-J248-K248</f>
        <v>0</v>
      </c>
      <c r="M248" s="162">
        <f>H248-N248-O248</f>
        <v>0</v>
      </c>
      <c r="N248" s="162">
        <v>0</v>
      </c>
      <c r="O248" s="162">
        <v>0</v>
      </c>
      <c r="P248" s="136">
        <f t="shared" ref="P248:P262" si="70">C248+D248+E248-F248-G248</f>
        <v>0</v>
      </c>
      <c r="Q248" s="125"/>
      <c r="S248" s="125" t="s">
        <v>160</v>
      </c>
      <c r="T248" s="125" t="s">
        <v>160</v>
      </c>
      <c r="U248" s="125">
        <v>20</v>
      </c>
      <c r="V248" s="125" t="s">
        <v>459</v>
      </c>
      <c r="W248" s="125" t="s">
        <v>7</v>
      </c>
      <c r="X248" s="238">
        <f t="shared" ref="X248:X262" si="71">H248</f>
        <v>0</v>
      </c>
      <c r="Y248" s="238">
        <f t="shared" ref="Y248:Y262" si="72">L248</f>
        <v>0</v>
      </c>
      <c r="Z248" s="125" t="s">
        <v>190</v>
      </c>
    </row>
    <row r="249" spans="1:26" x14ac:dyDescent="0.2">
      <c r="A249" s="125"/>
      <c r="B249" s="125" t="s">
        <v>191</v>
      </c>
      <c r="C249" s="153">
        <v>463000</v>
      </c>
      <c r="D249" s="162"/>
      <c r="E249" s="154"/>
      <c r="F249" s="162">
        <f>378155.03+84844.97</f>
        <v>463000</v>
      </c>
      <c r="G249" s="172">
        <v>0</v>
      </c>
      <c r="H249" s="173">
        <v>0</v>
      </c>
      <c r="I249" s="172"/>
      <c r="J249" s="172">
        <v>0</v>
      </c>
      <c r="K249" s="172">
        <v>0</v>
      </c>
      <c r="L249" s="162">
        <f>G249-H249-I249-J249-K249</f>
        <v>0</v>
      </c>
      <c r="M249" s="162">
        <f>H249-N249-O249</f>
        <v>0</v>
      </c>
      <c r="N249" s="162">
        <v>0</v>
      </c>
      <c r="O249" s="162">
        <v>0</v>
      </c>
      <c r="P249" s="136">
        <f t="shared" si="70"/>
        <v>0</v>
      </c>
      <c r="Q249" s="125"/>
      <c r="S249" s="125" t="s">
        <v>160</v>
      </c>
      <c r="T249" s="125" t="s">
        <v>160</v>
      </c>
      <c r="U249" s="125">
        <v>20</v>
      </c>
      <c r="V249" s="125" t="s">
        <v>459</v>
      </c>
      <c r="W249" s="125" t="s">
        <v>11</v>
      </c>
      <c r="X249" s="238">
        <f t="shared" si="71"/>
        <v>0</v>
      </c>
      <c r="Y249" s="238">
        <f t="shared" si="72"/>
        <v>0</v>
      </c>
      <c r="Z249" s="125" t="s">
        <v>191</v>
      </c>
    </row>
    <row r="250" spans="1:26" x14ac:dyDescent="0.2">
      <c r="A250" s="125"/>
      <c r="B250" s="125" t="s">
        <v>186</v>
      </c>
      <c r="C250" s="153">
        <v>10000000</v>
      </c>
      <c r="D250" s="162">
        <v>-91469.57</v>
      </c>
      <c r="E250" s="154"/>
      <c r="F250" s="162">
        <f>9859707.89+30276.49+18546.05</f>
        <v>9908530.4300000016</v>
      </c>
      <c r="G250" s="172">
        <v>0</v>
      </c>
      <c r="H250" s="173">
        <v>0</v>
      </c>
      <c r="I250" s="172"/>
      <c r="J250" s="172">
        <v>0</v>
      </c>
      <c r="K250" s="172">
        <v>0</v>
      </c>
      <c r="L250" s="162">
        <f>G250-H250-I250-J250-K250</f>
        <v>0</v>
      </c>
      <c r="M250" s="162">
        <f>H250-N250-O250</f>
        <v>0</v>
      </c>
      <c r="N250" s="162">
        <v>0</v>
      </c>
      <c r="O250" s="162">
        <v>0</v>
      </c>
      <c r="P250" s="136">
        <f t="shared" si="70"/>
        <v>-1.862645149230957E-9</v>
      </c>
      <c r="Q250" s="125"/>
      <c r="S250" s="125" t="s">
        <v>160</v>
      </c>
      <c r="T250" s="125" t="s">
        <v>160</v>
      </c>
      <c r="U250" s="125">
        <v>20</v>
      </c>
      <c r="V250" s="125" t="s">
        <v>459</v>
      </c>
      <c r="W250" s="125" t="s">
        <v>14</v>
      </c>
      <c r="X250" s="238">
        <f t="shared" si="71"/>
        <v>0</v>
      </c>
      <c r="Y250" s="238">
        <f t="shared" si="72"/>
        <v>0</v>
      </c>
      <c r="Z250" s="125" t="s">
        <v>186</v>
      </c>
    </row>
    <row r="251" spans="1:26" x14ac:dyDescent="0.2">
      <c r="A251" s="125"/>
      <c r="B251" s="165" t="s">
        <v>112</v>
      </c>
      <c r="C251" s="153"/>
      <c r="D251" s="154"/>
      <c r="E251" s="154"/>
      <c r="F251" s="162"/>
      <c r="G251" s="156"/>
      <c r="H251" s="157"/>
      <c r="I251" s="156"/>
      <c r="J251" s="156"/>
      <c r="K251" s="156"/>
      <c r="L251" s="154"/>
      <c r="M251" s="154"/>
      <c r="N251" s="162"/>
      <c r="O251" s="162"/>
      <c r="P251" s="136">
        <f t="shared" si="70"/>
        <v>0</v>
      </c>
      <c r="Q251" s="125"/>
      <c r="W251" s="165"/>
      <c r="Z251" s="165"/>
    </row>
    <row r="252" spans="1:26" x14ac:dyDescent="0.2">
      <c r="A252" s="125"/>
      <c r="B252" s="125" t="s">
        <v>113</v>
      </c>
      <c r="C252" s="162">
        <v>7300000</v>
      </c>
      <c r="D252" s="162"/>
      <c r="E252" s="162"/>
      <c r="F252" s="162">
        <f>420527.44+1130610.57+5748861.99</f>
        <v>7300000</v>
      </c>
      <c r="G252" s="163">
        <v>0</v>
      </c>
      <c r="H252" s="164">
        <v>0</v>
      </c>
      <c r="I252" s="163">
        <v>0</v>
      </c>
      <c r="J252" s="163">
        <v>0</v>
      </c>
      <c r="K252" s="163">
        <v>0</v>
      </c>
      <c r="L252" s="162">
        <f>G252-H252-I252-J252</f>
        <v>0</v>
      </c>
      <c r="M252" s="162">
        <f t="shared" ref="M252:M262" si="73">H252-N252-O252</f>
        <v>0</v>
      </c>
      <c r="N252" s="162">
        <v>0</v>
      </c>
      <c r="O252" s="162">
        <v>0</v>
      </c>
      <c r="P252" s="136">
        <f t="shared" si="70"/>
        <v>0</v>
      </c>
      <c r="Q252" s="125"/>
      <c r="S252" s="125" t="s">
        <v>160</v>
      </c>
      <c r="T252" s="125" t="s">
        <v>446</v>
      </c>
      <c r="U252" s="272" t="s">
        <v>447</v>
      </c>
      <c r="V252" s="125" t="s">
        <v>459</v>
      </c>
      <c r="W252" s="125" t="s">
        <v>7</v>
      </c>
      <c r="X252" s="238">
        <f t="shared" si="71"/>
        <v>0</v>
      </c>
      <c r="Y252" s="238">
        <f t="shared" si="72"/>
        <v>0</v>
      </c>
      <c r="Z252" s="125" t="s">
        <v>113</v>
      </c>
    </row>
    <row r="253" spans="1:26" x14ac:dyDescent="0.2">
      <c r="A253" s="125"/>
      <c r="B253" s="125" t="s">
        <v>114</v>
      </c>
      <c r="C253" s="162">
        <v>2675000</v>
      </c>
      <c r="D253" s="162"/>
      <c r="E253" s="162"/>
      <c r="F253" s="162">
        <f>48636+4536+17500+238254.32+2127983.58+59368.09+25549.05+3465+18478.54+40801.13+2590.32</f>
        <v>2587162.0299999993</v>
      </c>
      <c r="G253" s="163">
        <v>87837.970000000059</v>
      </c>
      <c r="H253" s="164">
        <v>87837.97</v>
      </c>
      <c r="I253" s="163">
        <f>[5]UMB!I336</f>
        <v>0</v>
      </c>
      <c r="J253" s="163">
        <f>[5]UMB!J336</f>
        <v>0</v>
      </c>
      <c r="K253" s="163">
        <f>[5]UMB!K336</f>
        <v>0</v>
      </c>
      <c r="L253" s="162">
        <f t="shared" ref="L253:L262" si="74">G253-H253-I253-J253-K253</f>
        <v>5.8207660913467407E-11</v>
      </c>
      <c r="M253" s="162">
        <f t="shared" si="73"/>
        <v>0</v>
      </c>
      <c r="N253" s="162">
        <v>0</v>
      </c>
      <c r="O253" s="162">
        <v>87837.97</v>
      </c>
      <c r="P253" s="136">
        <f t="shared" si="70"/>
        <v>6.1118043959140778E-10</v>
      </c>
      <c r="Q253" s="125"/>
      <c r="S253" s="125" t="s">
        <v>160</v>
      </c>
      <c r="T253" s="125" t="s">
        <v>446</v>
      </c>
      <c r="U253" s="272" t="s">
        <v>447</v>
      </c>
      <c r="V253" s="125" t="s">
        <v>459</v>
      </c>
      <c r="W253" s="125" t="s">
        <v>8</v>
      </c>
      <c r="X253" s="238">
        <f t="shared" si="71"/>
        <v>87837.97</v>
      </c>
      <c r="Y253" s="238">
        <f t="shared" si="72"/>
        <v>5.8207660913467407E-11</v>
      </c>
      <c r="Z253" s="125" t="s">
        <v>114</v>
      </c>
    </row>
    <row r="254" spans="1:26" x14ac:dyDescent="0.2">
      <c r="A254" s="125"/>
      <c r="B254" s="125" t="s">
        <v>115</v>
      </c>
      <c r="C254" s="162">
        <v>642000</v>
      </c>
      <c r="D254" s="162"/>
      <c r="E254" s="162"/>
      <c r="F254" s="163">
        <v>642000.00000000012</v>
      </c>
      <c r="G254" s="163">
        <v>0</v>
      </c>
      <c r="H254" s="164">
        <v>0</v>
      </c>
      <c r="I254" s="163">
        <v>0</v>
      </c>
      <c r="J254" s="163">
        <v>0</v>
      </c>
      <c r="K254" s="163">
        <v>0</v>
      </c>
      <c r="L254" s="162">
        <f t="shared" si="74"/>
        <v>0</v>
      </c>
      <c r="M254" s="162">
        <f t="shared" si="73"/>
        <v>0</v>
      </c>
      <c r="N254" s="162">
        <v>0</v>
      </c>
      <c r="O254" s="162">
        <v>0</v>
      </c>
      <c r="P254" s="136">
        <f t="shared" si="70"/>
        <v>-1.1641532182693481E-10</v>
      </c>
      <c r="Q254" s="125"/>
      <c r="S254" s="125" t="s">
        <v>160</v>
      </c>
      <c r="T254" s="125" t="s">
        <v>446</v>
      </c>
      <c r="U254" s="272" t="s">
        <v>447</v>
      </c>
      <c r="V254" s="125" t="s">
        <v>459</v>
      </c>
      <c r="W254" s="125" t="s">
        <v>10</v>
      </c>
      <c r="X254" s="238">
        <f t="shared" si="71"/>
        <v>0</v>
      </c>
      <c r="Y254" s="238">
        <f t="shared" si="72"/>
        <v>0</v>
      </c>
      <c r="Z254" s="125" t="s">
        <v>115</v>
      </c>
    </row>
    <row r="255" spans="1:26" x14ac:dyDescent="0.2">
      <c r="A255" s="125"/>
      <c r="B255" s="125" t="s">
        <v>116</v>
      </c>
      <c r="C255" s="162">
        <v>1452000</v>
      </c>
      <c r="D255" s="162"/>
      <c r="E255" s="162"/>
      <c r="F255" s="162">
        <f>9700+211037.97+1162738.9+68523.13</f>
        <v>1452000</v>
      </c>
      <c r="G255" s="163">
        <v>0</v>
      </c>
      <c r="H255" s="164">
        <v>0</v>
      </c>
      <c r="I255" s="163"/>
      <c r="J255" s="163">
        <v>0</v>
      </c>
      <c r="K255" s="163">
        <v>0</v>
      </c>
      <c r="L255" s="162">
        <f t="shared" si="74"/>
        <v>0</v>
      </c>
      <c r="M255" s="162">
        <f t="shared" si="73"/>
        <v>0</v>
      </c>
      <c r="N255" s="162">
        <v>0</v>
      </c>
      <c r="O255" s="162">
        <v>0</v>
      </c>
      <c r="P255" s="136">
        <f t="shared" si="70"/>
        <v>0</v>
      </c>
      <c r="Q255" s="125"/>
      <c r="S255" s="125" t="s">
        <v>160</v>
      </c>
      <c r="T255" s="125" t="s">
        <v>446</v>
      </c>
      <c r="U255" s="272" t="s">
        <v>447</v>
      </c>
      <c r="V255" s="125" t="s">
        <v>459</v>
      </c>
      <c r="W255" s="125" t="s">
        <v>11</v>
      </c>
      <c r="X255" s="238">
        <f t="shared" si="71"/>
        <v>0</v>
      </c>
      <c r="Y255" s="238">
        <f t="shared" si="72"/>
        <v>0</v>
      </c>
      <c r="Z255" s="125" t="s">
        <v>116</v>
      </c>
    </row>
    <row r="256" spans="1:26" x14ac:dyDescent="0.2">
      <c r="A256" s="125"/>
      <c r="B256" s="125" t="s">
        <v>117</v>
      </c>
      <c r="C256" s="162">
        <v>317000</v>
      </c>
      <c r="D256" s="126"/>
      <c r="E256" s="167">
        <v>-194040.47</v>
      </c>
      <c r="F256" s="167">
        <f>74674+44032.8+4252.73</f>
        <v>122959.53</v>
      </c>
      <c r="G256" s="163">
        <v>0</v>
      </c>
      <c r="H256" s="164">
        <v>0</v>
      </c>
      <c r="I256" s="163"/>
      <c r="J256" s="163">
        <v>0</v>
      </c>
      <c r="K256" s="163">
        <v>0</v>
      </c>
      <c r="L256" s="162">
        <f t="shared" si="74"/>
        <v>0</v>
      </c>
      <c r="M256" s="162">
        <f t="shared" si="73"/>
        <v>0</v>
      </c>
      <c r="N256" s="162">
        <v>0</v>
      </c>
      <c r="O256" s="162">
        <v>0</v>
      </c>
      <c r="P256" s="136">
        <f t="shared" si="70"/>
        <v>0</v>
      </c>
      <c r="Q256" s="125"/>
      <c r="S256" s="125" t="s">
        <v>160</v>
      </c>
      <c r="T256" s="125" t="s">
        <v>446</v>
      </c>
      <c r="U256" s="272" t="s">
        <v>447</v>
      </c>
      <c r="V256" s="125" t="s">
        <v>459</v>
      </c>
      <c r="W256" s="125" t="s">
        <v>12</v>
      </c>
      <c r="X256" s="238">
        <f t="shared" si="71"/>
        <v>0</v>
      </c>
      <c r="Y256" s="238">
        <f t="shared" si="72"/>
        <v>0</v>
      </c>
      <c r="Z256" s="125" t="s">
        <v>117</v>
      </c>
    </row>
    <row r="257" spans="1:26" x14ac:dyDescent="0.2">
      <c r="A257" s="125"/>
      <c r="B257" s="125" t="s">
        <v>118</v>
      </c>
      <c r="C257" s="162">
        <v>554000</v>
      </c>
      <c r="D257" s="162"/>
      <c r="E257" s="162"/>
      <c r="F257" s="162">
        <f>132857.18+1432.44+419000+710.38</f>
        <v>554000</v>
      </c>
      <c r="G257" s="163">
        <v>0</v>
      </c>
      <c r="H257" s="164">
        <v>0</v>
      </c>
      <c r="I257" s="163"/>
      <c r="J257" s="163">
        <v>0</v>
      </c>
      <c r="K257" s="163">
        <v>0</v>
      </c>
      <c r="L257" s="162">
        <f t="shared" si="74"/>
        <v>0</v>
      </c>
      <c r="M257" s="162">
        <f t="shared" si="73"/>
        <v>0</v>
      </c>
      <c r="N257" s="162">
        <v>0</v>
      </c>
      <c r="O257" s="162">
        <v>0</v>
      </c>
      <c r="P257" s="136">
        <f t="shared" si="70"/>
        <v>0</v>
      </c>
      <c r="Q257" s="125"/>
      <c r="S257" s="125" t="s">
        <v>160</v>
      </c>
      <c r="T257" s="125" t="s">
        <v>446</v>
      </c>
      <c r="U257" s="272" t="s">
        <v>447</v>
      </c>
      <c r="V257" s="125" t="s">
        <v>459</v>
      </c>
      <c r="W257" s="125" t="s">
        <v>13</v>
      </c>
      <c r="X257" s="238">
        <f t="shared" si="71"/>
        <v>0</v>
      </c>
      <c r="Y257" s="238">
        <f t="shared" si="72"/>
        <v>0</v>
      </c>
      <c r="Z257" s="125" t="s">
        <v>118</v>
      </c>
    </row>
    <row r="258" spans="1:26" x14ac:dyDescent="0.2">
      <c r="A258" s="125"/>
      <c r="B258" s="125" t="s">
        <v>119</v>
      </c>
      <c r="C258" s="162">
        <v>409000</v>
      </c>
      <c r="D258" s="162"/>
      <c r="E258" s="162"/>
      <c r="F258" s="162">
        <f>239668.9+169331.1</f>
        <v>409000</v>
      </c>
      <c r="G258" s="163">
        <v>0</v>
      </c>
      <c r="H258" s="164">
        <v>0</v>
      </c>
      <c r="I258" s="163"/>
      <c r="J258" s="163">
        <v>0</v>
      </c>
      <c r="K258" s="163">
        <v>0</v>
      </c>
      <c r="L258" s="162">
        <f t="shared" si="74"/>
        <v>0</v>
      </c>
      <c r="M258" s="162">
        <f t="shared" si="73"/>
        <v>0</v>
      </c>
      <c r="N258" s="162">
        <v>0</v>
      </c>
      <c r="O258" s="162">
        <v>0</v>
      </c>
      <c r="P258" s="136">
        <f t="shared" si="70"/>
        <v>0</v>
      </c>
      <c r="Q258" s="125"/>
      <c r="S258" s="125" t="s">
        <v>160</v>
      </c>
      <c r="T258" s="125" t="s">
        <v>446</v>
      </c>
      <c r="U258" s="272" t="s">
        <v>447</v>
      </c>
      <c r="V258" s="125" t="s">
        <v>459</v>
      </c>
      <c r="W258" s="125" t="s">
        <v>14</v>
      </c>
      <c r="X258" s="238">
        <f t="shared" si="71"/>
        <v>0</v>
      </c>
      <c r="Y258" s="238">
        <f t="shared" si="72"/>
        <v>0</v>
      </c>
      <c r="Z258" s="125" t="s">
        <v>119</v>
      </c>
    </row>
    <row r="259" spans="1:26" x14ac:dyDescent="0.2">
      <c r="A259" s="125"/>
      <c r="B259" s="125" t="s">
        <v>120</v>
      </c>
      <c r="C259" s="162">
        <v>645000</v>
      </c>
      <c r="D259" s="126"/>
      <c r="E259" s="162">
        <v>-400000</v>
      </c>
      <c r="F259" s="167">
        <f>49796.39+156674.21+38529.4</f>
        <v>244999.99999999997</v>
      </c>
      <c r="G259" s="163">
        <v>0</v>
      </c>
      <c r="H259" s="164">
        <v>0</v>
      </c>
      <c r="I259" s="163"/>
      <c r="J259" s="163">
        <v>0</v>
      </c>
      <c r="K259" s="163">
        <v>0</v>
      </c>
      <c r="L259" s="162">
        <f t="shared" si="74"/>
        <v>0</v>
      </c>
      <c r="M259" s="162">
        <f t="shared" si="73"/>
        <v>0</v>
      </c>
      <c r="N259" s="162">
        <v>0</v>
      </c>
      <c r="O259" s="162">
        <v>0</v>
      </c>
      <c r="P259" s="136">
        <f t="shared" si="70"/>
        <v>2.9103830456733704E-11</v>
      </c>
      <c r="Q259" s="125"/>
      <c r="S259" s="125" t="s">
        <v>160</v>
      </c>
      <c r="T259" s="125" t="s">
        <v>446</v>
      </c>
      <c r="U259" s="272" t="s">
        <v>447</v>
      </c>
      <c r="V259" s="125" t="s">
        <v>459</v>
      </c>
      <c r="W259" s="125" t="s">
        <v>15</v>
      </c>
      <c r="X259" s="238">
        <f t="shared" si="71"/>
        <v>0</v>
      </c>
      <c r="Y259" s="238">
        <f t="shared" si="72"/>
        <v>0</v>
      </c>
      <c r="Z259" s="125" t="s">
        <v>120</v>
      </c>
    </row>
    <row r="260" spans="1:26" x14ac:dyDescent="0.2">
      <c r="A260" s="125"/>
      <c r="B260" s="125" t="s">
        <v>137</v>
      </c>
      <c r="C260" s="162">
        <v>536000</v>
      </c>
      <c r="D260" s="162"/>
      <c r="E260" s="162"/>
      <c r="F260" s="162">
        <f>113111+422889</f>
        <v>536000</v>
      </c>
      <c r="G260" s="163">
        <v>0</v>
      </c>
      <c r="H260" s="164">
        <v>0</v>
      </c>
      <c r="I260" s="163"/>
      <c r="J260" s="163">
        <v>0</v>
      </c>
      <c r="K260" s="163">
        <v>0</v>
      </c>
      <c r="L260" s="162">
        <f t="shared" si="74"/>
        <v>0</v>
      </c>
      <c r="M260" s="162">
        <f t="shared" si="73"/>
        <v>0</v>
      </c>
      <c r="N260" s="162">
        <v>0</v>
      </c>
      <c r="O260" s="162">
        <v>0</v>
      </c>
      <c r="P260" s="136">
        <f t="shared" si="70"/>
        <v>0</v>
      </c>
      <c r="Q260" s="125"/>
      <c r="S260" s="125" t="s">
        <v>160</v>
      </c>
      <c r="T260" s="125" t="s">
        <v>446</v>
      </c>
      <c r="U260" s="272" t="s">
        <v>447</v>
      </c>
      <c r="V260" s="125" t="s">
        <v>459</v>
      </c>
      <c r="W260" s="125" t="s">
        <v>16</v>
      </c>
      <c r="X260" s="238">
        <f t="shared" si="71"/>
        <v>0</v>
      </c>
      <c r="Y260" s="238">
        <f t="shared" si="72"/>
        <v>0</v>
      </c>
      <c r="Z260" s="125" t="s">
        <v>137</v>
      </c>
    </row>
    <row r="261" spans="1:26" x14ac:dyDescent="0.2">
      <c r="A261" s="125"/>
      <c r="B261" s="125" t="s">
        <v>122</v>
      </c>
      <c r="C261" s="162">
        <v>1589000</v>
      </c>
      <c r="D261" s="162">
        <v>-3243.25</v>
      </c>
      <c r="E261" s="162"/>
      <c r="F261" s="162">
        <f>1300000+277326.79+8429.96</f>
        <v>1585756.75</v>
      </c>
      <c r="G261" s="163">
        <v>0</v>
      </c>
      <c r="H261" s="164">
        <v>0</v>
      </c>
      <c r="I261" s="163"/>
      <c r="J261" s="163">
        <v>0</v>
      </c>
      <c r="K261" s="163">
        <v>0</v>
      </c>
      <c r="L261" s="162">
        <f t="shared" si="74"/>
        <v>0</v>
      </c>
      <c r="M261" s="162">
        <f t="shared" si="73"/>
        <v>0</v>
      </c>
      <c r="N261" s="162">
        <v>0</v>
      </c>
      <c r="O261" s="162">
        <v>0</v>
      </c>
      <c r="P261" s="136">
        <f t="shared" si="70"/>
        <v>0</v>
      </c>
      <c r="Q261" s="125"/>
      <c r="S261" s="125" t="s">
        <v>160</v>
      </c>
      <c r="T261" s="125" t="s">
        <v>446</v>
      </c>
      <c r="U261" s="272" t="s">
        <v>447</v>
      </c>
      <c r="V261" s="125" t="s">
        <v>459</v>
      </c>
      <c r="W261" s="125" t="s">
        <v>17</v>
      </c>
      <c r="X261" s="238">
        <f t="shared" si="71"/>
        <v>0</v>
      </c>
      <c r="Y261" s="238">
        <f t="shared" si="72"/>
        <v>0</v>
      </c>
      <c r="Z261" s="125" t="s">
        <v>122</v>
      </c>
    </row>
    <row r="262" spans="1:26" x14ac:dyDescent="0.2">
      <c r="A262" s="125"/>
      <c r="B262" s="125" t="s">
        <v>123</v>
      </c>
      <c r="C262" s="153">
        <v>418000</v>
      </c>
      <c r="D262" s="154"/>
      <c r="E262" s="154"/>
      <c r="F262" s="162">
        <f>318000+100000</f>
        <v>418000</v>
      </c>
      <c r="G262" s="163">
        <v>0</v>
      </c>
      <c r="H262" s="164">
        <v>0</v>
      </c>
      <c r="I262" s="163"/>
      <c r="J262" s="163">
        <v>0</v>
      </c>
      <c r="K262" s="163">
        <v>0</v>
      </c>
      <c r="L262" s="162">
        <f t="shared" si="74"/>
        <v>0</v>
      </c>
      <c r="M262" s="162">
        <f t="shared" si="73"/>
        <v>0</v>
      </c>
      <c r="N262" s="162">
        <v>0</v>
      </c>
      <c r="O262" s="162">
        <v>0</v>
      </c>
      <c r="P262" s="136">
        <f t="shared" si="70"/>
        <v>0</v>
      </c>
      <c r="Q262" s="125"/>
      <c r="S262" s="125" t="s">
        <v>160</v>
      </c>
      <c r="T262" s="125" t="s">
        <v>446</v>
      </c>
      <c r="U262" s="272" t="s">
        <v>447</v>
      </c>
      <c r="V262" s="125" t="s">
        <v>459</v>
      </c>
      <c r="W262" s="125" t="s">
        <v>18</v>
      </c>
      <c r="X262" s="238">
        <f t="shared" si="71"/>
        <v>0</v>
      </c>
      <c r="Y262" s="238">
        <f t="shared" si="72"/>
        <v>0</v>
      </c>
      <c r="Z262" s="125" t="s">
        <v>123</v>
      </c>
    </row>
    <row r="263" spans="1:26" x14ac:dyDescent="0.2">
      <c r="A263" s="125"/>
      <c r="B263" s="125"/>
      <c r="C263" s="153"/>
      <c r="D263" s="154"/>
      <c r="E263" s="154"/>
      <c r="F263" s="162"/>
      <c r="G263" s="156"/>
      <c r="H263" s="157"/>
      <c r="I263" s="156"/>
      <c r="J263" s="156"/>
      <c r="K263" s="156"/>
      <c r="L263" s="154"/>
      <c r="M263" s="154"/>
      <c r="N263" s="154"/>
      <c r="O263" s="154"/>
      <c r="P263" s="125"/>
      <c r="Q263" s="125"/>
    </row>
    <row r="264" spans="1:26" ht="13.5" thickBot="1" x14ac:dyDescent="0.25">
      <c r="A264" s="125"/>
      <c r="B264" s="168" t="s">
        <v>192</v>
      </c>
      <c r="C264" s="169">
        <f t="shared" ref="C264:O264" si="75">SUM(C248:C263)</f>
        <v>32000000</v>
      </c>
      <c r="D264" s="169">
        <f t="shared" si="75"/>
        <v>-94712.82</v>
      </c>
      <c r="E264" s="169">
        <f t="shared" si="75"/>
        <v>-594040.47</v>
      </c>
      <c r="F264" s="192">
        <f t="shared" si="75"/>
        <v>31223408.740000002</v>
      </c>
      <c r="G264" s="169">
        <f t="shared" si="75"/>
        <v>87837.970000000059</v>
      </c>
      <c r="H264" s="193">
        <f>SUM(H248:H263)</f>
        <v>87837.97</v>
      </c>
      <c r="I264" s="169">
        <f>SUM(I248:I263)</f>
        <v>0</v>
      </c>
      <c r="J264" s="169">
        <f t="shared" si="75"/>
        <v>0</v>
      </c>
      <c r="K264" s="169">
        <f t="shared" si="75"/>
        <v>0</v>
      </c>
      <c r="L264" s="169">
        <f t="shared" si="75"/>
        <v>5.8207660913467407E-11</v>
      </c>
      <c r="M264" s="169">
        <f t="shared" si="75"/>
        <v>0</v>
      </c>
      <c r="N264" s="169">
        <f t="shared" si="75"/>
        <v>0</v>
      </c>
      <c r="O264" s="169">
        <f t="shared" si="75"/>
        <v>87837.97</v>
      </c>
      <c r="P264" s="136">
        <f>C264+D264+E264-F264-G264</f>
        <v>-1.2514647096395493E-9</v>
      </c>
      <c r="Q264" s="125"/>
      <c r="W264" s="165"/>
      <c r="X264" s="125"/>
      <c r="Y264" s="125"/>
    </row>
    <row r="265" spans="1:26" ht="13.5" thickTop="1" x14ac:dyDescent="0.2">
      <c r="A265" s="125"/>
      <c r="B265" s="165"/>
      <c r="C265" s="153"/>
      <c r="D265" s="153"/>
      <c r="E265" s="153"/>
      <c r="F265" s="162"/>
      <c r="G265" s="153"/>
      <c r="H265" s="166"/>
      <c r="I265" s="153"/>
      <c r="J265" s="153"/>
      <c r="K265" s="153"/>
      <c r="L265" s="153"/>
      <c r="M265" s="153"/>
      <c r="N265" s="153"/>
      <c r="O265" s="153"/>
      <c r="P265" s="125"/>
      <c r="Q265" s="125"/>
      <c r="W265" s="165"/>
      <c r="Z265" s="165"/>
    </row>
    <row r="266" spans="1:26" x14ac:dyDescent="0.2">
      <c r="A266" s="165" t="s">
        <v>193</v>
      </c>
      <c r="B266" s="125"/>
      <c r="C266" s="153"/>
      <c r="D266" s="154"/>
      <c r="E266" s="154"/>
      <c r="F266" s="162"/>
      <c r="G266" s="156"/>
      <c r="H266" s="157"/>
      <c r="I266" s="156"/>
      <c r="J266" s="156"/>
      <c r="K266" s="156"/>
      <c r="L266" s="154"/>
      <c r="M266" s="154"/>
      <c r="N266" s="154"/>
      <c r="O266" s="154"/>
      <c r="P266" s="135"/>
      <c r="Q266" s="125"/>
    </row>
    <row r="267" spans="1:26" x14ac:dyDescent="0.2">
      <c r="A267" s="125"/>
      <c r="B267" s="125" t="s">
        <v>194</v>
      </c>
      <c r="C267" s="153">
        <v>10000000</v>
      </c>
      <c r="D267" s="162">
        <v>-1769675.29</v>
      </c>
      <c r="E267" s="154"/>
      <c r="F267" s="162">
        <f>552213+682212+342650+3502647.59+156429.35+2684355.93+300831.87+5989.98+2994.99</f>
        <v>8230324.71</v>
      </c>
      <c r="G267" s="163">
        <v>0</v>
      </c>
      <c r="H267" s="164">
        <v>0</v>
      </c>
      <c r="I267" s="163">
        <f>[2]UMBC!I269</f>
        <v>0</v>
      </c>
      <c r="J267" s="163">
        <f>[2]UMBC!J269</f>
        <v>0</v>
      </c>
      <c r="K267" s="163">
        <f>[2]UMBC!K269</f>
        <v>0</v>
      </c>
      <c r="L267" s="162">
        <f>G267-H267-I267-J267-K267</f>
        <v>0</v>
      </c>
      <c r="M267" s="162">
        <f>H267-N267-O267</f>
        <v>0</v>
      </c>
      <c r="N267" s="162">
        <v>0</v>
      </c>
      <c r="O267" s="162">
        <v>0</v>
      </c>
      <c r="P267" s="136">
        <f t="shared" ref="P267:P285" si="76">C267+D267+E267-F267-G267</f>
        <v>0</v>
      </c>
      <c r="Q267" s="125"/>
      <c r="S267" s="125" t="s">
        <v>160</v>
      </c>
      <c r="T267" s="125" t="s">
        <v>160</v>
      </c>
      <c r="U267" s="125">
        <v>20</v>
      </c>
      <c r="V267" s="125" t="s">
        <v>38</v>
      </c>
      <c r="W267" s="125" t="s">
        <v>11</v>
      </c>
      <c r="X267" s="238">
        <f t="shared" ref="X267:X285" si="77">H267</f>
        <v>0</v>
      </c>
      <c r="Y267" s="238">
        <f t="shared" ref="Y267:Y285" si="78">L267</f>
        <v>0</v>
      </c>
      <c r="Z267" s="125" t="s">
        <v>194</v>
      </c>
    </row>
    <row r="268" spans="1:26" x14ac:dyDescent="0.2">
      <c r="A268" s="125"/>
      <c r="B268" s="165" t="s">
        <v>112</v>
      </c>
      <c r="C268" s="153"/>
      <c r="D268" s="154"/>
      <c r="E268" s="154"/>
      <c r="F268" s="162"/>
      <c r="G268" s="156"/>
      <c r="H268" s="157"/>
      <c r="I268" s="156"/>
      <c r="J268" s="156"/>
      <c r="K268" s="156"/>
      <c r="L268" s="162"/>
      <c r="M268" s="162"/>
      <c r="N268" s="162"/>
      <c r="O268" s="162"/>
      <c r="P268" s="136">
        <f t="shared" si="76"/>
        <v>0</v>
      </c>
      <c r="Q268" s="125"/>
      <c r="W268" s="165"/>
      <c r="Z268" s="165"/>
    </row>
    <row r="269" spans="1:26" x14ac:dyDescent="0.2">
      <c r="A269" s="125"/>
      <c r="B269" s="125" t="s">
        <v>113</v>
      </c>
      <c r="C269" s="153">
        <v>7300000</v>
      </c>
      <c r="D269" s="154"/>
      <c r="E269" s="154"/>
      <c r="F269" s="162">
        <f>521101.62+5465039.68+650600.48+663258.22</f>
        <v>7299999.9999999991</v>
      </c>
      <c r="G269" s="163">
        <v>0</v>
      </c>
      <c r="H269" s="164">
        <v>0</v>
      </c>
      <c r="I269" s="163">
        <f>[2]UMCP!I261</f>
        <v>0</v>
      </c>
      <c r="J269" s="163">
        <f>[2]UMCP!J261</f>
        <v>0</v>
      </c>
      <c r="K269" s="163">
        <v>0</v>
      </c>
      <c r="L269" s="162">
        <f>G269-H269-I269-J269</f>
        <v>0</v>
      </c>
      <c r="M269" s="162">
        <f t="shared" ref="M269:M285" si="79">H269-N269-O269</f>
        <v>0</v>
      </c>
      <c r="N269" s="162"/>
      <c r="O269" s="162">
        <v>0</v>
      </c>
      <c r="P269" s="136">
        <f t="shared" si="76"/>
        <v>9.3132257461547852E-10</v>
      </c>
      <c r="Q269" s="125"/>
      <c r="S269" s="125" t="s">
        <v>160</v>
      </c>
      <c r="T269" s="125" t="s">
        <v>446</v>
      </c>
      <c r="U269" s="272" t="s">
        <v>447</v>
      </c>
      <c r="V269" s="125" t="s">
        <v>38</v>
      </c>
      <c r="W269" s="125" t="s">
        <v>7</v>
      </c>
      <c r="X269" s="238">
        <f t="shared" si="77"/>
        <v>0</v>
      </c>
      <c r="Y269" s="238">
        <f t="shared" si="78"/>
        <v>0</v>
      </c>
      <c r="Z269" s="125" t="s">
        <v>113</v>
      </c>
    </row>
    <row r="270" spans="1:26" x14ac:dyDescent="0.2">
      <c r="A270" s="125"/>
      <c r="B270" s="125" t="s">
        <v>114</v>
      </c>
      <c r="C270" s="153">
        <v>2675000</v>
      </c>
      <c r="D270" s="162">
        <v>-0.44</v>
      </c>
      <c r="E270" s="154"/>
      <c r="F270" s="162">
        <f>255402.95+12508.9+6918.83+51395+1530284.28+792620+5949.45+365.57+8437.42</f>
        <v>2663882.4</v>
      </c>
      <c r="G270" s="163">
        <v>11117.15999999992</v>
      </c>
      <c r="H270" s="164">
        <v>11117.16</v>
      </c>
      <c r="I270" s="163">
        <f>[2]UMB!I346</f>
        <v>0</v>
      </c>
      <c r="J270" s="163">
        <f>[2]UMB!J346</f>
        <v>0</v>
      </c>
      <c r="K270" s="163">
        <v>0</v>
      </c>
      <c r="L270" s="162">
        <f t="shared" ref="L270:L278" si="80">G270-H270-I270-J270-K270</f>
        <v>-8.0035533756017685E-11</v>
      </c>
      <c r="M270" s="162">
        <f t="shared" si="79"/>
        <v>0</v>
      </c>
      <c r="N270" s="162">
        <v>0</v>
      </c>
      <c r="O270" s="162">
        <v>11117.16</v>
      </c>
      <c r="P270" s="136">
        <f t="shared" si="76"/>
        <v>2.2919266484677792E-10</v>
      </c>
      <c r="Q270" s="125"/>
      <c r="S270" s="125" t="s">
        <v>160</v>
      </c>
      <c r="T270" s="125" t="s">
        <v>446</v>
      </c>
      <c r="U270" s="272" t="s">
        <v>447</v>
      </c>
      <c r="V270" s="125" t="s">
        <v>38</v>
      </c>
      <c r="W270" s="125" t="s">
        <v>8</v>
      </c>
      <c r="X270" s="238">
        <f t="shared" si="77"/>
        <v>11117.16</v>
      </c>
      <c r="Y270" s="238">
        <f t="shared" si="78"/>
        <v>-8.0035533756017685E-11</v>
      </c>
      <c r="Z270" s="125" t="s">
        <v>114</v>
      </c>
    </row>
    <row r="271" spans="1:26" x14ac:dyDescent="0.2">
      <c r="A271" s="125"/>
      <c r="B271" s="125" t="s">
        <v>115</v>
      </c>
      <c r="C271" s="153">
        <v>642000</v>
      </c>
      <c r="D271" s="154"/>
      <c r="E271" s="154"/>
      <c r="F271" s="162">
        <f>467739.04+174260.96</f>
        <v>642000</v>
      </c>
      <c r="G271" s="163">
        <v>0</v>
      </c>
      <c r="H271" s="163">
        <v>0</v>
      </c>
      <c r="I271" s="164">
        <v>0</v>
      </c>
      <c r="J271" s="163">
        <f>[2]UMES!J137</f>
        <v>0</v>
      </c>
      <c r="K271" s="163">
        <v>0</v>
      </c>
      <c r="L271" s="162">
        <f t="shared" si="80"/>
        <v>0</v>
      </c>
      <c r="M271" s="162">
        <f t="shared" si="79"/>
        <v>0</v>
      </c>
      <c r="N271" s="162"/>
      <c r="O271" s="162">
        <v>0</v>
      </c>
      <c r="P271" s="136">
        <f t="shared" si="76"/>
        <v>0</v>
      </c>
      <c r="Q271" s="125"/>
      <c r="S271" s="125" t="s">
        <v>160</v>
      </c>
      <c r="T271" s="125" t="s">
        <v>446</v>
      </c>
      <c r="U271" s="272" t="s">
        <v>447</v>
      </c>
      <c r="V271" s="125" t="s">
        <v>38</v>
      </c>
      <c r="W271" s="125" t="s">
        <v>10</v>
      </c>
      <c r="X271" s="238">
        <f t="shared" si="77"/>
        <v>0</v>
      </c>
      <c r="Y271" s="238">
        <f t="shared" si="78"/>
        <v>0</v>
      </c>
      <c r="Z271" s="125" t="s">
        <v>115</v>
      </c>
    </row>
    <row r="272" spans="1:26" x14ac:dyDescent="0.2">
      <c r="A272" s="125"/>
      <c r="B272" s="125" t="s">
        <v>116</v>
      </c>
      <c r="C272" s="153">
        <v>1452000</v>
      </c>
      <c r="D272" s="154"/>
      <c r="E272" s="154"/>
      <c r="F272" s="162">
        <f>11398.09+376900.74+3678+387308.65+333834.19+133880.33+205000</f>
        <v>1452000</v>
      </c>
      <c r="G272" s="163">
        <v>0</v>
      </c>
      <c r="H272" s="163">
        <v>0</v>
      </c>
      <c r="I272" s="164">
        <v>0</v>
      </c>
      <c r="J272" s="163">
        <f>[2]UMBC!J128</f>
        <v>0</v>
      </c>
      <c r="K272" s="163">
        <v>0</v>
      </c>
      <c r="L272" s="162">
        <f t="shared" si="80"/>
        <v>0</v>
      </c>
      <c r="M272" s="162">
        <f t="shared" si="79"/>
        <v>0</v>
      </c>
      <c r="N272" s="162"/>
      <c r="O272" s="162">
        <v>0</v>
      </c>
      <c r="P272" s="136">
        <f t="shared" si="76"/>
        <v>0</v>
      </c>
      <c r="Q272" s="125"/>
      <c r="S272" s="125" t="s">
        <v>160</v>
      </c>
      <c r="T272" s="125" t="s">
        <v>446</v>
      </c>
      <c r="U272" s="272" t="s">
        <v>447</v>
      </c>
      <c r="V272" s="125" t="s">
        <v>38</v>
      </c>
      <c r="W272" s="125" t="s">
        <v>11</v>
      </c>
      <c r="X272" s="238">
        <f t="shared" si="77"/>
        <v>0</v>
      </c>
      <c r="Y272" s="238">
        <f t="shared" si="78"/>
        <v>0</v>
      </c>
      <c r="Z272" s="125" t="s">
        <v>116</v>
      </c>
    </row>
    <row r="273" spans="1:26" x14ac:dyDescent="0.2">
      <c r="A273" s="125"/>
      <c r="B273" s="125" t="s">
        <v>117</v>
      </c>
      <c r="C273" s="153">
        <v>317000</v>
      </c>
      <c r="D273" s="154"/>
      <c r="E273" s="154"/>
      <c r="F273" s="162">
        <f>155066.67+155318.95+6614.38</f>
        <v>317000</v>
      </c>
      <c r="G273" s="163">
        <v>0</v>
      </c>
      <c r="H273" s="163">
        <v>0</v>
      </c>
      <c r="I273" s="164">
        <v>0</v>
      </c>
      <c r="J273" s="163">
        <f>[2]UMCES!J143</f>
        <v>0</v>
      </c>
      <c r="K273" s="163">
        <v>0</v>
      </c>
      <c r="L273" s="162">
        <f t="shared" si="80"/>
        <v>0</v>
      </c>
      <c r="M273" s="162">
        <f t="shared" si="79"/>
        <v>0</v>
      </c>
      <c r="N273" s="162"/>
      <c r="O273" s="162">
        <v>0</v>
      </c>
      <c r="P273" s="136">
        <f t="shared" si="76"/>
        <v>0</v>
      </c>
      <c r="Q273" s="125"/>
      <c r="S273" s="125" t="s">
        <v>160</v>
      </c>
      <c r="T273" s="125" t="s">
        <v>446</v>
      </c>
      <c r="U273" s="272" t="s">
        <v>447</v>
      </c>
      <c r="V273" s="125" t="s">
        <v>38</v>
      </c>
      <c r="W273" s="125" t="s">
        <v>12</v>
      </c>
      <c r="X273" s="238">
        <f t="shared" si="77"/>
        <v>0</v>
      </c>
      <c r="Y273" s="238">
        <f t="shared" si="78"/>
        <v>0</v>
      </c>
      <c r="Z273" s="125" t="s">
        <v>117</v>
      </c>
    </row>
    <row r="274" spans="1:26" x14ac:dyDescent="0.2">
      <c r="A274" s="125"/>
      <c r="B274" s="125" t="s">
        <v>118</v>
      </c>
      <c r="C274" s="153">
        <v>554000</v>
      </c>
      <c r="D274" s="154"/>
      <c r="E274" s="154"/>
      <c r="F274" s="162">
        <f>13775+173037.91+61664+305523.09</f>
        <v>554000</v>
      </c>
      <c r="G274" s="163">
        <v>0</v>
      </c>
      <c r="H274" s="163">
        <v>0</v>
      </c>
      <c r="I274" s="164">
        <v>0</v>
      </c>
      <c r="J274" s="163">
        <f>[2]BSU!J130</f>
        <v>0</v>
      </c>
      <c r="K274" s="163">
        <v>0</v>
      </c>
      <c r="L274" s="162">
        <f t="shared" si="80"/>
        <v>0</v>
      </c>
      <c r="M274" s="162">
        <f t="shared" si="79"/>
        <v>0</v>
      </c>
      <c r="N274" s="162"/>
      <c r="O274" s="162">
        <v>0</v>
      </c>
      <c r="P274" s="136">
        <f t="shared" si="76"/>
        <v>0</v>
      </c>
      <c r="Q274" s="125"/>
      <c r="S274" s="125" t="s">
        <v>160</v>
      </c>
      <c r="T274" s="125" t="s">
        <v>446</v>
      </c>
      <c r="U274" s="272" t="s">
        <v>447</v>
      </c>
      <c r="V274" s="125" t="s">
        <v>38</v>
      </c>
      <c r="W274" s="125" t="s">
        <v>13</v>
      </c>
      <c r="X274" s="238">
        <f t="shared" si="77"/>
        <v>0</v>
      </c>
      <c r="Y274" s="238">
        <f t="shared" si="78"/>
        <v>0</v>
      </c>
      <c r="Z274" s="125" t="s">
        <v>118</v>
      </c>
    </row>
    <row r="275" spans="1:26" x14ac:dyDescent="0.2">
      <c r="A275" s="125"/>
      <c r="B275" s="125" t="s">
        <v>119</v>
      </c>
      <c r="C275" s="153">
        <v>409000</v>
      </c>
      <c r="D275" s="154"/>
      <c r="E275" s="154"/>
      <c r="F275" s="162">
        <f>241560+167440</f>
        <v>409000</v>
      </c>
      <c r="G275" s="163">
        <v>0</v>
      </c>
      <c r="H275" s="163">
        <v>0</v>
      </c>
      <c r="I275" s="164">
        <v>0</v>
      </c>
      <c r="J275" s="163">
        <f>[2]CSU!J187</f>
        <v>0</v>
      </c>
      <c r="K275" s="163">
        <v>0</v>
      </c>
      <c r="L275" s="162">
        <f t="shared" si="80"/>
        <v>0</v>
      </c>
      <c r="M275" s="162">
        <f t="shared" si="79"/>
        <v>0</v>
      </c>
      <c r="N275" s="162"/>
      <c r="O275" s="162">
        <v>0</v>
      </c>
      <c r="P275" s="136">
        <f t="shared" si="76"/>
        <v>0</v>
      </c>
      <c r="Q275" s="125"/>
      <c r="S275" s="125" t="s">
        <v>160</v>
      </c>
      <c r="T275" s="125" t="s">
        <v>446</v>
      </c>
      <c r="U275" s="272" t="s">
        <v>447</v>
      </c>
      <c r="V275" s="125" t="s">
        <v>38</v>
      </c>
      <c r="W275" s="125" t="s">
        <v>14</v>
      </c>
      <c r="X275" s="238">
        <f t="shared" si="77"/>
        <v>0</v>
      </c>
      <c r="Y275" s="238">
        <f t="shared" si="78"/>
        <v>0</v>
      </c>
      <c r="Z275" s="125" t="s">
        <v>119</v>
      </c>
    </row>
    <row r="276" spans="1:26" x14ac:dyDescent="0.2">
      <c r="A276" s="125"/>
      <c r="B276" s="125" t="s">
        <v>120</v>
      </c>
      <c r="C276" s="153">
        <v>645000</v>
      </c>
      <c r="D276" s="162">
        <v>-123.84</v>
      </c>
      <c r="E276" s="154"/>
      <c r="F276" s="162">
        <f>149747.86+233123.53+236648.98+10887.79+14468</f>
        <v>644876.16</v>
      </c>
      <c r="G276" s="163">
        <v>0</v>
      </c>
      <c r="H276" s="163">
        <v>0</v>
      </c>
      <c r="I276" s="164">
        <v>0</v>
      </c>
      <c r="J276" s="163">
        <f>[2]FSU!J160</f>
        <v>0</v>
      </c>
      <c r="K276" s="163">
        <v>0</v>
      </c>
      <c r="L276" s="162">
        <f t="shared" si="80"/>
        <v>0</v>
      </c>
      <c r="M276" s="162">
        <f t="shared" si="79"/>
        <v>0</v>
      </c>
      <c r="N276" s="162"/>
      <c r="O276" s="162">
        <v>0</v>
      </c>
      <c r="P276" s="136">
        <f t="shared" si="76"/>
        <v>0</v>
      </c>
      <c r="Q276" s="125"/>
      <c r="S276" s="125" t="s">
        <v>160</v>
      </c>
      <c r="T276" s="125" t="s">
        <v>446</v>
      </c>
      <c r="U276" s="272" t="s">
        <v>447</v>
      </c>
      <c r="V276" s="125" t="s">
        <v>38</v>
      </c>
      <c r="W276" s="125" t="s">
        <v>15</v>
      </c>
      <c r="X276" s="238">
        <f t="shared" si="77"/>
        <v>0</v>
      </c>
      <c r="Y276" s="238">
        <f t="shared" si="78"/>
        <v>0</v>
      </c>
      <c r="Z276" s="125" t="s">
        <v>120</v>
      </c>
    </row>
    <row r="277" spans="1:26" x14ac:dyDescent="0.2">
      <c r="A277" s="125"/>
      <c r="B277" s="125" t="s">
        <v>137</v>
      </c>
      <c r="C277" s="153">
        <v>536000</v>
      </c>
      <c r="D277" s="154"/>
      <c r="E277" s="154"/>
      <c r="F277" s="162">
        <f>9769.18+136034.79+390196.03</f>
        <v>536000</v>
      </c>
      <c r="G277" s="163">
        <v>0</v>
      </c>
      <c r="H277" s="163">
        <v>0</v>
      </c>
      <c r="I277" s="164">
        <v>0</v>
      </c>
      <c r="J277" s="163">
        <f>[2]SU!J143</f>
        <v>0</v>
      </c>
      <c r="K277" s="163">
        <v>0</v>
      </c>
      <c r="L277" s="162">
        <f t="shared" si="80"/>
        <v>0</v>
      </c>
      <c r="M277" s="162">
        <f t="shared" si="79"/>
        <v>0</v>
      </c>
      <c r="N277" s="162"/>
      <c r="O277" s="162">
        <v>0</v>
      </c>
      <c r="P277" s="136">
        <f t="shared" si="76"/>
        <v>0</v>
      </c>
      <c r="Q277" s="125"/>
      <c r="S277" s="125" t="s">
        <v>160</v>
      </c>
      <c r="T277" s="125" t="s">
        <v>446</v>
      </c>
      <c r="U277" s="272" t="s">
        <v>447</v>
      </c>
      <c r="V277" s="125" t="s">
        <v>38</v>
      </c>
      <c r="W277" s="125" t="s">
        <v>16</v>
      </c>
      <c r="X277" s="238">
        <f t="shared" si="77"/>
        <v>0</v>
      </c>
      <c r="Y277" s="238">
        <f t="shared" si="78"/>
        <v>0</v>
      </c>
      <c r="Z277" s="125" t="s">
        <v>137</v>
      </c>
    </row>
    <row r="278" spans="1:26" x14ac:dyDescent="0.2">
      <c r="A278" s="125"/>
      <c r="B278" s="125" t="s">
        <v>122</v>
      </c>
      <c r="C278" s="153">
        <v>1589000</v>
      </c>
      <c r="D278" s="154"/>
      <c r="E278" s="154"/>
      <c r="F278" s="162">
        <f>13876.75+13876.75+372246.5+900000+276250+12750</f>
        <v>1589000</v>
      </c>
      <c r="G278" s="163">
        <v>0</v>
      </c>
      <c r="H278" s="163">
        <v>0</v>
      </c>
      <c r="I278" s="164">
        <v>0</v>
      </c>
      <c r="J278" s="163">
        <f>[2]TU!J315+[2]TU!J321+[2]TU!J328</f>
        <v>0</v>
      </c>
      <c r="K278" s="163">
        <v>0</v>
      </c>
      <c r="L278" s="162">
        <f t="shared" si="80"/>
        <v>0</v>
      </c>
      <c r="M278" s="162">
        <f t="shared" si="79"/>
        <v>0</v>
      </c>
      <c r="N278" s="162"/>
      <c r="O278" s="162">
        <v>0</v>
      </c>
      <c r="P278" s="136">
        <f t="shared" si="76"/>
        <v>0</v>
      </c>
      <c r="Q278" s="125"/>
      <c r="S278" s="125" t="s">
        <v>160</v>
      </c>
      <c r="T278" s="125" t="s">
        <v>446</v>
      </c>
      <c r="U278" s="272" t="s">
        <v>447</v>
      </c>
      <c r="V278" s="125" t="s">
        <v>38</v>
      </c>
      <c r="W278" s="125" t="s">
        <v>17</v>
      </c>
      <c r="X278" s="238">
        <f t="shared" si="77"/>
        <v>0</v>
      </c>
      <c r="Y278" s="238">
        <f t="shared" si="78"/>
        <v>0</v>
      </c>
      <c r="Z278" s="125" t="s">
        <v>122</v>
      </c>
    </row>
    <row r="279" spans="1:26" x14ac:dyDescent="0.2">
      <c r="A279" s="125"/>
      <c r="B279" s="125" t="s">
        <v>123</v>
      </c>
      <c r="C279" s="153">
        <v>418000</v>
      </c>
      <c r="D279" s="154"/>
      <c r="E279" s="154"/>
      <c r="F279" s="162">
        <v>418000</v>
      </c>
      <c r="G279" s="163">
        <v>0</v>
      </c>
      <c r="H279" s="163">
        <v>0</v>
      </c>
      <c r="I279" s="164">
        <v>0</v>
      </c>
      <c r="J279" s="163">
        <f>[2]UB!J145</f>
        <v>0</v>
      </c>
      <c r="K279" s="163">
        <v>0</v>
      </c>
      <c r="L279" s="162">
        <f>G279-H279-I279-J279</f>
        <v>0</v>
      </c>
      <c r="M279" s="162">
        <f t="shared" si="79"/>
        <v>0</v>
      </c>
      <c r="N279" s="162"/>
      <c r="O279" s="162">
        <v>0</v>
      </c>
      <c r="P279" s="136">
        <f t="shared" si="76"/>
        <v>0</v>
      </c>
      <c r="Q279" s="125"/>
      <c r="S279" s="125" t="s">
        <v>160</v>
      </c>
      <c r="T279" s="125" t="s">
        <v>446</v>
      </c>
      <c r="U279" s="272" t="s">
        <v>447</v>
      </c>
      <c r="V279" s="125" t="s">
        <v>38</v>
      </c>
      <c r="W279" s="125" t="s">
        <v>18</v>
      </c>
      <c r="X279" s="238">
        <f t="shared" si="77"/>
        <v>0</v>
      </c>
      <c r="Y279" s="238">
        <f t="shared" si="78"/>
        <v>0</v>
      </c>
      <c r="Z279" s="125" t="s">
        <v>123</v>
      </c>
    </row>
    <row r="280" spans="1:26" x14ac:dyDescent="0.2">
      <c r="A280" s="125"/>
      <c r="B280" s="165" t="s">
        <v>127</v>
      </c>
      <c r="C280" s="153">
        <v>463000</v>
      </c>
      <c r="D280" s="167"/>
      <c r="E280" s="167">
        <f>7473.73+143543.54+140950.06+80486.28+307.72+1573.79+225393.78+161515+6500+43000+48474-24985+400000-95042.36-352416-347584-73000-829190.54</f>
        <v>-463000.00000000023</v>
      </c>
      <c r="F280" s="167"/>
      <c r="G280" s="163"/>
      <c r="H280" s="163"/>
      <c r="I280" s="163"/>
      <c r="J280" s="163"/>
      <c r="K280" s="163"/>
      <c r="L280" s="162"/>
      <c r="M280" s="162">
        <f t="shared" si="79"/>
        <v>0</v>
      </c>
      <c r="N280" s="162"/>
      <c r="O280" s="162"/>
      <c r="P280" s="136">
        <f t="shared" si="76"/>
        <v>-2.3283064365386963E-10</v>
      </c>
      <c r="Q280" s="125"/>
      <c r="S280" s="125" t="s">
        <v>160</v>
      </c>
      <c r="T280" s="125" t="s">
        <v>446</v>
      </c>
      <c r="U280" s="272" t="s">
        <v>447</v>
      </c>
      <c r="V280" s="125" t="s">
        <v>38</v>
      </c>
      <c r="W280" s="165" t="s">
        <v>32</v>
      </c>
      <c r="X280" s="238">
        <f t="shared" si="77"/>
        <v>0</v>
      </c>
      <c r="Y280" s="238">
        <f t="shared" si="78"/>
        <v>0</v>
      </c>
      <c r="Z280" s="165" t="s">
        <v>127</v>
      </c>
    </row>
    <row r="281" spans="1:26" x14ac:dyDescent="0.2">
      <c r="A281" s="125"/>
      <c r="B281" s="125" t="s">
        <v>195</v>
      </c>
      <c r="C281" s="153"/>
      <c r="D281" s="132"/>
      <c r="E281" s="162">
        <v>95042.36</v>
      </c>
      <c r="F281" s="167">
        <f>18164+76878.36</f>
        <v>95042.36</v>
      </c>
      <c r="G281" s="163">
        <v>0</v>
      </c>
      <c r="H281" s="163">
        <v>0</v>
      </c>
      <c r="I281" s="164">
        <v>0</v>
      </c>
      <c r="J281" s="163">
        <f>[2]UMB!J32</f>
        <v>0</v>
      </c>
      <c r="K281" s="163">
        <v>0</v>
      </c>
      <c r="L281" s="162">
        <f>G281-H281-I281-J281-K281</f>
        <v>0</v>
      </c>
      <c r="M281" s="162">
        <f t="shared" si="79"/>
        <v>0</v>
      </c>
      <c r="N281" s="162"/>
      <c r="O281" s="162">
        <v>0</v>
      </c>
      <c r="P281" s="136">
        <f t="shared" si="76"/>
        <v>0</v>
      </c>
      <c r="Q281" s="125"/>
      <c r="S281" s="125" t="s">
        <v>160</v>
      </c>
      <c r="T281" s="125" t="s">
        <v>446</v>
      </c>
      <c r="U281" s="272" t="s">
        <v>447</v>
      </c>
      <c r="V281" s="125" t="s">
        <v>38</v>
      </c>
      <c r="W281" s="125" t="s">
        <v>8</v>
      </c>
      <c r="X281" s="238">
        <f t="shared" si="77"/>
        <v>0</v>
      </c>
      <c r="Y281" s="238">
        <f t="shared" si="78"/>
        <v>0</v>
      </c>
      <c r="Z281" s="125" t="s">
        <v>195</v>
      </c>
    </row>
    <row r="282" spans="1:26" x14ac:dyDescent="0.2">
      <c r="A282" s="125"/>
      <c r="B282" s="125" t="s">
        <v>196</v>
      </c>
      <c r="C282" s="153"/>
      <c r="D282" s="132"/>
      <c r="E282" s="162">
        <v>24985</v>
      </c>
      <c r="F282" s="167">
        <v>24985</v>
      </c>
      <c r="G282" s="163">
        <v>0</v>
      </c>
      <c r="H282" s="163">
        <v>0</v>
      </c>
      <c r="I282" s="164">
        <v>0</v>
      </c>
      <c r="J282" s="163">
        <f>[2]UMBC!J8</f>
        <v>0</v>
      </c>
      <c r="K282" s="163">
        <v>0</v>
      </c>
      <c r="L282" s="162">
        <f>G282-H282-I282-J282-K282</f>
        <v>0</v>
      </c>
      <c r="M282" s="162">
        <f t="shared" si="79"/>
        <v>0</v>
      </c>
      <c r="N282" s="162"/>
      <c r="O282" s="162">
        <v>0</v>
      </c>
      <c r="P282" s="136">
        <f t="shared" si="76"/>
        <v>0</v>
      </c>
      <c r="Q282" s="125"/>
      <c r="S282" s="125" t="s">
        <v>160</v>
      </c>
      <c r="T282" s="125" t="s">
        <v>446</v>
      </c>
      <c r="U282" s="272" t="s">
        <v>447</v>
      </c>
      <c r="V282" s="125" t="s">
        <v>38</v>
      </c>
      <c r="W282" s="125" t="s">
        <v>11</v>
      </c>
      <c r="X282" s="238">
        <f t="shared" si="77"/>
        <v>0</v>
      </c>
      <c r="Y282" s="238">
        <f t="shared" si="78"/>
        <v>0</v>
      </c>
      <c r="Z282" s="125" t="s">
        <v>196</v>
      </c>
    </row>
    <row r="283" spans="1:26" x14ac:dyDescent="0.2">
      <c r="A283" s="125"/>
      <c r="B283" s="125" t="s">
        <v>197</v>
      </c>
      <c r="C283" s="153"/>
      <c r="D283" s="131"/>
      <c r="E283" s="162">
        <f>352416+194040.47</f>
        <v>546456.47</v>
      </c>
      <c r="F283" s="167">
        <f>8359.4+401330.82+136713.16+53.09</f>
        <v>546456.47</v>
      </c>
      <c r="G283" s="163">
        <v>0</v>
      </c>
      <c r="H283" s="163">
        <v>0</v>
      </c>
      <c r="I283" s="164">
        <v>0</v>
      </c>
      <c r="J283" s="163">
        <f>[2]UMCES!J32</f>
        <v>0</v>
      </c>
      <c r="K283" s="163">
        <v>0</v>
      </c>
      <c r="L283" s="162">
        <f>G283-H283-I283-J283-K283</f>
        <v>0</v>
      </c>
      <c r="M283" s="162">
        <f t="shared" si="79"/>
        <v>0</v>
      </c>
      <c r="N283" s="162"/>
      <c r="O283" s="162">
        <v>0</v>
      </c>
      <c r="P283" s="136">
        <f t="shared" si="76"/>
        <v>0</v>
      </c>
      <c r="Q283" s="125"/>
      <c r="S283" s="125" t="s">
        <v>160</v>
      </c>
      <c r="T283" s="125" t="s">
        <v>446</v>
      </c>
      <c r="U283" s="272" t="s">
        <v>447</v>
      </c>
      <c r="V283" s="125" t="s">
        <v>38</v>
      </c>
      <c r="W283" s="125" t="s">
        <v>12</v>
      </c>
      <c r="X283" s="238">
        <f t="shared" si="77"/>
        <v>0</v>
      </c>
      <c r="Y283" s="238">
        <f t="shared" si="78"/>
        <v>0</v>
      </c>
      <c r="Z283" s="125" t="s">
        <v>197</v>
      </c>
    </row>
    <row r="284" spans="1:26" x14ac:dyDescent="0.2">
      <c r="A284" s="125"/>
      <c r="B284" s="125" t="s">
        <v>198</v>
      </c>
      <c r="C284" s="153"/>
      <c r="D284" s="132"/>
      <c r="E284" s="162">
        <v>347584</v>
      </c>
      <c r="F284" s="163">
        <v>347584</v>
      </c>
      <c r="G284" s="163">
        <v>0</v>
      </c>
      <c r="H284" s="163">
        <v>0</v>
      </c>
      <c r="I284" s="164">
        <v>0</v>
      </c>
      <c r="J284" s="163">
        <f>[2]UMCES!J38</f>
        <v>0</v>
      </c>
      <c r="K284" s="163">
        <v>0</v>
      </c>
      <c r="L284" s="162">
        <f>G284-H284-I284-J284-K284</f>
        <v>0</v>
      </c>
      <c r="M284" s="162">
        <f t="shared" si="79"/>
        <v>0</v>
      </c>
      <c r="N284" s="162"/>
      <c r="O284" s="162">
        <v>0</v>
      </c>
      <c r="P284" s="136">
        <f t="shared" si="76"/>
        <v>0</v>
      </c>
      <c r="Q284" s="125"/>
      <c r="S284" s="125" t="s">
        <v>160</v>
      </c>
      <c r="T284" s="125" t="s">
        <v>446</v>
      </c>
      <c r="U284" s="272" t="s">
        <v>447</v>
      </c>
      <c r="V284" s="125" t="s">
        <v>38</v>
      </c>
      <c r="W284" s="125" t="s">
        <v>12</v>
      </c>
      <c r="X284" s="238">
        <f t="shared" si="77"/>
        <v>0</v>
      </c>
      <c r="Y284" s="238">
        <f t="shared" si="78"/>
        <v>0</v>
      </c>
      <c r="Z284" s="125" t="s">
        <v>198</v>
      </c>
    </row>
    <row r="285" spans="1:26" x14ac:dyDescent="0.2">
      <c r="A285" s="125"/>
      <c r="B285" s="125" t="s">
        <v>199</v>
      </c>
      <c r="C285" s="153"/>
      <c r="D285" s="132"/>
      <c r="E285" s="162">
        <v>73000</v>
      </c>
      <c r="F285" s="167">
        <f>63198.5+1789.6+8011.9</f>
        <v>73000</v>
      </c>
      <c r="G285" s="163">
        <v>0</v>
      </c>
      <c r="H285" s="163">
        <v>0</v>
      </c>
      <c r="I285" s="164">
        <v>0</v>
      </c>
      <c r="J285" s="163">
        <f>[2]CSU!J29</f>
        <v>0</v>
      </c>
      <c r="K285" s="163">
        <v>0</v>
      </c>
      <c r="L285" s="162">
        <f>G285-H285-I285-J285-K285</f>
        <v>0</v>
      </c>
      <c r="M285" s="162">
        <f t="shared" si="79"/>
        <v>0</v>
      </c>
      <c r="N285" s="162"/>
      <c r="O285" s="162">
        <v>0</v>
      </c>
      <c r="P285" s="136">
        <f t="shared" si="76"/>
        <v>0</v>
      </c>
      <c r="Q285" s="125"/>
      <c r="S285" s="125" t="s">
        <v>160</v>
      </c>
      <c r="T285" s="125" t="s">
        <v>446</v>
      </c>
      <c r="U285" s="272" t="s">
        <v>447</v>
      </c>
      <c r="V285" s="125" t="s">
        <v>38</v>
      </c>
      <c r="W285" s="125" t="s">
        <v>14</v>
      </c>
      <c r="X285" s="238">
        <f t="shared" si="77"/>
        <v>0</v>
      </c>
      <c r="Y285" s="238">
        <f t="shared" si="78"/>
        <v>0</v>
      </c>
      <c r="Z285" s="125" t="s">
        <v>199</v>
      </c>
    </row>
    <row r="286" spans="1:26" x14ac:dyDescent="0.2">
      <c r="A286" s="125"/>
      <c r="B286" s="125"/>
      <c r="C286" s="153"/>
      <c r="D286" s="154"/>
      <c r="E286" s="154"/>
      <c r="F286" s="162"/>
      <c r="G286" s="156"/>
      <c r="H286" s="157"/>
      <c r="I286" s="156"/>
      <c r="J286" s="156"/>
      <c r="K286" s="156"/>
      <c r="L286" s="154"/>
      <c r="M286" s="154"/>
      <c r="N286" s="154"/>
      <c r="O286" s="154"/>
      <c r="P286" s="135"/>
      <c r="Q286" s="125"/>
    </row>
    <row r="287" spans="1:26" ht="13.5" thickBot="1" x14ac:dyDescent="0.25">
      <c r="A287" s="125"/>
      <c r="B287" s="168" t="s">
        <v>200</v>
      </c>
      <c r="C287" s="169">
        <f t="shared" ref="C287:K287" si="81">SUM(C267:C286)</f>
        <v>27000000</v>
      </c>
      <c r="D287" s="169">
        <f t="shared" si="81"/>
        <v>-1769799.57</v>
      </c>
      <c r="E287" s="169">
        <f>SUM(E267:E286)</f>
        <v>624067.82999999973</v>
      </c>
      <c r="F287" s="169">
        <f>SUM(F267:F286)</f>
        <v>25843151.099999998</v>
      </c>
      <c r="G287" s="169">
        <f>SUM(G267:G286)</f>
        <v>11117.15999999992</v>
      </c>
      <c r="H287" s="193">
        <f>SUM(H270:H285)</f>
        <v>11117.16</v>
      </c>
      <c r="I287" s="169">
        <f t="shared" si="81"/>
        <v>0</v>
      </c>
      <c r="J287" s="169">
        <f>SUM(J267:J286)</f>
        <v>0</v>
      </c>
      <c r="K287" s="169">
        <f t="shared" si="81"/>
        <v>0</v>
      </c>
      <c r="L287" s="169">
        <f>SUM(L270:L285)</f>
        <v>-8.0035533756017685E-11</v>
      </c>
      <c r="M287" s="169">
        <f>SUM(M270:M285)</f>
        <v>0</v>
      </c>
      <c r="N287" s="169">
        <f>SUM(N267:N286)</f>
        <v>0</v>
      </c>
      <c r="O287" s="169">
        <f>SUM(O267:O286)</f>
        <v>11117.16</v>
      </c>
      <c r="P287" s="136">
        <f>C287+D287+E287-F287-G287</f>
        <v>2.2919266484677792E-10</v>
      </c>
      <c r="Q287" s="125"/>
      <c r="W287" s="165"/>
      <c r="X287" s="125"/>
      <c r="Y287" s="125"/>
    </row>
    <row r="288" spans="1:26" ht="13.5" thickTop="1" x14ac:dyDescent="0.2">
      <c r="A288" s="125"/>
      <c r="B288" s="125"/>
      <c r="C288" s="125"/>
      <c r="D288" s="153"/>
      <c r="E288" s="153"/>
      <c r="F288" s="162"/>
      <c r="G288" s="153"/>
      <c r="H288" s="166"/>
      <c r="I288" s="153"/>
      <c r="J288" s="153"/>
      <c r="K288" s="153"/>
      <c r="L288" s="153"/>
      <c r="M288" s="153"/>
      <c r="N288" s="153"/>
      <c r="O288" s="153"/>
      <c r="P288" s="125"/>
      <c r="Q288" s="125"/>
    </row>
    <row r="289" spans="1:26" x14ac:dyDescent="0.2">
      <c r="A289" s="165" t="s">
        <v>201</v>
      </c>
      <c r="B289" s="125"/>
      <c r="C289" s="153"/>
      <c r="D289" s="154"/>
      <c r="E289" s="154"/>
      <c r="F289" s="162"/>
      <c r="G289" s="156"/>
      <c r="H289" s="157"/>
      <c r="I289" s="156"/>
      <c r="J289" s="156"/>
      <c r="K289" s="156"/>
      <c r="L289" s="154"/>
      <c r="M289" s="154"/>
      <c r="N289" s="154"/>
      <c r="O289" s="154"/>
      <c r="P289" s="135"/>
      <c r="Q289" s="125"/>
    </row>
    <row r="290" spans="1:26" x14ac:dyDescent="0.2">
      <c r="A290" s="125"/>
      <c r="B290" s="125" t="s">
        <v>202</v>
      </c>
      <c r="C290" s="153">
        <v>10000000</v>
      </c>
      <c r="D290" s="162">
        <v>-3587988.18</v>
      </c>
      <c r="E290" s="154"/>
      <c r="F290" s="162">
        <f>1490667.33+4228928.57+685640.92+6775</f>
        <v>6412011.8200000003</v>
      </c>
      <c r="G290" s="163">
        <v>0</v>
      </c>
      <c r="H290" s="164">
        <v>0</v>
      </c>
      <c r="I290" s="163">
        <v>0</v>
      </c>
      <c r="J290" s="163">
        <v>0</v>
      </c>
      <c r="K290" s="163">
        <v>0</v>
      </c>
      <c r="L290" s="162">
        <f>G290-H290-I290-J290-K290</f>
        <v>0</v>
      </c>
      <c r="M290" s="162"/>
      <c r="N290" s="162"/>
      <c r="O290" s="162">
        <f>H288+K288</f>
        <v>0</v>
      </c>
      <c r="P290" s="135"/>
      <c r="Q290" s="125"/>
      <c r="W290" s="125" t="s">
        <v>17</v>
      </c>
      <c r="Z290" s="125" t="s">
        <v>202</v>
      </c>
    </row>
    <row r="291" spans="1:26" x14ac:dyDescent="0.2">
      <c r="A291" s="125"/>
      <c r="B291" s="165" t="s">
        <v>112</v>
      </c>
      <c r="C291" s="153"/>
      <c r="D291" s="154"/>
      <c r="E291" s="154"/>
      <c r="F291" s="162"/>
      <c r="G291" s="156"/>
      <c r="H291" s="157"/>
      <c r="I291" s="156"/>
      <c r="J291" s="156"/>
      <c r="K291" s="156"/>
      <c r="L291" s="162"/>
      <c r="M291" s="162"/>
      <c r="N291" s="162"/>
      <c r="O291" s="162"/>
      <c r="P291" s="135"/>
      <c r="Q291" s="125"/>
      <c r="W291" s="165"/>
      <c r="Z291" s="165"/>
    </row>
    <row r="292" spans="1:26" x14ac:dyDescent="0.2">
      <c r="A292" s="125"/>
      <c r="B292" s="125" t="s">
        <v>113</v>
      </c>
      <c r="C292" s="153">
        <v>7300000</v>
      </c>
      <c r="D292" s="154"/>
      <c r="E292" s="154"/>
      <c r="F292" s="162">
        <f>1586225.13+1035205.6+2985974.53+1290489.45+235900.14+166205.15</f>
        <v>7300000</v>
      </c>
      <c r="G292" s="163">
        <v>0</v>
      </c>
      <c r="H292" s="164">
        <v>0</v>
      </c>
      <c r="I292" s="163">
        <v>0</v>
      </c>
      <c r="J292" s="163">
        <v>0</v>
      </c>
      <c r="K292" s="163">
        <v>0</v>
      </c>
      <c r="L292" s="162">
        <f>G292-H292-I292-J292</f>
        <v>0</v>
      </c>
      <c r="M292" s="162"/>
      <c r="N292" s="162"/>
      <c r="O292" s="162">
        <f>H292+I292+J292+K292</f>
        <v>0</v>
      </c>
      <c r="P292" s="135"/>
      <c r="Q292" s="125"/>
      <c r="W292" s="125" t="s">
        <v>7</v>
      </c>
      <c r="Z292" s="125" t="s">
        <v>113</v>
      </c>
    </row>
    <row r="293" spans="1:26" x14ac:dyDescent="0.2">
      <c r="A293" s="125"/>
      <c r="B293" s="125" t="s">
        <v>114</v>
      </c>
      <c r="C293" s="153">
        <v>2674000</v>
      </c>
      <c r="D293" s="126"/>
      <c r="E293" s="126">
        <v>-800000</v>
      </c>
      <c r="F293" s="167">
        <f>247579.5+271847.12+26480.3+18123.72+1798.8+65682.01+467252.3+681184.63+1679.43+51875.56+24575.41+271.73+679.68</f>
        <v>1859030.1899999997</v>
      </c>
      <c r="G293" s="163">
        <v>14969.809999999772</v>
      </c>
      <c r="H293" s="164">
        <v>14969.81</v>
      </c>
      <c r="I293" s="163">
        <v>0</v>
      </c>
      <c r="J293" s="163">
        <v>0</v>
      </c>
      <c r="K293" s="163">
        <v>0</v>
      </c>
      <c r="L293" s="162">
        <f t="shared" ref="L293:L302" si="82">G293-H293-I293-J293-K293</f>
        <v>-2.2737367544323206E-10</v>
      </c>
      <c r="M293" s="162">
        <f>H293-N293-O293</f>
        <v>0</v>
      </c>
      <c r="N293" s="162">
        <v>0</v>
      </c>
      <c r="O293" s="162">
        <v>14969.81</v>
      </c>
      <c r="P293" s="136">
        <f>C293+D293+E293-F293-G293</f>
        <v>5.1659299060702324E-10</v>
      </c>
      <c r="Q293" s="125"/>
      <c r="S293" s="125" t="s">
        <v>160</v>
      </c>
      <c r="T293" s="125" t="s">
        <v>446</v>
      </c>
      <c r="U293" s="272" t="s">
        <v>447</v>
      </c>
      <c r="V293" s="125" t="s">
        <v>460</v>
      </c>
      <c r="W293" s="125" t="s">
        <v>8</v>
      </c>
      <c r="X293" s="238">
        <f>H293</f>
        <v>14969.81</v>
      </c>
      <c r="Y293" s="238">
        <f>L293</f>
        <v>-2.2737367544323206E-10</v>
      </c>
      <c r="Z293" s="125" t="s">
        <v>114</v>
      </c>
    </row>
    <row r="294" spans="1:26" x14ac:dyDescent="0.2">
      <c r="A294" s="125"/>
      <c r="B294" s="125" t="s">
        <v>115</v>
      </c>
      <c r="C294" s="153">
        <v>645000</v>
      </c>
      <c r="D294" s="154"/>
      <c r="E294" s="154"/>
      <c r="F294" s="162">
        <f>552010.38+92989.62</f>
        <v>645000</v>
      </c>
      <c r="G294" s="163">
        <v>0</v>
      </c>
      <c r="H294" s="164">
        <v>0</v>
      </c>
      <c r="I294" s="163">
        <v>0</v>
      </c>
      <c r="J294" s="163">
        <v>0</v>
      </c>
      <c r="K294" s="163">
        <v>0</v>
      </c>
      <c r="L294" s="162">
        <f t="shared" si="82"/>
        <v>0</v>
      </c>
      <c r="M294" s="162"/>
      <c r="N294" s="162"/>
      <c r="O294" s="162">
        <f t="shared" ref="O294:O302" si="83">H294+I294+J294+K294</f>
        <v>0</v>
      </c>
      <c r="P294" s="135"/>
      <c r="Q294" s="125"/>
      <c r="W294" s="125" t="s">
        <v>10</v>
      </c>
      <c r="Z294" s="125" t="s">
        <v>115</v>
      </c>
    </row>
    <row r="295" spans="1:26" x14ac:dyDescent="0.2">
      <c r="A295" s="125"/>
      <c r="B295" s="125" t="s">
        <v>116</v>
      </c>
      <c r="C295" s="153">
        <v>1451000</v>
      </c>
      <c r="D295" s="162">
        <v>-0.4</v>
      </c>
      <c r="E295" s="154"/>
      <c r="F295" s="162">
        <f>72685.58+84332.3+18769.98+600591.65+200303.9+189111.37+27678.28+5000+96937.87+155588.67</f>
        <v>1450999.6</v>
      </c>
      <c r="G295" s="163">
        <v>0</v>
      </c>
      <c r="H295" s="164">
        <v>0</v>
      </c>
      <c r="I295" s="163">
        <v>0</v>
      </c>
      <c r="J295" s="163">
        <v>0</v>
      </c>
      <c r="K295" s="163">
        <v>0</v>
      </c>
      <c r="L295" s="162">
        <f t="shared" si="82"/>
        <v>0</v>
      </c>
      <c r="M295" s="162"/>
      <c r="N295" s="162"/>
      <c r="O295" s="162">
        <f t="shared" si="83"/>
        <v>0</v>
      </c>
      <c r="P295" s="135"/>
      <c r="Q295" s="125"/>
      <c r="W295" s="125" t="s">
        <v>11</v>
      </c>
      <c r="Z295" s="125" t="s">
        <v>116</v>
      </c>
    </row>
    <row r="296" spans="1:26" x14ac:dyDescent="0.2">
      <c r="A296" s="125"/>
      <c r="B296" s="125" t="s">
        <v>117</v>
      </c>
      <c r="C296" s="153">
        <v>318000</v>
      </c>
      <c r="D296" s="154"/>
      <c r="E296" s="154"/>
      <c r="F296" s="162">
        <f>8056.72+39424.28+260025.8+4241+6252.2</f>
        <v>318000</v>
      </c>
      <c r="G296" s="163">
        <v>0</v>
      </c>
      <c r="H296" s="164">
        <v>0</v>
      </c>
      <c r="I296" s="163">
        <v>0</v>
      </c>
      <c r="J296" s="163">
        <v>0</v>
      </c>
      <c r="K296" s="163">
        <v>0</v>
      </c>
      <c r="L296" s="162">
        <f t="shared" si="82"/>
        <v>0</v>
      </c>
      <c r="M296" s="162"/>
      <c r="N296" s="162"/>
      <c r="O296" s="162">
        <f t="shared" si="83"/>
        <v>0</v>
      </c>
      <c r="P296" s="135"/>
      <c r="Q296" s="125"/>
      <c r="W296" s="125" t="s">
        <v>12</v>
      </c>
      <c r="Z296" s="125" t="s">
        <v>117</v>
      </c>
    </row>
    <row r="297" spans="1:26" x14ac:dyDescent="0.2">
      <c r="A297" s="125"/>
      <c r="B297" s="125" t="s">
        <v>118</v>
      </c>
      <c r="C297" s="153">
        <v>660000</v>
      </c>
      <c r="D297" s="154"/>
      <c r="E297" s="154"/>
      <c r="F297" s="162">
        <f>7000+316983.72+195053.08+17200.1+123763.1</f>
        <v>659999.99999999988</v>
      </c>
      <c r="G297" s="163">
        <v>0</v>
      </c>
      <c r="H297" s="164">
        <v>0</v>
      </c>
      <c r="I297" s="163">
        <v>0</v>
      </c>
      <c r="J297" s="163">
        <v>0</v>
      </c>
      <c r="K297" s="163">
        <v>0</v>
      </c>
      <c r="L297" s="162">
        <f t="shared" si="82"/>
        <v>0</v>
      </c>
      <c r="M297" s="162"/>
      <c r="N297" s="162"/>
      <c r="O297" s="162">
        <f t="shared" si="83"/>
        <v>0</v>
      </c>
      <c r="P297" s="135"/>
      <c r="Q297" s="125"/>
      <c r="W297" s="125" t="s">
        <v>13</v>
      </c>
      <c r="Z297" s="125" t="s">
        <v>118</v>
      </c>
    </row>
    <row r="298" spans="1:26" x14ac:dyDescent="0.2">
      <c r="A298" s="125"/>
      <c r="B298" s="125" t="s">
        <v>119</v>
      </c>
      <c r="C298" s="153">
        <v>410000</v>
      </c>
      <c r="D298" s="154"/>
      <c r="E298" s="154"/>
      <c r="F298" s="162">
        <f>286501.5+123498.5</f>
        <v>410000</v>
      </c>
      <c r="G298" s="163">
        <v>0</v>
      </c>
      <c r="H298" s="164">
        <v>0</v>
      </c>
      <c r="I298" s="163">
        <v>0</v>
      </c>
      <c r="J298" s="163">
        <v>0</v>
      </c>
      <c r="K298" s="163">
        <v>0</v>
      </c>
      <c r="L298" s="162">
        <f t="shared" si="82"/>
        <v>0</v>
      </c>
      <c r="M298" s="162"/>
      <c r="N298" s="162"/>
      <c r="O298" s="162">
        <f t="shared" si="83"/>
        <v>0</v>
      </c>
      <c r="P298" s="135"/>
      <c r="Q298" s="125"/>
      <c r="W298" s="125" t="s">
        <v>14</v>
      </c>
      <c r="Z298" s="125" t="s">
        <v>119</v>
      </c>
    </row>
    <row r="299" spans="1:26" x14ac:dyDescent="0.2">
      <c r="A299" s="125"/>
      <c r="B299" s="125" t="s">
        <v>120</v>
      </c>
      <c r="C299" s="153">
        <v>645000</v>
      </c>
      <c r="D299" s="154"/>
      <c r="E299" s="154"/>
      <c r="F299" s="162">
        <f>314260.2+312045.14+13335+5359.66</f>
        <v>645000.00000000012</v>
      </c>
      <c r="G299" s="163">
        <v>0</v>
      </c>
      <c r="H299" s="164">
        <v>0</v>
      </c>
      <c r="I299" s="163">
        <v>0</v>
      </c>
      <c r="J299" s="163">
        <v>0</v>
      </c>
      <c r="K299" s="163">
        <f>[2]FSU!K170</f>
        <v>0</v>
      </c>
      <c r="L299" s="162">
        <f>G299-H299-I299-J299-K299</f>
        <v>0</v>
      </c>
      <c r="M299" s="162"/>
      <c r="N299" s="162"/>
      <c r="O299" s="162">
        <f t="shared" si="83"/>
        <v>0</v>
      </c>
      <c r="P299" s="135"/>
      <c r="Q299" s="125"/>
      <c r="W299" s="125" t="s">
        <v>15</v>
      </c>
      <c r="Z299" s="125" t="s">
        <v>120</v>
      </c>
    </row>
    <row r="300" spans="1:26" x14ac:dyDescent="0.2">
      <c r="A300" s="125"/>
      <c r="B300" s="125" t="s">
        <v>137</v>
      </c>
      <c r="C300" s="153">
        <v>536000</v>
      </c>
      <c r="D300" s="154"/>
      <c r="E300" s="154"/>
      <c r="F300" s="162">
        <f>248700.5+287299.5</f>
        <v>536000</v>
      </c>
      <c r="G300" s="163">
        <v>0</v>
      </c>
      <c r="H300" s="164">
        <v>0</v>
      </c>
      <c r="I300" s="163">
        <v>0</v>
      </c>
      <c r="J300" s="163">
        <v>0</v>
      </c>
      <c r="K300" s="163">
        <f>[2]SU!K151</f>
        <v>0</v>
      </c>
      <c r="L300" s="162">
        <f t="shared" si="82"/>
        <v>0</v>
      </c>
      <c r="M300" s="162"/>
      <c r="N300" s="162"/>
      <c r="O300" s="162">
        <f t="shared" si="83"/>
        <v>0</v>
      </c>
      <c r="P300" s="135"/>
      <c r="Q300" s="125"/>
      <c r="W300" s="125" t="s">
        <v>16</v>
      </c>
      <c r="Z300" s="125" t="s">
        <v>137</v>
      </c>
    </row>
    <row r="301" spans="1:26" x14ac:dyDescent="0.2">
      <c r="A301" s="125"/>
      <c r="B301" s="125" t="s">
        <v>122</v>
      </c>
      <c r="C301" s="153">
        <v>1589000</v>
      </c>
      <c r="D301" s="154"/>
      <c r="E301" s="154"/>
      <c r="F301" s="162">
        <f>1800+509723+84116.52+68578+170040.86+15741+3765+650035.62+75181.61+10018.39</f>
        <v>1589000</v>
      </c>
      <c r="G301" s="163">
        <v>0</v>
      </c>
      <c r="H301" s="164">
        <v>0</v>
      </c>
      <c r="I301" s="163">
        <v>0</v>
      </c>
      <c r="J301" s="163">
        <v>0</v>
      </c>
      <c r="K301" s="163">
        <v>0</v>
      </c>
      <c r="L301" s="162">
        <f t="shared" si="82"/>
        <v>0</v>
      </c>
      <c r="M301" s="162"/>
      <c r="N301" s="162"/>
      <c r="O301" s="162">
        <f t="shared" si="83"/>
        <v>0</v>
      </c>
      <c r="P301" s="135"/>
      <c r="Q301" s="125"/>
      <c r="W301" s="125" t="s">
        <v>17</v>
      </c>
      <c r="Z301" s="125" t="s">
        <v>122</v>
      </c>
    </row>
    <row r="302" spans="1:26" x14ac:dyDescent="0.2">
      <c r="A302" s="125"/>
      <c r="B302" s="125" t="s">
        <v>123</v>
      </c>
      <c r="C302" s="153">
        <v>425000</v>
      </c>
      <c r="D302" s="154"/>
      <c r="E302" s="154"/>
      <c r="F302" s="162">
        <f>46860+128116+250024</f>
        <v>425000</v>
      </c>
      <c r="G302" s="163">
        <v>0</v>
      </c>
      <c r="H302" s="164">
        <v>0</v>
      </c>
      <c r="I302" s="163">
        <v>0</v>
      </c>
      <c r="J302" s="163">
        <v>0</v>
      </c>
      <c r="K302" s="163">
        <v>0</v>
      </c>
      <c r="L302" s="162">
        <f t="shared" si="82"/>
        <v>0</v>
      </c>
      <c r="M302" s="162"/>
      <c r="N302" s="162"/>
      <c r="O302" s="162">
        <f t="shared" si="83"/>
        <v>0</v>
      </c>
      <c r="P302" s="135"/>
      <c r="Q302" s="125"/>
      <c r="W302" s="125" t="s">
        <v>18</v>
      </c>
      <c r="Z302" s="125" t="s">
        <v>123</v>
      </c>
    </row>
    <row r="303" spans="1:26" x14ac:dyDescent="0.2">
      <c r="A303" s="125"/>
      <c r="B303" s="165" t="s">
        <v>127</v>
      </c>
      <c r="C303" s="153">
        <v>347000</v>
      </c>
      <c r="D303" s="162"/>
      <c r="E303" s="162">
        <f>800000-800000-90000-175000-82000+80000-80000</f>
        <v>-347000</v>
      </c>
      <c r="F303" s="167"/>
      <c r="G303" s="163"/>
      <c r="H303" s="164"/>
      <c r="I303" s="163"/>
      <c r="J303" s="163"/>
      <c r="K303" s="163"/>
      <c r="L303" s="162"/>
      <c r="M303" s="162"/>
      <c r="N303" s="162"/>
      <c r="O303" s="162"/>
      <c r="P303" s="135"/>
      <c r="Q303" s="125"/>
      <c r="W303" s="165" t="s">
        <v>32</v>
      </c>
      <c r="Z303" s="165" t="s">
        <v>127</v>
      </c>
    </row>
    <row r="304" spans="1:26" x14ac:dyDescent="0.2">
      <c r="A304" s="125"/>
      <c r="B304" s="125" t="s">
        <v>203</v>
      </c>
      <c r="C304" s="153"/>
      <c r="D304" s="126"/>
      <c r="E304" s="162">
        <v>800000</v>
      </c>
      <c r="F304" s="167">
        <f>81417.06+68250.66+63946.13+353280.72+105599.62+3987.61+108205.87+15312.33</f>
        <v>799999.99999999988</v>
      </c>
      <c r="G304" s="163">
        <v>0</v>
      </c>
      <c r="H304" s="164">
        <v>0</v>
      </c>
      <c r="I304" s="163">
        <v>0</v>
      </c>
      <c r="J304" s="163">
        <v>0</v>
      </c>
      <c r="K304" s="163">
        <v>0</v>
      </c>
      <c r="L304" s="162">
        <f>G304-H304-I304-J304-K304</f>
        <v>0</v>
      </c>
      <c r="M304" s="162"/>
      <c r="N304" s="162"/>
      <c r="O304" s="162">
        <f>H304+I304+J304+K304</f>
        <v>0</v>
      </c>
      <c r="P304" s="135"/>
      <c r="Q304" s="125"/>
      <c r="W304" s="125" t="s">
        <v>8</v>
      </c>
      <c r="Z304" s="125" t="s">
        <v>203</v>
      </c>
    </row>
    <row r="305" spans="1:26" x14ac:dyDescent="0.2">
      <c r="A305" s="125"/>
      <c r="B305" s="125" t="s">
        <v>204</v>
      </c>
      <c r="C305" s="153"/>
      <c r="D305" s="126"/>
      <c r="E305" s="162">
        <v>90000</v>
      </c>
      <c r="F305" s="167">
        <f>71795.27+18204.73</f>
        <v>90000</v>
      </c>
      <c r="G305" s="163">
        <v>0</v>
      </c>
      <c r="H305" s="164">
        <v>0</v>
      </c>
      <c r="I305" s="163">
        <v>0</v>
      </c>
      <c r="J305" s="163">
        <v>0</v>
      </c>
      <c r="K305" s="163">
        <v>0</v>
      </c>
      <c r="L305" s="162">
        <f>G305-H305-I305-J305-K305</f>
        <v>0</v>
      </c>
      <c r="M305" s="162"/>
      <c r="N305" s="162"/>
      <c r="O305" s="162">
        <f>H305+I305+J305+K305</f>
        <v>0</v>
      </c>
      <c r="P305" s="135"/>
      <c r="Q305" s="125"/>
      <c r="W305" s="125" t="s">
        <v>12</v>
      </c>
      <c r="Z305" s="125" t="s">
        <v>204</v>
      </c>
    </row>
    <row r="306" spans="1:26" x14ac:dyDescent="0.2">
      <c r="A306" s="125"/>
      <c r="B306" s="125" t="s">
        <v>205</v>
      </c>
      <c r="C306" s="153"/>
      <c r="D306" s="126"/>
      <c r="E306" s="162">
        <f>175000+80000</f>
        <v>255000</v>
      </c>
      <c r="F306" s="167">
        <f>248792.86+6207.14</f>
        <v>255000</v>
      </c>
      <c r="G306" s="163">
        <v>0</v>
      </c>
      <c r="H306" s="164">
        <v>0</v>
      </c>
      <c r="I306" s="163">
        <v>0</v>
      </c>
      <c r="J306" s="163">
        <v>0</v>
      </c>
      <c r="K306" s="163">
        <v>0</v>
      </c>
      <c r="L306" s="162">
        <f>G306-H306-I306-J306-K306</f>
        <v>0</v>
      </c>
      <c r="M306" s="162"/>
      <c r="N306" s="162"/>
      <c r="O306" s="162">
        <f>H306+I306+J306+K306</f>
        <v>0</v>
      </c>
      <c r="P306" s="135"/>
      <c r="Q306" s="125"/>
      <c r="W306" s="125" t="s">
        <v>12</v>
      </c>
      <c r="Z306" s="125" t="s">
        <v>205</v>
      </c>
    </row>
    <row r="307" spans="1:26" x14ac:dyDescent="0.2">
      <c r="A307" s="125"/>
      <c r="B307" s="165"/>
      <c r="C307" s="153"/>
      <c r="D307" s="162"/>
      <c r="E307" s="154"/>
      <c r="F307" s="162"/>
      <c r="G307" s="156"/>
      <c r="H307" s="157"/>
      <c r="I307" s="156"/>
      <c r="J307" s="156"/>
      <c r="K307" s="156"/>
      <c r="L307" s="154"/>
      <c r="M307" s="154"/>
      <c r="N307" s="154"/>
      <c r="O307" s="154"/>
      <c r="P307" s="135"/>
      <c r="Q307" s="125"/>
      <c r="W307" s="165"/>
      <c r="Z307" s="165"/>
    </row>
    <row r="308" spans="1:26" ht="13.5" thickBot="1" x14ac:dyDescent="0.25">
      <c r="A308" s="125"/>
      <c r="B308" s="168" t="s">
        <v>206</v>
      </c>
      <c r="C308" s="169">
        <f>SUM(C290:C306)</f>
        <v>27000000</v>
      </c>
      <c r="D308" s="169">
        <f>SUM(D289:D306)</f>
        <v>-3587988.58</v>
      </c>
      <c r="E308" s="169">
        <f>SUM(E289:E306)</f>
        <v>-2000</v>
      </c>
      <c r="F308" s="192">
        <f t="shared" ref="F308:O308" si="84">SUM(F290:F306)</f>
        <v>23395041.609999999</v>
      </c>
      <c r="G308" s="169">
        <f t="shared" si="84"/>
        <v>14969.809999999772</v>
      </c>
      <c r="H308" s="193">
        <f t="shared" si="84"/>
        <v>14969.81</v>
      </c>
      <c r="I308" s="169">
        <f t="shared" si="84"/>
        <v>0</v>
      </c>
      <c r="J308" s="169">
        <f t="shared" si="84"/>
        <v>0</v>
      </c>
      <c r="K308" s="169">
        <f t="shared" si="84"/>
        <v>0</v>
      </c>
      <c r="L308" s="169">
        <f t="shared" si="84"/>
        <v>-2.2737367544323206E-10</v>
      </c>
      <c r="M308" s="169">
        <f t="shared" si="84"/>
        <v>0</v>
      </c>
      <c r="N308" s="169">
        <f t="shared" si="84"/>
        <v>0</v>
      </c>
      <c r="O308" s="169">
        <f t="shared" si="84"/>
        <v>14969.81</v>
      </c>
      <c r="P308" s="136">
        <f>C308+D308+E308-F308-G308</f>
        <v>2.6120687834918499E-9</v>
      </c>
      <c r="Q308" s="125"/>
      <c r="W308" s="165"/>
      <c r="X308" s="125"/>
      <c r="Y308" s="125"/>
    </row>
    <row r="309" spans="1:26" ht="13.5" thickTop="1" x14ac:dyDescent="0.2">
      <c r="A309" s="125"/>
      <c r="B309" s="165"/>
      <c r="C309" s="153"/>
      <c r="D309" s="154"/>
      <c r="E309" s="154"/>
      <c r="F309" s="191"/>
      <c r="G309" s="156"/>
      <c r="H309" s="157"/>
      <c r="I309" s="156"/>
      <c r="J309" s="156"/>
      <c r="K309" s="156"/>
      <c r="L309" s="154"/>
      <c r="M309" s="154"/>
      <c r="N309" s="154"/>
      <c r="O309" s="154"/>
      <c r="P309" s="125"/>
      <c r="Q309" s="125"/>
      <c r="W309" s="165"/>
      <c r="Z309" s="165"/>
    </row>
    <row r="310" spans="1:26" x14ac:dyDescent="0.2">
      <c r="A310" s="165" t="s">
        <v>207</v>
      </c>
      <c r="B310" s="125"/>
      <c r="C310" s="153"/>
      <c r="D310" s="154"/>
      <c r="E310" s="156"/>
      <c r="F310" s="162"/>
      <c r="G310" s="154"/>
      <c r="H310" s="158"/>
      <c r="I310" s="154"/>
      <c r="J310" s="154"/>
      <c r="K310" s="154"/>
      <c r="L310" s="154"/>
      <c r="M310" s="154"/>
      <c r="N310" s="154"/>
      <c r="O310" s="154"/>
      <c r="P310" s="125"/>
      <c r="Q310" s="125"/>
    </row>
    <row r="311" spans="1:26" x14ac:dyDescent="0.2">
      <c r="A311" s="165"/>
      <c r="B311" s="125" t="s">
        <v>208</v>
      </c>
      <c r="C311" s="153">
        <v>9000000</v>
      </c>
      <c r="D311" s="154"/>
      <c r="E311" s="156"/>
      <c r="F311" s="162">
        <f>5977649.54+217797.59+2137758.66+6607.32+14930.21+31859.85+29432.82+5202.72+6795.29+69907.85+22554.51+6238.44+282835.57+163400.25+5340.99+21688.39</f>
        <v>9000000</v>
      </c>
      <c r="G311" s="163">
        <v>0</v>
      </c>
      <c r="H311" s="164">
        <v>0</v>
      </c>
      <c r="I311" s="163"/>
      <c r="J311" s="163">
        <v>0</v>
      </c>
      <c r="K311" s="163">
        <v>0</v>
      </c>
      <c r="L311" s="162">
        <f>G311-H311-I311-J311-K311</f>
        <v>0</v>
      </c>
      <c r="M311" s="162"/>
      <c r="N311" s="162"/>
      <c r="O311" s="162">
        <f>H311+I311+J311+K311</f>
        <v>0</v>
      </c>
      <c r="P311" s="125"/>
      <c r="Q311" s="125"/>
    </row>
    <row r="312" spans="1:26" x14ac:dyDescent="0.2">
      <c r="A312" s="165"/>
      <c r="B312" s="125" t="s">
        <v>209</v>
      </c>
      <c r="C312" s="153">
        <v>1000000</v>
      </c>
      <c r="D312" s="154"/>
      <c r="E312" s="156"/>
      <c r="F312" s="162">
        <f>16000+12600+34902+936498</f>
        <v>1000000</v>
      </c>
      <c r="G312" s="163">
        <v>0</v>
      </c>
      <c r="H312" s="164">
        <v>0</v>
      </c>
      <c r="I312" s="163"/>
      <c r="J312" s="163">
        <v>0</v>
      </c>
      <c r="K312" s="163">
        <v>0</v>
      </c>
      <c r="L312" s="162">
        <f>G312-H312-I312-J312</f>
        <v>0</v>
      </c>
      <c r="M312" s="162"/>
      <c r="N312" s="162"/>
      <c r="O312" s="162">
        <f>H312+I312+J312+K312</f>
        <v>0</v>
      </c>
      <c r="P312" s="125"/>
      <c r="Q312" s="125"/>
    </row>
    <row r="313" spans="1:26" x14ac:dyDescent="0.2">
      <c r="A313" s="165"/>
      <c r="B313" s="165" t="s">
        <v>112</v>
      </c>
      <c r="C313" s="153"/>
      <c r="D313" s="154"/>
      <c r="E313" s="156"/>
      <c r="F313" s="162"/>
      <c r="G313" s="162"/>
      <c r="H313" s="167"/>
      <c r="I313" s="162"/>
      <c r="J313" s="162"/>
      <c r="K313" s="162"/>
      <c r="L313" s="162"/>
      <c r="M313" s="162"/>
      <c r="N313" s="162"/>
      <c r="O313" s="162"/>
      <c r="P313" s="125"/>
      <c r="Q313" s="125"/>
      <c r="W313" s="165"/>
      <c r="Z313" s="165"/>
    </row>
    <row r="314" spans="1:26" x14ac:dyDescent="0.2">
      <c r="A314" s="165"/>
      <c r="B314" s="125" t="s">
        <v>113</v>
      </c>
      <c r="C314" s="153">
        <v>7060000</v>
      </c>
      <c r="D314" s="154"/>
      <c r="E314" s="156"/>
      <c r="F314" s="162">
        <f>1546923.37+1447116.35+1273174.6+1135336.22+666923.08+196580.58+793945.8</f>
        <v>7060000</v>
      </c>
      <c r="G314" s="162">
        <v>0</v>
      </c>
      <c r="H314" s="167">
        <v>0</v>
      </c>
      <c r="I314" s="162">
        <v>0</v>
      </c>
      <c r="J314" s="162">
        <v>0</v>
      </c>
      <c r="K314" s="162">
        <v>0</v>
      </c>
      <c r="L314" s="162">
        <v>0</v>
      </c>
      <c r="M314" s="162"/>
      <c r="N314" s="162"/>
      <c r="O314" s="162">
        <f>H314+I314+J314+K314</f>
        <v>0</v>
      </c>
      <c r="P314" s="125"/>
      <c r="Q314" s="125"/>
      <c r="W314" s="125" t="s">
        <v>7</v>
      </c>
      <c r="Z314" s="125" t="s">
        <v>113</v>
      </c>
    </row>
    <row r="315" spans="1:26" x14ac:dyDescent="0.2">
      <c r="A315" s="165"/>
      <c r="B315" s="125" t="s">
        <v>114</v>
      </c>
      <c r="C315" s="153">
        <v>2515000</v>
      </c>
      <c r="D315" s="162"/>
      <c r="E315" s="156"/>
      <c r="F315" s="162">
        <f>95799+121126.6+382459+312204.5+91850.75+520650.28+194790.24+138986.95+1242.65+83400.01+10990.51+50953.36+313263.98+113226.25+37149.1+20376.32+588+7140+4708.2+235.2</f>
        <v>2501140.9000000004</v>
      </c>
      <c r="G315" s="162">
        <v>13859.099999999868</v>
      </c>
      <c r="H315" s="167">
        <v>13859.1</v>
      </c>
      <c r="I315" s="162">
        <f>[5]UMB!I412</f>
        <v>0</v>
      </c>
      <c r="J315" s="162">
        <f>[5]UMB!J412</f>
        <v>0</v>
      </c>
      <c r="K315" s="162">
        <f>[5]UMB!K412</f>
        <v>0</v>
      </c>
      <c r="L315" s="162">
        <f t="shared" ref="L315:L325" si="85">G315-H315-I315-J315-K315</f>
        <v>-1.3278622645884752E-10</v>
      </c>
      <c r="M315" s="162">
        <f>H315-N315-O315</f>
        <v>0</v>
      </c>
      <c r="N315" s="162">
        <v>0</v>
      </c>
      <c r="O315" s="162">
        <v>13859.1</v>
      </c>
      <c r="P315" s="136">
        <f>C315+D315+E315-F315-G315</f>
        <v>-2.4010660126805305E-10</v>
      </c>
      <c r="Q315" s="125"/>
      <c r="S315" s="125" t="s">
        <v>160</v>
      </c>
      <c r="T315" s="125" t="s">
        <v>446</v>
      </c>
      <c r="U315" s="272" t="s">
        <v>447</v>
      </c>
      <c r="V315" s="125" t="s">
        <v>25</v>
      </c>
      <c r="W315" s="125" t="s">
        <v>8</v>
      </c>
      <c r="X315" s="238">
        <f>H315</f>
        <v>13859.1</v>
      </c>
      <c r="Y315" s="238">
        <f>L315</f>
        <v>-1.3278622645884752E-10</v>
      </c>
      <c r="Z315" s="125" t="s">
        <v>114</v>
      </c>
    </row>
    <row r="316" spans="1:26" x14ac:dyDescent="0.2">
      <c r="A316" s="165"/>
      <c r="B316" s="125" t="s">
        <v>210</v>
      </c>
      <c r="C316" s="153">
        <v>568000</v>
      </c>
      <c r="D316" s="162"/>
      <c r="E316" s="163">
        <v>-311231.58</v>
      </c>
      <c r="F316" s="162">
        <f>56077+12000+96109.43+78749.97+1280.78+9591.83+2959.41</f>
        <v>256768.41999999998</v>
      </c>
      <c r="G316" s="162">
        <v>0</v>
      </c>
      <c r="H316" s="167">
        <v>0</v>
      </c>
      <c r="I316" s="162">
        <f>[5]UMBI!I65</f>
        <v>0</v>
      </c>
      <c r="J316" s="162">
        <f>[5]UMBI!J65</f>
        <v>0</v>
      </c>
      <c r="K316" s="162">
        <f>[5]UMBI!K65</f>
        <v>0</v>
      </c>
      <c r="L316" s="162">
        <f t="shared" si="85"/>
        <v>0</v>
      </c>
      <c r="M316" s="162"/>
      <c r="N316" s="162"/>
      <c r="O316" s="162">
        <f t="shared" ref="O316:O325" si="86">H316+I316+J316+K316</f>
        <v>0</v>
      </c>
      <c r="P316" s="125"/>
      <c r="Q316" s="125"/>
      <c r="W316" s="125" t="s">
        <v>9</v>
      </c>
      <c r="Z316" s="125" t="s">
        <v>210</v>
      </c>
    </row>
    <row r="317" spans="1:26" x14ac:dyDescent="0.2">
      <c r="A317" s="165"/>
      <c r="B317" s="125" t="s">
        <v>115</v>
      </c>
      <c r="C317" s="153">
        <v>642000</v>
      </c>
      <c r="D317" s="162">
        <v>-76885.95</v>
      </c>
      <c r="E317" s="163"/>
      <c r="F317" s="167">
        <f>192000+99265.52+176366.44+44494.69+35172.5+1180+8589.9+8045</f>
        <v>565114.05000000005</v>
      </c>
      <c r="G317" s="163">
        <v>0</v>
      </c>
      <c r="H317" s="164">
        <v>0</v>
      </c>
      <c r="I317" s="163"/>
      <c r="J317" s="163">
        <v>0</v>
      </c>
      <c r="K317" s="163">
        <v>0</v>
      </c>
      <c r="L317" s="162">
        <f t="shared" si="85"/>
        <v>0</v>
      </c>
      <c r="M317" s="162"/>
      <c r="N317" s="162"/>
      <c r="O317" s="162">
        <f t="shared" si="86"/>
        <v>0</v>
      </c>
      <c r="P317" s="125"/>
      <c r="Q317" s="125"/>
      <c r="W317" s="125" t="s">
        <v>10</v>
      </c>
      <c r="Z317" s="125" t="s">
        <v>115</v>
      </c>
    </row>
    <row r="318" spans="1:26" x14ac:dyDescent="0.2">
      <c r="A318" s="165"/>
      <c r="B318" s="125" t="s">
        <v>116</v>
      </c>
      <c r="C318" s="153">
        <v>1247000</v>
      </c>
      <c r="D318" s="162"/>
      <c r="E318" s="156"/>
      <c r="F318" s="162">
        <f>240381.96+696788.93+130744.47+128930.15+10239.46+279.7+39635.33</f>
        <v>1247000</v>
      </c>
      <c r="G318" s="163">
        <v>0</v>
      </c>
      <c r="H318" s="164">
        <v>0</v>
      </c>
      <c r="I318" s="163"/>
      <c r="J318" s="163">
        <v>0</v>
      </c>
      <c r="K318" s="163">
        <v>0</v>
      </c>
      <c r="L318" s="162">
        <f t="shared" si="85"/>
        <v>0</v>
      </c>
      <c r="M318" s="162"/>
      <c r="N318" s="162"/>
      <c r="O318" s="162">
        <f t="shared" si="86"/>
        <v>0</v>
      </c>
      <c r="P318" s="125"/>
      <c r="Q318" s="125"/>
      <c r="W318" s="125" t="s">
        <v>11</v>
      </c>
      <c r="Z318" s="125" t="s">
        <v>116</v>
      </c>
    </row>
    <row r="319" spans="1:26" x14ac:dyDescent="0.2">
      <c r="A319" s="165"/>
      <c r="B319" s="125" t="s">
        <v>117</v>
      </c>
      <c r="C319" s="153">
        <v>317000</v>
      </c>
      <c r="D319" s="162"/>
      <c r="E319" s="156"/>
      <c r="F319" s="162">
        <f>11475+138157.46+57562.54+109805</f>
        <v>317000</v>
      </c>
      <c r="G319" s="163">
        <v>0</v>
      </c>
      <c r="H319" s="164">
        <v>0</v>
      </c>
      <c r="I319" s="163"/>
      <c r="J319" s="163">
        <v>0</v>
      </c>
      <c r="K319" s="163">
        <v>0</v>
      </c>
      <c r="L319" s="162">
        <f t="shared" si="85"/>
        <v>0</v>
      </c>
      <c r="M319" s="162"/>
      <c r="N319" s="162"/>
      <c r="O319" s="162">
        <f t="shared" si="86"/>
        <v>0</v>
      </c>
      <c r="P319" s="125"/>
      <c r="Q319" s="125"/>
      <c r="W319" s="125" t="s">
        <v>12</v>
      </c>
      <c r="Z319" s="125" t="s">
        <v>117</v>
      </c>
    </row>
    <row r="320" spans="1:26" x14ac:dyDescent="0.2">
      <c r="A320" s="165"/>
      <c r="B320" s="125" t="s">
        <v>118</v>
      </c>
      <c r="C320" s="153">
        <v>554000</v>
      </c>
      <c r="D320" s="162"/>
      <c r="E320" s="156"/>
      <c r="F320" s="162">
        <f>286415+179353.1-127025.1+82343.07+132381.4+532.53</f>
        <v>554000</v>
      </c>
      <c r="G320" s="163">
        <v>0</v>
      </c>
      <c r="H320" s="164">
        <v>0</v>
      </c>
      <c r="I320" s="163"/>
      <c r="J320" s="163">
        <v>0</v>
      </c>
      <c r="K320" s="163">
        <v>0</v>
      </c>
      <c r="L320" s="162">
        <f t="shared" si="85"/>
        <v>0</v>
      </c>
      <c r="M320" s="162"/>
      <c r="N320" s="162"/>
      <c r="O320" s="162">
        <f t="shared" si="86"/>
        <v>0</v>
      </c>
      <c r="P320" s="125"/>
      <c r="Q320" s="125"/>
      <c r="W320" s="125" t="s">
        <v>13</v>
      </c>
      <c r="Z320" s="125" t="s">
        <v>118</v>
      </c>
    </row>
    <row r="321" spans="1:26" x14ac:dyDescent="0.2">
      <c r="A321" s="165"/>
      <c r="B321" s="125" t="s">
        <v>119</v>
      </c>
      <c r="C321" s="153">
        <v>409000</v>
      </c>
      <c r="D321" s="167">
        <v>-8568.82</v>
      </c>
      <c r="E321" s="156"/>
      <c r="F321" s="167">
        <f>108040+77049+82340+68444.01+7410+36958.17+20190</f>
        <v>400431.18</v>
      </c>
      <c r="G321" s="163">
        <v>0</v>
      </c>
      <c r="H321" s="164">
        <v>0</v>
      </c>
      <c r="I321" s="163"/>
      <c r="J321" s="163">
        <v>0</v>
      </c>
      <c r="K321" s="163">
        <v>0</v>
      </c>
      <c r="L321" s="162">
        <f t="shared" si="85"/>
        <v>0</v>
      </c>
      <c r="M321" s="162"/>
      <c r="N321" s="162"/>
      <c r="O321" s="162">
        <f t="shared" si="86"/>
        <v>0</v>
      </c>
      <c r="P321" s="125"/>
      <c r="Q321" s="125"/>
      <c r="W321" s="125" t="s">
        <v>14</v>
      </c>
      <c r="Z321" s="125" t="s">
        <v>119</v>
      </c>
    </row>
    <row r="322" spans="1:26" x14ac:dyDescent="0.2">
      <c r="A322" s="165"/>
      <c r="B322" s="125" t="s">
        <v>120</v>
      </c>
      <c r="C322" s="153">
        <v>645000</v>
      </c>
      <c r="D322" s="137"/>
      <c r="E322" s="162">
        <f>-200000-245000</f>
        <v>-445000</v>
      </c>
      <c r="F322" s="162">
        <f>105562.16+60760.54+24788.48+8888.82</f>
        <v>200000.00000000003</v>
      </c>
      <c r="G322" s="163">
        <v>0</v>
      </c>
      <c r="H322" s="164">
        <v>0</v>
      </c>
      <c r="I322" s="163"/>
      <c r="J322" s="163">
        <v>0</v>
      </c>
      <c r="K322" s="163">
        <v>0</v>
      </c>
      <c r="L322" s="162">
        <f t="shared" si="85"/>
        <v>0</v>
      </c>
      <c r="M322" s="162"/>
      <c r="N322" s="162"/>
      <c r="O322" s="162">
        <f t="shared" si="86"/>
        <v>0</v>
      </c>
      <c r="P322" s="125"/>
      <c r="Q322" s="125"/>
      <c r="W322" s="125" t="s">
        <v>15</v>
      </c>
      <c r="Z322" s="125" t="s">
        <v>120</v>
      </c>
    </row>
    <row r="323" spans="1:26" x14ac:dyDescent="0.2">
      <c r="A323" s="165"/>
      <c r="B323" s="125" t="s">
        <v>137</v>
      </c>
      <c r="C323" s="153">
        <v>536000</v>
      </c>
      <c r="D323" s="162"/>
      <c r="E323" s="156"/>
      <c r="F323" s="162">
        <f>532299.33+3700.67</f>
        <v>536000</v>
      </c>
      <c r="G323" s="163">
        <v>0</v>
      </c>
      <c r="H323" s="164">
        <v>0</v>
      </c>
      <c r="I323" s="163"/>
      <c r="J323" s="163">
        <v>0</v>
      </c>
      <c r="K323" s="163">
        <v>0</v>
      </c>
      <c r="L323" s="162">
        <f t="shared" si="85"/>
        <v>0</v>
      </c>
      <c r="M323" s="162"/>
      <c r="N323" s="162"/>
      <c r="O323" s="162">
        <f t="shared" si="86"/>
        <v>0</v>
      </c>
      <c r="P323" s="125"/>
      <c r="Q323" s="125"/>
      <c r="W323" s="125" t="s">
        <v>16</v>
      </c>
      <c r="Z323" s="125" t="s">
        <v>137</v>
      </c>
    </row>
    <row r="324" spans="1:26" x14ac:dyDescent="0.2">
      <c r="A324" s="165"/>
      <c r="B324" s="125" t="s">
        <v>122</v>
      </c>
      <c r="C324" s="153">
        <v>1589000</v>
      </c>
      <c r="D324" s="162"/>
      <c r="E324" s="156"/>
      <c r="F324" s="162">
        <f>209782.92+216303.98+5869.82+689000+2483.6+465269.68+290</f>
        <v>1589000</v>
      </c>
      <c r="G324" s="163">
        <v>0</v>
      </c>
      <c r="H324" s="164">
        <v>0</v>
      </c>
      <c r="I324" s="163"/>
      <c r="J324" s="163">
        <v>0</v>
      </c>
      <c r="K324" s="163">
        <v>0</v>
      </c>
      <c r="L324" s="162">
        <f t="shared" si="85"/>
        <v>0</v>
      </c>
      <c r="M324" s="162"/>
      <c r="N324" s="162"/>
      <c r="O324" s="162">
        <f t="shared" si="86"/>
        <v>0</v>
      </c>
      <c r="P324" s="125"/>
      <c r="Q324" s="125"/>
      <c r="W324" s="125" t="s">
        <v>17</v>
      </c>
      <c r="Z324" s="125" t="s">
        <v>122</v>
      </c>
    </row>
    <row r="325" spans="1:26" x14ac:dyDescent="0.2">
      <c r="A325" s="165"/>
      <c r="B325" s="125" t="s">
        <v>123</v>
      </c>
      <c r="C325" s="153">
        <v>418000</v>
      </c>
      <c r="D325" s="154"/>
      <c r="E325" s="156"/>
      <c r="F325" s="162">
        <f>33775+86196.55+298028.45</f>
        <v>418000</v>
      </c>
      <c r="G325" s="163">
        <v>0</v>
      </c>
      <c r="H325" s="164">
        <v>0</v>
      </c>
      <c r="I325" s="163"/>
      <c r="J325" s="163">
        <v>0</v>
      </c>
      <c r="K325" s="163">
        <v>0</v>
      </c>
      <c r="L325" s="162">
        <f t="shared" si="85"/>
        <v>0</v>
      </c>
      <c r="M325" s="162"/>
      <c r="N325" s="162"/>
      <c r="O325" s="162">
        <f t="shared" si="86"/>
        <v>0</v>
      </c>
      <c r="P325" s="125"/>
      <c r="Q325" s="125"/>
      <c r="W325" s="125" t="s">
        <v>18</v>
      </c>
      <c r="Z325" s="125" t="s">
        <v>123</v>
      </c>
    </row>
    <row r="326" spans="1:26" x14ac:dyDescent="0.2">
      <c r="A326" s="165"/>
      <c r="B326" s="165" t="s">
        <v>127</v>
      </c>
      <c r="C326" s="153">
        <v>500000</v>
      </c>
      <c r="D326" s="126"/>
      <c r="E326" s="162">
        <f>200000+245000-200000-245000-30290-23236-75000-250000-68000-5000-48474</f>
        <v>-500000</v>
      </c>
      <c r="F326" s="162"/>
      <c r="G326" s="162">
        <v>0</v>
      </c>
      <c r="H326" s="167"/>
      <c r="I326" s="162"/>
      <c r="J326" s="162"/>
      <c r="K326" s="162"/>
      <c r="L326" s="162"/>
      <c r="M326" s="162"/>
      <c r="N326" s="162"/>
      <c r="O326" s="162"/>
      <c r="P326" s="125"/>
      <c r="Q326" s="125"/>
      <c r="W326" s="165" t="s">
        <v>32</v>
      </c>
      <c r="Z326" s="165" t="s">
        <v>127</v>
      </c>
    </row>
    <row r="327" spans="1:26" x14ac:dyDescent="0.2">
      <c r="A327" s="165"/>
      <c r="B327" s="125" t="s">
        <v>211</v>
      </c>
      <c r="C327" s="153"/>
      <c r="D327" s="126"/>
      <c r="E327" s="162">
        <v>75000</v>
      </c>
      <c r="F327" s="162">
        <f>75000</f>
        <v>75000</v>
      </c>
      <c r="G327" s="162">
        <v>0</v>
      </c>
      <c r="H327" s="167">
        <v>0</v>
      </c>
      <c r="I327" s="162">
        <v>0</v>
      </c>
      <c r="J327" s="162">
        <v>0</v>
      </c>
      <c r="K327" s="162">
        <v>0</v>
      </c>
      <c r="L327" s="162">
        <v>0</v>
      </c>
      <c r="M327" s="162"/>
      <c r="N327" s="162"/>
      <c r="O327" s="162">
        <f t="shared" ref="O327:O332" si="87">H327+I327+J327+K327</f>
        <v>0</v>
      </c>
      <c r="P327" s="125"/>
      <c r="Q327" s="125"/>
      <c r="W327" s="125" t="s">
        <v>7</v>
      </c>
      <c r="Z327" s="125" t="s">
        <v>211</v>
      </c>
    </row>
    <row r="328" spans="1:26" x14ac:dyDescent="0.2">
      <c r="A328" s="165"/>
      <c r="B328" s="125" t="s">
        <v>212</v>
      </c>
      <c r="C328" s="135"/>
      <c r="D328" s="126"/>
      <c r="E328" s="196">
        <f>30290+23236</f>
        <v>53526</v>
      </c>
      <c r="F328" s="162">
        <f>53526</f>
        <v>53526</v>
      </c>
      <c r="G328" s="163">
        <v>0</v>
      </c>
      <c r="H328" s="164">
        <v>0</v>
      </c>
      <c r="I328" s="163"/>
      <c r="J328" s="163">
        <v>0</v>
      </c>
      <c r="K328" s="163">
        <v>0</v>
      </c>
      <c r="L328" s="162">
        <f>G328-H328-I328-J328-K328</f>
        <v>0</v>
      </c>
      <c r="M328" s="162"/>
      <c r="N328" s="162"/>
      <c r="O328" s="162">
        <f t="shared" si="87"/>
        <v>0</v>
      </c>
      <c r="P328" s="125"/>
      <c r="Q328" s="125"/>
      <c r="W328" s="125" t="s">
        <v>13</v>
      </c>
      <c r="Z328" s="125" t="s">
        <v>212</v>
      </c>
    </row>
    <row r="329" spans="1:26" x14ac:dyDescent="0.2">
      <c r="A329" s="165"/>
      <c r="B329" s="197" t="s">
        <v>213</v>
      </c>
      <c r="C329" s="153"/>
      <c r="D329" s="126"/>
      <c r="E329" s="162">
        <v>250000</v>
      </c>
      <c r="F329" s="162">
        <f>250000</f>
        <v>250000</v>
      </c>
      <c r="G329" s="163">
        <v>0</v>
      </c>
      <c r="H329" s="164">
        <v>0</v>
      </c>
      <c r="I329" s="163"/>
      <c r="J329" s="163">
        <v>0</v>
      </c>
      <c r="K329" s="163">
        <v>0</v>
      </c>
      <c r="L329" s="162">
        <f>G329-H329-I329-J329-K329</f>
        <v>0</v>
      </c>
      <c r="M329" s="162"/>
      <c r="N329" s="162"/>
      <c r="O329" s="162">
        <f t="shared" si="87"/>
        <v>0</v>
      </c>
      <c r="P329" s="125"/>
      <c r="Q329" s="125"/>
      <c r="W329" s="197" t="s">
        <v>14</v>
      </c>
      <c r="Z329" s="197" t="s">
        <v>213</v>
      </c>
    </row>
    <row r="330" spans="1:26" x14ac:dyDescent="0.2">
      <c r="A330" s="165"/>
      <c r="B330" s="197" t="s">
        <v>214</v>
      </c>
      <c r="C330" s="153"/>
      <c r="D330" s="126"/>
      <c r="E330" s="162">
        <f>68000+5000-30</f>
        <v>72970</v>
      </c>
      <c r="F330" s="167">
        <f>72970</f>
        <v>72970</v>
      </c>
      <c r="G330" s="163">
        <v>0</v>
      </c>
      <c r="H330" s="164">
        <v>0</v>
      </c>
      <c r="I330" s="163"/>
      <c r="J330" s="163">
        <v>0</v>
      </c>
      <c r="K330" s="163">
        <v>0</v>
      </c>
      <c r="L330" s="162">
        <f>G330-H330-I330-J330-K330</f>
        <v>0</v>
      </c>
      <c r="M330" s="162"/>
      <c r="N330" s="162"/>
      <c r="O330" s="162">
        <f t="shared" si="87"/>
        <v>0</v>
      </c>
      <c r="P330" s="125"/>
      <c r="Q330" s="125"/>
      <c r="W330" s="197" t="s">
        <v>14</v>
      </c>
      <c r="Z330" s="197" t="s">
        <v>214</v>
      </c>
    </row>
    <row r="331" spans="1:26" x14ac:dyDescent="0.2">
      <c r="A331" s="165"/>
      <c r="B331" s="198" t="s">
        <v>215</v>
      </c>
      <c r="C331" s="153"/>
      <c r="D331" s="126"/>
      <c r="E331" s="167">
        <v>200000</v>
      </c>
      <c r="F331" s="167">
        <v>200000</v>
      </c>
      <c r="G331" s="163">
        <v>0</v>
      </c>
      <c r="H331" s="164">
        <v>0</v>
      </c>
      <c r="I331" s="163"/>
      <c r="J331" s="163">
        <v>0</v>
      </c>
      <c r="K331" s="163">
        <v>0</v>
      </c>
      <c r="L331" s="162">
        <f>G331-H331-I331-J331-K331</f>
        <v>0</v>
      </c>
      <c r="M331" s="162"/>
      <c r="N331" s="162"/>
      <c r="O331" s="162">
        <f t="shared" si="87"/>
        <v>0</v>
      </c>
      <c r="P331" s="125"/>
      <c r="Q331" s="125"/>
      <c r="W331" s="198" t="s">
        <v>15</v>
      </c>
      <c r="Z331" s="198" t="s">
        <v>215</v>
      </c>
    </row>
    <row r="332" spans="1:26" x14ac:dyDescent="0.2">
      <c r="A332" s="165"/>
      <c r="B332" s="197" t="s">
        <v>216</v>
      </c>
      <c r="C332" s="153"/>
      <c r="D332" s="126"/>
      <c r="E332" s="167">
        <v>245000</v>
      </c>
      <c r="F332" s="167">
        <v>245000</v>
      </c>
      <c r="G332" s="163">
        <v>0</v>
      </c>
      <c r="H332" s="164">
        <v>0</v>
      </c>
      <c r="I332" s="163"/>
      <c r="J332" s="163">
        <v>0</v>
      </c>
      <c r="K332" s="163">
        <v>0</v>
      </c>
      <c r="L332" s="162">
        <f>G332-H332-I332-J332-K332</f>
        <v>0</v>
      </c>
      <c r="M332" s="162"/>
      <c r="N332" s="162"/>
      <c r="O332" s="162">
        <f t="shared" si="87"/>
        <v>0</v>
      </c>
      <c r="P332" s="125"/>
      <c r="Q332" s="125"/>
      <c r="W332" s="197" t="s">
        <v>15</v>
      </c>
      <c r="Z332" s="197" t="s">
        <v>216</v>
      </c>
    </row>
    <row r="333" spans="1:26" x14ac:dyDescent="0.2">
      <c r="A333" s="125"/>
      <c r="B333" s="125"/>
      <c r="C333" s="153"/>
      <c r="D333" s="154"/>
      <c r="E333" s="154"/>
      <c r="F333" s="162"/>
      <c r="G333" s="156"/>
      <c r="H333" s="157"/>
      <c r="I333" s="156"/>
      <c r="J333" s="156"/>
      <c r="K333" s="156"/>
      <c r="L333" s="154"/>
      <c r="M333" s="154"/>
      <c r="N333" s="154"/>
      <c r="O333" s="154"/>
      <c r="P333" s="125"/>
      <c r="Q333" s="125"/>
    </row>
    <row r="334" spans="1:26" ht="13.5" thickBot="1" x14ac:dyDescent="0.25">
      <c r="A334" s="125"/>
      <c r="B334" s="168" t="s">
        <v>217</v>
      </c>
      <c r="C334" s="169">
        <f t="shared" ref="C334:K334" si="88">SUM(C311:C333)</f>
        <v>27000000</v>
      </c>
      <c r="D334" s="169">
        <f>SUM(D311:D333)</f>
        <v>-85454.76999999999</v>
      </c>
      <c r="E334" s="169">
        <f t="shared" si="88"/>
        <v>-359735.58000000007</v>
      </c>
      <c r="F334" s="192">
        <f t="shared" si="88"/>
        <v>26540950.550000001</v>
      </c>
      <c r="G334" s="169">
        <f t="shared" si="88"/>
        <v>13859.099999999868</v>
      </c>
      <c r="H334" s="193">
        <f t="shared" si="88"/>
        <v>13859.1</v>
      </c>
      <c r="I334" s="169">
        <f t="shared" si="88"/>
        <v>0</v>
      </c>
      <c r="J334" s="169">
        <f t="shared" si="88"/>
        <v>0</v>
      </c>
      <c r="K334" s="169">
        <f t="shared" si="88"/>
        <v>0</v>
      </c>
      <c r="L334" s="169">
        <f>SUM(L311:L333)</f>
        <v>-1.3278622645884752E-10</v>
      </c>
      <c r="M334" s="169">
        <f>SUM(M311:M333)</f>
        <v>0</v>
      </c>
      <c r="N334" s="169">
        <f>SUM(N311:N333)</f>
        <v>0</v>
      </c>
      <c r="O334" s="169">
        <f>SUM(O311:O333)</f>
        <v>13859.1</v>
      </c>
      <c r="P334" s="136">
        <f>C334+D334+E334-F334-G334</f>
        <v>-2.1027517504990101E-9</v>
      </c>
      <c r="Q334" s="125"/>
      <c r="W334" s="165"/>
      <c r="X334" s="125"/>
      <c r="Y334" s="125"/>
    </row>
    <row r="335" spans="1:26" ht="13.5" thickTop="1" x14ac:dyDescent="0.2">
      <c r="A335" s="125"/>
      <c r="B335" s="165"/>
      <c r="C335" s="153"/>
      <c r="D335" s="153"/>
      <c r="E335" s="153"/>
      <c r="F335" s="191"/>
      <c r="G335" s="153"/>
      <c r="H335" s="166"/>
      <c r="I335" s="153"/>
      <c r="J335" s="153"/>
      <c r="K335" s="153"/>
      <c r="L335" s="153"/>
      <c r="M335" s="153"/>
      <c r="N335" s="153"/>
      <c r="O335" s="153"/>
      <c r="P335" s="125"/>
      <c r="Q335" s="125"/>
      <c r="W335" s="165"/>
      <c r="Z335" s="165"/>
    </row>
    <row r="336" spans="1:26" x14ac:dyDescent="0.2">
      <c r="A336" s="125"/>
      <c r="B336" s="199" t="s">
        <v>218</v>
      </c>
      <c r="C336" s="200">
        <f t="shared" ref="C336:M336" si="89">C67+C76+C95+C119+C143+C163+C181+C203+C225+C245+C264+C334+C308+C287+C47+C25</f>
        <v>516168103</v>
      </c>
      <c r="D336" s="200">
        <f t="shared" si="89"/>
        <v>-13836936.209999999</v>
      </c>
      <c r="E336" s="200">
        <f t="shared" si="89"/>
        <v>1651730.79</v>
      </c>
      <c r="F336" s="200">
        <f t="shared" si="89"/>
        <v>374364661.56999999</v>
      </c>
      <c r="G336" s="200">
        <f t="shared" si="89"/>
        <v>129618236.00699997</v>
      </c>
      <c r="H336" s="200">
        <f>H67+H76+H95+H119+H143+H163+H181+H203+H225+H245+H264+H334+H308+H287+H47+H25</f>
        <v>53725472.259999998</v>
      </c>
      <c r="I336" s="200">
        <f t="shared" si="89"/>
        <v>0</v>
      </c>
      <c r="J336" s="200">
        <f t="shared" si="89"/>
        <v>0</v>
      </c>
      <c r="K336" s="200">
        <f t="shared" si="89"/>
        <v>0</v>
      </c>
      <c r="L336" s="200">
        <f t="shared" si="89"/>
        <v>75892763.746999994</v>
      </c>
      <c r="M336" s="200">
        <f t="shared" si="89"/>
        <v>20182405.529999997</v>
      </c>
      <c r="N336" s="200">
        <f>N67+N76+N95+N119+N143+N163+N181+N203+N225+N245+N264+N334+N308+N287+N47+N25</f>
        <v>20232613.030000001</v>
      </c>
      <c r="O336" s="200">
        <f>O67+O76+O95+O119+O143+O163+O181+O203+O225+O245+O264+O334+O308+O287+O47+O25</f>
        <v>13310453.700000005</v>
      </c>
      <c r="P336" s="136">
        <f>C336+D336+E336-F336-G336</f>
        <v>3.0000805854797363E-3</v>
      </c>
      <c r="Q336" s="125"/>
      <c r="W336" s="165"/>
      <c r="X336" s="125"/>
      <c r="Y336" s="125"/>
    </row>
    <row r="337" spans="1:26" x14ac:dyDescent="0.2">
      <c r="A337" s="125"/>
      <c r="B337" s="197"/>
      <c r="C337" s="166"/>
      <c r="D337" s="166"/>
      <c r="E337" s="166"/>
      <c r="F337" s="166"/>
      <c r="G337" s="166"/>
      <c r="H337" s="166"/>
      <c r="I337" s="166"/>
      <c r="J337" s="166"/>
      <c r="K337" s="166"/>
      <c r="L337" s="166"/>
      <c r="M337" s="166"/>
      <c r="N337" s="166"/>
      <c r="O337" s="166"/>
      <c r="P337" s="166"/>
      <c r="Q337" s="166"/>
      <c r="W337" s="197"/>
      <c r="Z337" s="197"/>
    </row>
    <row r="338" spans="1:26" x14ac:dyDescent="0.2">
      <c r="A338" s="165" t="s">
        <v>220</v>
      </c>
      <c r="B338" s="125"/>
      <c r="C338" s="153"/>
      <c r="D338" s="166"/>
      <c r="E338" s="166"/>
      <c r="F338" s="166"/>
      <c r="G338" s="166"/>
      <c r="H338" s="166"/>
      <c r="I338" s="166"/>
      <c r="J338" s="166"/>
      <c r="K338" s="166"/>
      <c r="L338" s="166"/>
      <c r="M338" s="166"/>
      <c r="N338" s="162"/>
      <c r="O338" s="166"/>
      <c r="P338" s="166"/>
      <c r="Q338" s="135"/>
    </row>
    <row r="339" spans="1:26" x14ac:dyDescent="0.2">
      <c r="A339" s="125"/>
      <c r="B339" s="197" t="s">
        <v>221</v>
      </c>
      <c r="C339" s="166">
        <v>8000000</v>
      </c>
      <c r="D339" s="166"/>
      <c r="E339" s="166"/>
      <c r="F339" s="166"/>
      <c r="G339" s="166">
        <v>8000000</v>
      </c>
      <c r="H339" s="166">
        <v>0</v>
      </c>
      <c r="I339" s="166"/>
      <c r="J339" s="166"/>
      <c r="K339" s="166"/>
      <c r="L339" s="162">
        <f>G339-H339-I339-J339-K339</f>
        <v>8000000</v>
      </c>
      <c r="M339" s="162">
        <f>H339-N339-O339</f>
        <v>0</v>
      </c>
      <c r="N339" s="162">
        <v>0</v>
      </c>
      <c r="O339" s="166"/>
      <c r="P339" s="136">
        <f>C339+D339+E339-F339-G339</f>
        <v>0</v>
      </c>
      <c r="Q339" s="166"/>
      <c r="S339" s="125" t="s">
        <v>254</v>
      </c>
      <c r="T339" s="125" t="s">
        <v>254</v>
      </c>
      <c r="U339" s="125">
        <v>20</v>
      </c>
      <c r="V339" s="125" t="s">
        <v>461</v>
      </c>
      <c r="W339" s="197" t="s">
        <v>7</v>
      </c>
      <c r="X339" s="238">
        <f>H339</f>
        <v>0</v>
      </c>
      <c r="Y339" s="238">
        <f>L339</f>
        <v>8000000</v>
      </c>
      <c r="Z339" s="197" t="s">
        <v>221</v>
      </c>
    </row>
    <row r="340" spans="1:26" x14ac:dyDescent="0.2">
      <c r="A340" s="125"/>
      <c r="B340" s="197" t="s">
        <v>222</v>
      </c>
      <c r="C340" s="166">
        <v>10000000</v>
      </c>
      <c r="D340" s="166"/>
      <c r="E340" s="166"/>
      <c r="F340" s="166"/>
      <c r="G340" s="166">
        <v>10000000</v>
      </c>
      <c r="H340" s="166">
        <v>0</v>
      </c>
      <c r="I340" s="166"/>
      <c r="J340" s="166"/>
      <c r="K340" s="166"/>
      <c r="L340" s="162">
        <f>G340-H340-I340-J340-K340</f>
        <v>10000000</v>
      </c>
      <c r="M340" s="162">
        <f>H340-N340-O340</f>
        <v>0</v>
      </c>
      <c r="N340" s="162">
        <v>0</v>
      </c>
      <c r="O340" s="166"/>
      <c r="P340" s="136">
        <f>C340+D340+E340-F340-G340</f>
        <v>0</v>
      </c>
      <c r="Q340" s="166"/>
      <c r="S340" s="125" t="s">
        <v>254</v>
      </c>
      <c r="T340" s="125" t="s">
        <v>254</v>
      </c>
      <c r="U340" s="125">
        <v>20</v>
      </c>
      <c r="V340" s="125" t="s">
        <v>461</v>
      </c>
      <c r="W340" s="197" t="s">
        <v>17</v>
      </c>
      <c r="X340" s="238">
        <f>H340</f>
        <v>0</v>
      </c>
      <c r="Y340" s="238">
        <f>L340</f>
        <v>10000000</v>
      </c>
      <c r="Z340" s="197" t="s">
        <v>222</v>
      </c>
    </row>
    <row r="341" spans="1:26" x14ac:dyDescent="0.2">
      <c r="A341" s="125"/>
      <c r="B341" s="197"/>
      <c r="C341" s="166"/>
      <c r="D341" s="166"/>
      <c r="E341" s="166"/>
      <c r="F341" s="166"/>
      <c r="G341" s="166"/>
      <c r="H341" s="166"/>
      <c r="I341" s="166"/>
      <c r="J341" s="166"/>
      <c r="K341" s="166"/>
      <c r="L341" s="166"/>
      <c r="M341" s="166"/>
      <c r="N341" s="166"/>
      <c r="O341" s="166"/>
      <c r="P341" s="166"/>
      <c r="Q341" s="166"/>
      <c r="W341" s="197"/>
      <c r="Z341" s="197"/>
    </row>
    <row r="342" spans="1:26" ht="13.5" thickBot="1" x14ac:dyDescent="0.25">
      <c r="A342" s="125"/>
      <c r="B342" s="201" t="s">
        <v>223</v>
      </c>
      <c r="C342" s="169">
        <f t="shared" ref="C342:M342" si="90">SUM(C339:C341)</f>
        <v>18000000</v>
      </c>
      <c r="D342" s="169">
        <f t="shared" si="90"/>
        <v>0</v>
      </c>
      <c r="E342" s="169">
        <f t="shared" si="90"/>
        <v>0</v>
      </c>
      <c r="F342" s="169">
        <f t="shared" si="90"/>
        <v>0</v>
      </c>
      <c r="G342" s="169">
        <f t="shared" si="90"/>
        <v>18000000</v>
      </c>
      <c r="H342" s="169">
        <f t="shared" si="90"/>
        <v>0</v>
      </c>
      <c r="I342" s="169">
        <f t="shared" si="90"/>
        <v>0</v>
      </c>
      <c r="J342" s="169">
        <f t="shared" si="90"/>
        <v>0</v>
      </c>
      <c r="K342" s="169">
        <f t="shared" si="90"/>
        <v>0</v>
      </c>
      <c r="L342" s="169">
        <f t="shared" si="90"/>
        <v>18000000</v>
      </c>
      <c r="M342" s="169">
        <f t="shared" si="90"/>
        <v>0</v>
      </c>
      <c r="N342" s="169">
        <f>SUM(N339:N341)</f>
        <v>0</v>
      </c>
      <c r="O342" s="169">
        <f>SUM(O339:O341)</f>
        <v>0</v>
      </c>
      <c r="P342" s="136">
        <f>C342+D342+E342-F342-G342</f>
        <v>0</v>
      </c>
      <c r="Q342" s="135"/>
      <c r="W342" s="165"/>
      <c r="X342" s="125"/>
      <c r="Y342" s="125"/>
    </row>
    <row r="343" spans="1:26" ht="13.5" thickTop="1" x14ac:dyDescent="0.2">
      <c r="A343" s="125"/>
      <c r="B343" s="202"/>
      <c r="C343" s="153"/>
      <c r="D343" s="153"/>
      <c r="E343" s="153"/>
      <c r="F343" s="153"/>
      <c r="G343" s="153"/>
      <c r="H343" s="153"/>
      <c r="I343" s="153"/>
      <c r="J343" s="153"/>
      <c r="K343" s="153"/>
      <c r="L343" s="153"/>
      <c r="M343" s="153"/>
      <c r="N343" s="153"/>
      <c r="O343" s="153"/>
      <c r="P343" s="136"/>
      <c r="Q343" s="135"/>
      <c r="W343" s="202"/>
      <c r="Z343" s="202"/>
    </row>
    <row r="344" spans="1:26" x14ac:dyDescent="0.2">
      <c r="A344" s="165" t="s">
        <v>225</v>
      </c>
      <c r="B344" s="125"/>
      <c r="C344" s="153"/>
      <c r="D344" s="166"/>
      <c r="E344" s="166"/>
      <c r="F344" s="166"/>
      <c r="G344" s="166"/>
      <c r="H344" s="166"/>
      <c r="I344" s="166"/>
      <c r="J344" s="166"/>
      <c r="K344" s="166"/>
      <c r="L344" s="166"/>
      <c r="M344" s="166"/>
      <c r="N344" s="162"/>
      <c r="O344" s="166"/>
      <c r="P344" s="166"/>
      <c r="Q344" s="135"/>
    </row>
    <row r="345" spans="1:26" x14ac:dyDescent="0.2">
      <c r="A345" s="125"/>
      <c r="B345" s="197" t="s">
        <v>226</v>
      </c>
      <c r="C345" s="166">
        <v>6850000</v>
      </c>
      <c r="D345" s="166"/>
      <c r="E345" s="166"/>
      <c r="F345" s="166"/>
      <c r="G345" s="166">
        <v>6850000</v>
      </c>
      <c r="H345" s="166">
        <v>0</v>
      </c>
      <c r="I345" s="166"/>
      <c r="J345" s="166"/>
      <c r="K345" s="166">
        <f>[2]UMCP!K631</f>
        <v>0</v>
      </c>
      <c r="L345" s="162">
        <f>G345-H345-I345-J345-K345</f>
        <v>6850000</v>
      </c>
      <c r="M345" s="162">
        <f>H345-N345-O345</f>
        <v>0</v>
      </c>
      <c r="N345" s="162">
        <v>0</v>
      </c>
      <c r="O345" s="166"/>
      <c r="P345" s="136">
        <f>C345+D345+E345-F345-G345</f>
        <v>0</v>
      </c>
      <c r="Q345" s="166"/>
      <c r="S345" s="125" t="s">
        <v>254</v>
      </c>
      <c r="T345" s="125" t="s">
        <v>254</v>
      </c>
      <c r="U345" s="125">
        <v>20</v>
      </c>
      <c r="V345" s="125" t="s">
        <v>462</v>
      </c>
      <c r="W345" s="197" t="s">
        <v>7</v>
      </c>
      <c r="X345" s="238">
        <f>H345</f>
        <v>0</v>
      </c>
      <c r="Y345" s="238">
        <f>L345</f>
        <v>6850000</v>
      </c>
      <c r="Z345" s="197" t="s">
        <v>226</v>
      </c>
    </row>
    <row r="346" spans="1:26" x14ac:dyDescent="0.2">
      <c r="A346" s="125"/>
      <c r="B346" s="197" t="s">
        <v>227</v>
      </c>
      <c r="C346" s="166">
        <v>9046000</v>
      </c>
      <c r="D346" s="166"/>
      <c r="E346" s="166"/>
      <c r="F346" s="166"/>
      <c r="G346" s="166">
        <v>9046000</v>
      </c>
      <c r="H346" s="166">
        <v>0</v>
      </c>
      <c r="I346" s="166"/>
      <c r="J346" s="166"/>
      <c r="K346" s="166">
        <f>[2]TU!K494</f>
        <v>0</v>
      </c>
      <c r="L346" s="162">
        <f>G346-H346-I346-J346-K346</f>
        <v>9046000</v>
      </c>
      <c r="M346" s="162">
        <f>H346-N346-O346</f>
        <v>0</v>
      </c>
      <c r="N346" s="162">
        <v>0</v>
      </c>
      <c r="O346" s="166"/>
      <c r="P346" s="136">
        <f>C346+D346+E346-F346-G346</f>
        <v>0</v>
      </c>
      <c r="Q346" s="166"/>
      <c r="S346" s="125" t="s">
        <v>254</v>
      </c>
      <c r="T346" s="125" t="s">
        <v>254</v>
      </c>
      <c r="U346" s="125">
        <v>20</v>
      </c>
      <c r="V346" s="125" t="s">
        <v>462</v>
      </c>
      <c r="W346" s="197" t="s">
        <v>17</v>
      </c>
      <c r="X346" s="238">
        <f>H346</f>
        <v>0</v>
      </c>
      <c r="Y346" s="238">
        <f>L346</f>
        <v>9046000</v>
      </c>
      <c r="Z346" s="197" t="s">
        <v>227</v>
      </c>
    </row>
    <row r="347" spans="1:26" x14ac:dyDescent="0.2">
      <c r="A347" s="125"/>
      <c r="B347" s="197" t="s">
        <v>222</v>
      </c>
      <c r="C347" s="166">
        <v>5000000</v>
      </c>
      <c r="D347" s="166"/>
      <c r="E347" s="166"/>
      <c r="F347" s="166"/>
      <c r="G347" s="166">
        <v>5000000</v>
      </c>
      <c r="H347" s="166">
        <v>54634.1</v>
      </c>
      <c r="I347" s="166"/>
      <c r="J347" s="166"/>
      <c r="K347" s="166">
        <f>[2]TU!K445</f>
        <v>0</v>
      </c>
      <c r="L347" s="162">
        <f>G347-H347-I347-J347-K347</f>
        <v>4945365.9000000004</v>
      </c>
      <c r="M347" s="162">
        <f>H347-N347-O347</f>
        <v>54634.1</v>
      </c>
      <c r="N347" s="162">
        <v>0</v>
      </c>
      <c r="O347" s="166"/>
      <c r="P347" s="136">
        <f>C347+D347+E347-F347-G347</f>
        <v>0</v>
      </c>
      <c r="Q347" s="166"/>
      <c r="S347" s="125" t="s">
        <v>254</v>
      </c>
      <c r="T347" s="125" t="s">
        <v>254</v>
      </c>
      <c r="U347" s="125">
        <v>20</v>
      </c>
      <c r="V347" s="125" t="s">
        <v>462</v>
      </c>
      <c r="W347" s="197" t="s">
        <v>17</v>
      </c>
      <c r="X347" s="238">
        <f>H347</f>
        <v>54634.1</v>
      </c>
      <c r="Y347" s="238">
        <f>L347</f>
        <v>4945365.9000000004</v>
      </c>
      <c r="Z347" s="197" t="s">
        <v>222</v>
      </c>
    </row>
    <row r="348" spans="1:26" x14ac:dyDescent="0.2">
      <c r="A348" s="125"/>
      <c r="B348" s="197"/>
      <c r="C348" s="166"/>
      <c r="D348" s="166"/>
      <c r="E348" s="166"/>
      <c r="F348" s="166"/>
      <c r="G348" s="166"/>
      <c r="H348" s="166"/>
      <c r="I348" s="166"/>
      <c r="J348" s="166"/>
      <c r="K348" s="166"/>
      <c r="L348" s="166"/>
      <c r="M348" s="166"/>
      <c r="N348" s="166"/>
      <c r="O348" s="166"/>
      <c r="P348" s="166"/>
      <c r="Q348" s="166"/>
      <c r="W348" s="197"/>
      <c r="Z348" s="197"/>
    </row>
    <row r="349" spans="1:26" ht="13.5" thickBot="1" x14ac:dyDescent="0.25">
      <c r="A349" s="125"/>
      <c r="B349" s="201" t="s">
        <v>228</v>
      </c>
      <c r="C349" s="169">
        <f>SUM(C345:C348)</f>
        <v>20896000</v>
      </c>
      <c r="D349" s="169">
        <f t="shared" ref="D349:O349" si="91">SUM(D345:D348)</f>
        <v>0</v>
      </c>
      <c r="E349" s="169">
        <f t="shared" si="91"/>
        <v>0</v>
      </c>
      <c r="F349" s="169">
        <f t="shared" si="91"/>
        <v>0</v>
      </c>
      <c r="G349" s="169">
        <f t="shared" si="91"/>
        <v>20896000</v>
      </c>
      <c r="H349" s="169">
        <f t="shared" si="91"/>
        <v>54634.1</v>
      </c>
      <c r="I349" s="169">
        <f t="shared" si="91"/>
        <v>0</v>
      </c>
      <c r="J349" s="169">
        <f t="shared" si="91"/>
        <v>0</v>
      </c>
      <c r="K349" s="169">
        <f t="shared" si="91"/>
        <v>0</v>
      </c>
      <c r="L349" s="169">
        <f t="shared" si="91"/>
        <v>20841365.899999999</v>
      </c>
      <c r="M349" s="169">
        <f t="shared" si="91"/>
        <v>54634.1</v>
      </c>
      <c r="N349" s="169">
        <f t="shared" si="91"/>
        <v>0</v>
      </c>
      <c r="O349" s="169">
        <f t="shared" si="91"/>
        <v>0</v>
      </c>
      <c r="P349" s="136">
        <f>C349+D349+E349-F349-G349</f>
        <v>0</v>
      </c>
      <c r="Q349" s="135"/>
      <c r="W349" s="165"/>
      <c r="X349" s="125"/>
      <c r="Y349" s="125"/>
    </row>
    <row r="350" spans="1:26" ht="13.5" thickTop="1" x14ac:dyDescent="0.2">
      <c r="A350" s="125"/>
      <c r="B350" s="197"/>
      <c r="C350" s="166"/>
      <c r="D350" s="166"/>
      <c r="E350" s="166"/>
      <c r="F350" s="166"/>
      <c r="G350" s="166"/>
      <c r="H350" s="166"/>
      <c r="I350" s="166"/>
      <c r="J350" s="166"/>
      <c r="K350" s="166"/>
      <c r="L350" s="166"/>
      <c r="M350" s="166"/>
      <c r="N350" s="166"/>
      <c r="O350" s="166"/>
      <c r="P350" s="125"/>
      <c r="Q350" s="125"/>
      <c r="W350" s="197"/>
      <c r="Z350" s="197"/>
    </row>
    <row r="351" spans="1:26" x14ac:dyDescent="0.2">
      <c r="A351" s="165" t="s">
        <v>229</v>
      </c>
      <c r="B351" s="125"/>
      <c r="C351" s="153"/>
      <c r="D351" s="166"/>
      <c r="E351" s="166"/>
      <c r="F351" s="128"/>
      <c r="G351" s="166"/>
      <c r="H351" s="166"/>
      <c r="I351" s="166"/>
      <c r="J351" s="166"/>
      <c r="K351" s="166"/>
      <c r="L351" s="166"/>
      <c r="M351" s="166"/>
      <c r="N351" s="166"/>
      <c r="O351" s="166"/>
      <c r="P351" s="125"/>
      <c r="Q351" s="125"/>
    </row>
    <row r="352" spans="1:26" x14ac:dyDescent="0.2">
      <c r="A352" s="125"/>
      <c r="B352" s="197" t="s">
        <v>230</v>
      </c>
      <c r="C352" s="166">
        <v>1045430</v>
      </c>
      <c r="D352" s="166"/>
      <c r="E352" s="166"/>
      <c r="F352" s="166">
        <f>677619.08</f>
        <v>677619.08</v>
      </c>
      <c r="G352" s="166">
        <v>367810.92000000004</v>
      </c>
      <c r="H352" s="166">
        <v>367810.92</v>
      </c>
      <c r="I352" s="166"/>
      <c r="J352" s="166">
        <f>[5]UMES!J214</f>
        <v>0</v>
      </c>
      <c r="K352" s="166">
        <f>[5]UMES!K214</f>
        <v>0</v>
      </c>
      <c r="L352" s="162">
        <f>G352-H352-I352-J352-K352</f>
        <v>5.8207660913467407E-11</v>
      </c>
      <c r="M352" s="162">
        <f>H352-N352-O352</f>
        <v>104246.32</v>
      </c>
      <c r="N352" s="162">
        <v>263564.59999999998</v>
      </c>
      <c r="O352" s="162">
        <v>0</v>
      </c>
      <c r="P352" s="136">
        <f>C352+D352+E352-F352-G352</f>
        <v>0</v>
      </c>
      <c r="Q352" s="125"/>
      <c r="S352" s="125" t="s">
        <v>254</v>
      </c>
      <c r="T352" s="125" t="s">
        <v>254</v>
      </c>
      <c r="U352" s="125">
        <v>20</v>
      </c>
      <c r="V352" s="125" t="s">
        <v>463</v>
      </c>
      <c r="W352" s="197" t="s">
        <v>10</v>
      </c>
      <c r="X352" s="238">
        <f>H352</f>
        <v>367810.92</v>
      </c>
      <c r="Y352" s="238">
        <f>L352</f>
        <v>5.8207660913467407E-11</v>
      </c>
      <c r="Z352" s="197" t="s">
        <v>230</v>
      </c>
    </row>
    <row r="353" spans="1:26" x14ac:dyDescent="0.2">
      <c r="A353" s="125"/>
      <c r="B353" s="197" t="s">
        <v>231</v>
      </c>
      <c r="C353" s="166">
        <v>8000000</v>
      </c>
      <c r="D353" s="166"/>
      <c r="E353" s="166"/>
      <c r="F353" s="166">
        <f>4156585.88+673518.08+260562</f>
        <v>5090665.96</v>
      </c>
      <c r="G353" s="166">
        <v>2909334.04</v>
      </c>
      <c r="H353" s="166">
        <v>2237481.87</v>
      </c>
      <c r="I353" s="166"/>
      <c r="J353" s="166">
        <f>[5]TU!J638</f>
        <v>0</v>
      </c>
      <c r="K353" s="166">
        <f>[5]TU!K638</f>
        <v>0</v>
      </c>
      <c r="L353" s="162">
        <f>G353-H353-I353-J353-K353</f>
        <v>671852.16999999993</v>
      </c>
      <c r="M353" s="162">
        <f>H353-N353-O353</f>
        <v>1980078.85</v>
      </c>
      <c r="N353" s="162">
        <v>257403.02</v>
      </c>
      <c r="O353" s="162">
        <v>0</v>
      </c>
      <c r="P353" s="136">
        <f>C353+D353+E353-F353-G353</f>
        <v>0</v>
      </c>
      <c r="Q353" s="125"/>
      <c r="S353" s="125" t="s">
        <v>254</v>
      </c>
      <c r="T353" s="125" t="s">
        <v>254</v>
      </c>
      <c r="U353" s="125">
        <v>20</v>
      </c>
      <c r="V353" s="125" t="s">
        <v>463</v>
      </c>
      <c r="W353" s="197" t="s">
        <v>17</v>
      </c>
      <c r="X353" s="238">
        <f>H353</f>
        <v>2237481.87</v>
      </c>
      <c r="Y353" s="238">
        <f>L353</f>
        <v>671852.16999999993</v>
      </c>
      <c r="Z353" s="197" t="s">
        <v>231</v>
      </c>
    </row>
    <row r="354" spans="1:26" x14ac:dyDescent="0.2">
      <c r="A354" s="125"/>
      <c r="B354" s="197"/>
      <c r="C354" s="166"/>
      <c r="D354" s="166"/>
      <c r="E354" s="166"/>
      <c r="F354" s="166"/>
      <c r="G354" s="166"/>
      <c r="H354" s="166"/>
      <c r="I354" s="166"/>
      <c r="J354" s="166"/>
      <c r="K354" s="166"/>
      <c r="L354" s="166"/>
      <c r="M354" s="166"/>
      <c r="N354" s="166"/>
      <c r="O354" s="166"/>
      <c r="P354" s="125"/>
      <c r="Q354" s="125"/>
      <c r="W354" s="197"/>
      <c r="Z354" s="197"/>
    </row>
    <row r="355" spans="1:26" ht="13.5" thickBot="1" x14ac:dyDescent="0.25">
      <c r="A355" s="125"/>
      <c r="B355" s="201" t="s">
        <v>232</v>
      </c>
      <c r="C355" s="169">
        <f>SUM(C352:C354)</f>
        <v>9045430</v>
      </c>
      <c r="D355" s="169">
        <f t="shared" ref="D355:O355" si="92">SUM(D352:D354)</f>
        <v>0</v>
      </c>
      <c r="E355" s="169">
        <f t="shared" si="92"/>
        <v>0</v>
      </c>
      <c r="F355" s="169">
        <f t="shared" si="92"/>
        <v>5768285.04</v>
      </c>
      <c r="G355" s="169">
        <f t="shared" si="92"/>
        <v>3277144.96</v>
      </c>
      <c r="H355" s="169">
        <f>SUM(H352:H354)</f>
        <v>2605292.79</v>
      </c>
      <c r="I355" s="169">
        <f t="shared" si="92"/>
        <v>0</v>
      </c>
      <c r="J355" s="169">
        <f t="shared" si="92"/>
        <v>0</v>
      </c>
      <c r="K355" s="169">
        <f t="shared" si="92"/>
        <v>0</v>
      </c>
      <c r="L355" s="169">
        <f t="shared" si="92"/>
        <v>671852.16999999993</v>
      </c>
      <c r="M355" s="169">
        <f t="shared" si="92"/>
        <v>2084325.1700000002</v>
      </c>
      <c r="N355" s="169">
        <f t="shared" si="92"/>
        <v>520967.62</v>
      </c>
      <c r="O355" s="169">
        <f t="shared" si="92"/>
        <v>0</v>
      </c>
      <c r="P355" s="136">
        <f>C355+D355+E355-F355-G355</f>
        <v>0</v>
      </c>
      <c r="Q355" s="125"/>
      <c r="W355" s="165"/>
      <c r="X355" s="125"/>
      <c r="Y355" s="125"/>
    </row>
    <row r="356" spans="1:26" ht="13.5" thickTop="1" x14ac:dyDescent="0.2">
      <c r="A356" s="125"/>
      <c r="B356" s="197"/>
      <c r="C356" s="166"/>
      <c r="D356" s="166"/>
      <c r="E356" s="166"/>
      <c r="F356" s="166"/>
      <c r="G356" s="166"/>
      <c r="H356" s="166"/>
      <c r="I356" s="166"/>
      <c r="J356" s="166"/>
      <c r="K356" s="166"/>
      <c r="L356" s="166"/>
      <c r="M356" s="166"/>
      <c r="N356" s="166"/>
      <c r="O356" s="166"/>
      <c r="P356" s="125"/>
      <c r="Q356" s="125"/>
      <c r="W356" s="197"/>
      <c r="Z356" s="197"/>
    </row>
    <row r="357" spans="1:26" x14ac:dyDescent="0.2">
      <c r="A357" s="165" t="s">
        <v>233</v>
      </c>
      <c r="B357" s="125"/>
      <c r="C357" s="153"/>
      <c r="D357" s="166"/>
      <c r="E357" s="166"/>
      <c r="F357" s="166"/>
      <c r="G357" s="166"/>
      <c r="H357" s="166"/>
      <c r="I357" s="166"/>
      <c r="J357" s="166"/>
      <c r="K357" s="166"/>
      <c r="L357" s="166"/>
      <c r="M357" s="166"/>
      <c r="N357" s="166"/>
      <c r="O357" s="166"/>
      <c r="P357" s="125"/>
      <c r="Q357" s="125"/>
    </row>
    <row r="358" spans="1:26" x14ac:dyDescent="0.2">
      <c r="A358" s="165"/>
      <c r="B358" s="125" t="s">
        <v>234</v>
      </c>
      <c r="C358" s="153">
        <v>2700000</v>
      </c>
      <c r="D358" s="166"/>
      <c r="E358" s="166"/>
      <c r="F358" s="166"/>
      <c r="G358" s="166">
        <v>2700000</v>
      </c>
      <c r="H358" s="166">
        <v>0</v>
      </c>
      <c r="I358" s="166"/>
      <c r="J358" s="166">
        <f>[5]UMB!J431</f>
        <v>0</v>
      </c>
      <c r="K358" s="166">
        <f>[5]UMB!K431</f>
        <v>0</v>
      </c>
      <c r="L358" s="162">
        <f>G358-H358-I358-J358-K358</f>
        <v>2700000</v>
      </c>
      <c r="M358" s="162">
        <f>H358-N358-O358</f>
        <v>0</v>
      </c>
      <c r="N358" s="162">
        <v>0</v>
      </c>
      <c r="O358" s="162">
        <v>0</v>
      </c>
      <c r="P358" s="136">
        <f>C358+D358+E358-F358-G358</f>
        <v>0</v>
      </c>
      <c r="Q358" s="125"/>
      <c r="S358" s="125" t="s">
        <v>254</v>
      </c>
      <c r="T358" s="125" t="s">
        <v>254</v>
      </c>
      <c r="U358" s="125">
        <v>20</v>
      </c>
      <c r="V358" s="125" t="s">
        <v>464</v>
      </c>
      <c r="W358" s="125" t="s">
        <v>8</v>
      </c>
      <c r="X358" s="238">
        <f>H358</f>
        <v>0</v>
      </c>
      <c r="Y358" s="238">
        <f>L358</f>
        <v>2700000</v>
      </c>
      <c r="Z358" s="125" t="s">
        <v>234</v>
      </c>
    </row>
    <row r="359" spans="1:26" x14ac:dyDescent="0.2">
      <c r="A359" s="165"/>
      <c r="B359" s="125" t="s">
        <v>235</v>
      </c>
      <c r="C359" s="153">
        <v>1000000</v>
      </c>
      <c r="D359" s="166"/>
      <c r="E359" s="166"/>
      <c r="F359" s="166"/>
      <c r="G359" s="166">
        <v>1000000</v>
      </c>
      <c r="H359" s="166">
        <v>0</v>
      </c>
      <c r="I359" s="166"/>
      <c r="J359" s="166">
        <f>[5]FSU!J243</f>
        <v>0</v>
      </c>
      <c r="K359" s="166">
        <f>[5]FSU!K243</f>
        <v>0</v>
      </c>
      <c r="L359" s="162">
        <f>G359-H359-I359-J359-K359</f>
        <v>1000000</v>
      </c>
      <c r="M359" s="162">
        <f>H359-N359-O359</f>
        <v>0</v>
      </c>
      <c r="N359" s="162">
        <v>0</v>
      </c>
      <c r="O359" s="162">
        <v>0</v>
      </c>
      <c r="P359" s="136">
        <f>C359+D359+E359-F359-G359</f>
        <v>0</v>
      </c>
      <c r="Q359" s="125"/>
      <c r="S359" s="125" t="s">
        <v>254</v>
      </c>
      <c r="T359" s="125" t="s">
        <v>254</v>
      </c>
      <c r="U359" s="125">
        <v>20</v>
      </c>
      <c r="V359" s="125" t="s">
        <v>464</v>
      </c>
      <c r="W359" s="125" t="s">
        <v>15</v>
      </c>
      <c r="X359" s="238">
        <f>H359</f>
        <v>0</v>
      </c>
      <c r="Y359" s="238">
        <f>L359</f>
        <v>1000000</v>
      </c>
      <c r="Z359" s="125" t="s">
        <v>235</v>
      </c>
    </row>
    <row r="360" spans="1:26" x14ac:dyDescent="0.2">
      <c r="A360" s="165"/>
      <c r="B360" s="125" t="s">
        <v>236</v>
      </c>
      <c r="C360" s="153">
        <v>20000000</v>
      </c>
      <c r="D360" s="166"/>
      <c r="E360" s="166"/>
      <c r="F360" s="166">
        <f>2665098.06+996336.78+299</f>
        <v>3661733.84</v>
      </c>
      <c r="G360" s="166">
        <v>16338266.16</v>
      </c>
      <c r="H360" s="166">
        <v>8299523.9099999992</v>
      </c>
      <c r="I360" s="166"/>
      <c r="J360" s="166">
        <f>[5]TU!J409</f>
        <v>0</v>
      </c>
      <c r="K360" s="166">
        <f>[5]TU!K409</f>
        <v>0</v>
      </c>
      <c r="L360" s="162">
        <f>G360-H360-I360-J360-K360</f>
        <v>8038742.2500000009</v>
      </c>
      <c r="M360" s="162">
        <f>H360-N360-O360</f>
        <v>7313316.3099999996</v>
      </c>
      <c r="N360" s="162">
        <v>986207.6</v>
      </c>
      <c r="O360" s="162">
        <v>0</v>
      </c>
      <c r="P360" s="136">
        <f>C360+D360+E360-F360-G360</f>
        <v>0</v>
      </c>
      <c r="Q360" s="125"/>
      <c r="S360" s="125" t="s">
        <v>254</v>
      </c>
      <c r="T360" s="125" t="s">
        <v>254</v>
      </c>
      <c r="U360" s="125">
        <v>20</v>
      </c>
      <c r="V360" s="125" t="s">
        <v>464</v>
      </c>
      <c r="W360" s="125" t="s">
        <v>17</v>
      </c>
      <c r="X360" s="238">
        <f>H360</f>
        <v>8299523.9099999992</v>
      </c>
      <c r="Y360" s="238">
        <f>L360</f>
        <v>8038742.2500000009</v>
      </c>
      <c r="Z360" s="125" t="s">
        <v>236</v>
      </c>
    </row>
    <row r="361" spans="1:26" x14ac:dyDescent="0.2">
      <c r="A361" s="125"/>
      <c r="B361" s="197"/>
      <c r="C361" s="166"/>
      <c r="D361" s="166"/>
      <c r="E361" s="166"/>
      <c r="F361" s="166"/>
      <c r="G361" s="166"/>
      <c r="H361" s="166"/>
      <c r="I361" s="166"/>
      <c r="J361" s="166"/>
      <c r="K361" s="166"/>
      <c r="L361" s="166"/>
      <c r="M361" s="166"/>
      <c r="N361" s="166"/>
      <c r="O361" s="166"/>
      <c r="P361" s="125"/>
      <c r="Q361" s="125"/>
      <c r="W361" s="197"/>
      <c r="Z361" s="197"/>
    </row>
    <row r="362" spans="1:26" ht="13.5" thickBot="1" x14ac:dyDescent="0.25">
      <c r="A362" s="125"/>
      <c r="B362" s="201" t="s">
        <v>237</v>
      </c>
      <c r="C362" s="169">
        <f>SUM(C358:C361)</f>
        <v>23700000</v>
      </c>
      <c r="D362" s="169">
        <f t="shared" ref="D362:O362" si="93">SUM(D358:D361)</f>
        <v>0</v>
      </c>
      <c r="E362" s="169">
        <f t="shared" si="93"/>
        <v>0</v>
      </c>
      <c r="F362" s="169">
        <f>SUM(F358:F361)</f>
        <v>3661733.84</v>
      </c>
      <c r="G362" s="169">
        <f t="shared" si="93"/>
        <v>20038266.16</v>
      </c>
      <c r="H362" s="169">
        <f t="shared" si="93"/>
        <v>8299523.9099999992</v>
      </c>
      <c r="I362" s="169">
        <f t="shared" si="93"/>
        <v>0</v>
      </c>
      <c r="J362" s="169">
        <f t="shared" si="93"/>
        <v>0</v>
      </c>
      <c r="K362" s="169">
        <f t="shared" si="93"/>
        <v>0</v>
      </c>
      <c r="L362" s="169">
        <f t="shared" si="93"/>
        <v>11738742.25</v>
      </c>
      <c r="M362" s="169">
        <f t="shared" si="93"/>
        <v>7313316.3099999996</v>
      </c>
      <c r="N362" s="169">
        <f t="shared" si="93"/>
        <v>986207.6</v>
      </c>
      <c r="O362" s="169">
        <f t="shared" si="93"/>
        <v>0</v>
      </c>
      <c r="P362" s="136">
        <f>C362+D362+E362-F362-G362</f>
        <v>0</v>
      </c>
      <c r="Q362" s="125"/>
      <c r="W362" s="165"/>
      <c r="X362" s="125"/>
      <c r="Y362" s="125"/>
    </row>
    <row r="363" spans="1:26" ht="13.5" thickTop="1" x14ac:dyDescent="0.2">
      <c r="A363" s="165"/>
      <c r="B363" s="125"/>
      <c r="C363" s="153"/>
      <c r="D363" s="166"/>
      <c r="E363" s="166"/>
      <c r="F363" s="166"/>
      <c r="G363" s="166"/>
      <c r="H363" s="166"/>
      <c r="I363" s="166"/>
      <c r="J363" s="166"/>
      <c r="K363" s="166"/>
      <c r="L363" s="166"/>
      <c r="M363" s="166"/>
      <c r="N363" s="166"/>
      <c r="O363" s="166"/>
      <c r="P363" s="125"/>
      <c r="Q363" s="125"/>
    </row>
    <row r="364" spans="1:26" x14ac:dyDescent="0.2">
      <c r="A364" s="165" t="s">
        <v>238</v>
      </c>
      <c r="B364" s="125"/>
      <c r="C364" s="153"/>
      <c r="D364" s="166"/>
      <c r="E364" s="166"/>
      <c r="F364" s="166"/>
      <c r="G364" s="166"/>
      <c r="H364" s="166"/>
      <c r="I364" s="166"/>
      <c r="J364" s="166"/>
      <c r="K364" s="166"/>
      <c r="L364" s="166"/>
      <c r="M364" s="166"/>
      <c r="N364" s="166"/>
      <c r="O364" s="166"/>
      <c r="P364" s="125"/>
      <c r="Q364" s="125"/>
    </row>
    <row r="365" spans="1:26" x14ac:dyDescent="0.2">
      <c r="A365" s="125"/>
      <c r="B365" s="197" t="s">
        <v>239</v>
      </c>
      <c r="C365" s="166">
        <v>25000000</v>
      </c>
      <c r="D365" s="166"/>
      <c r="E365" s="166"/>
      <c r="F365" s="166">
        <v>0</v>
      </c>
      <c r="G365" s="166">
        <v>25000000</v>
      </c>
      <c r="H365" s="166">
        <v>25000000.000000011</v>
      </c>
      <c r="I365" s="166"/>
      <c r="J365" s="166">
        <f>[5]UMCP!J406</f>
        <v>0</v>
      </c>
      <c r="K365" s="166">
        <f>[5]UMCP!K406</f>
        <v>0</v>
      </c>
      <c r="L365" s="162">
        <f>G365-H365-I365-J365-K365</f>
        <v>-1.1175870895385742E-8</v>
      </c>
      <c r="M365" s="162">
        <f>H365-N365-O365</f>
        <v>395672.48000000417</v>
      </c>
      <c r="N365" s="162">
        <v>2878845.1800000072</v>
      </c>
      <c r="O365" s="162">
        <v>21725482.34</v>
      </c>
      <c r="P365" s="136">
        <f>C365+D365+E365-F365-G365</f>
        <v>0</v>
      </c>
      <c r="Q365" s="125"/>
      <c r="S365" s="125" t="s">
        <v>254</v>
      </c>
      <c r="T365" s="125" t="s">
        <v>254</v>
      </c>
      <c r="U365" s="125">
        <v>30</v>
      </c>
      <c r="V365" s="125" t="s">
        <v>465</v>
      </c>
      <c r="W365" s="197" t="s">
        <v>7</v>
      </c>
      <c r="X365" s="238">
        <f>H365</f>
        <v>25000000.000000011</v>
      </c>
      <c r="Y365" s="238">
        <f>L365</f>
        <v>-1.1175870895385742E-8</v>
      </c>
      <c r="Z365" s="197" t="s">
        <v>239</v>
      </c>
    </row>
    <row r="366" spans="1:26" x14ac:dyDescent="0.2">
      <c r="A366" s="125"/>
      <c r="B366" s="197" t="s">
        <v>240</v>
      </c>
      <c r="C366" s="166">
        <v>15000000</v>
      </c>
      <c r="D366" s="166"/>
      <c r="E366" s="166"/>
      <c r="F366" s="166">
        <v>0</v>
      </c>
      <c r="G366" s="166">
        <v>15000000</v>
      </c>
      <c r="H366" s="166">
        <v>15000000</v>
      </c>
      <c r="I366" s="166"/>
      <c r="J366" s="166">
        <f>[5]UMCP!J441</f>
        <v>0</v>
      </c>
      <c r="K366" s="166">
        <f>[5]UMCP!K441</f>
        <v>0</v>
      </c>
      <c r="L366" s="162">
        <f>G366-H366-I366-J366-K366</f>
        <v>0</v>
      </c>
      <c r="M366" s="162">
        <f>H366-N366-O366</f>
        <v>0</v>
      </c>
      <c r="N366" s="162">
        <v>0</v>
      </c>
      <c r="O366" s="162">
        <v>15000000</v>
      </c>
      <c r="P366" s="136">
        <f>C366+D366+E366-F366-G366</f>
        <v>0</v>
      </c>
      <c r="Q366" s="125"/>
      <c r="S366" s="125" t="s">
        <v>254</v>
      </c>
      <c r="T366" s="125" t="s">
        <v>254</v>
      </c>
      <c r="U366" s="125">
        <v>30</v>
      </c>
      <c r="V366" s="125" t="s">
        <v>465</v>
      </c>
      <c r="W366" s="197" t="s">
        <v>7</v>
      </c>
      <c r="X366" s="238">
        <f>H366</f>
        <v>15000000</v>
      </c>
      <c r="Y366" s="238">
        <f>L366</f>
        <v>0</v>
      </c>
      <c r="Z366" s="197" t="s">
        <v>240</v>
      </c>
    </row>
    <row r="367" spans="1:26" x14ac:dyDescent="0.2">
      <c r="A367" s="125"/>
      <c r="B367" s="197"/>
      <c r="C367" s="166"/>
      <c r="D367" s="166"/>
      <c r="E367" s="166"/>
      <c r="F367" s="166"/>
      <c r="G367" s="166"/>
      <c r="H367" s="166"/>
      <c r="I367" s="166"/>
      <c r="J367" s="166"/>
      <c r="K367" s="166"/>
      <c r="L367" s="166"/>
      <c r="M367" s="166"/>
      <c r="N367" s="166"/>
      <c r="O367" s="166"/>
      <c r="P367" s="125"/>
      <c r="Q367" s="125"/>
      <c r="W367" s="197"/>
      <c r="Z367" s="197"/>
    </row>
    <row r="368" spans="1:26" ht="13.5" thickBot="1" x14ac:dyDescent="0.25">
      <c r="A368" s="125"/>
      <c r="B368" s="201" t="s">
        <v>241</v>
      </c>
      <c r="C368" s="169">
        <f>SUM(C365:C367)</f>
        <v>40000000</v>
      </c>
      <c r="D368" s="169">
        <f t="shared" ref="D368:O368" si="94">SUM(D365:D367)</f>
        <v>0</v>
      </c>
      <c r="E368" s="169">
        <f t="shared" si="94"/>
        <v>0</v>
      </c>
      <c r="F368" s="169">
        <f t="shared" si="94"/>
        <v>0</v>
      </c>
      <c r="G368" s="169">
        <f t="shared" si="94"/>
        <v>40000000</v>
      </c>
      <c r="H368" s="169">
        <f>SUM(H365:H367)</f>
        <v>40000000.000000015</v>
      </c>
      <c r="I368" s="169">
        <f t="shared" si="94"/>
        <v>0</v>
      </c>
      <c r="J368" s="169">
        <f t="shared" si="94"/>
        <v>0</v>
      </c>
      <c r="K368" s="169">
        <f t="shared" si="94"/>
        <v>0</v>
      </c>
      <c r="L368" s="169">
        <f t="shared" si="94"/>
        <v>-1.1175870895385742E-8</v>
      </c>
      <c r="M368" s="169">
        <f t="shared" si="94"/>
        <v>395672.48000000417</v>
      </c>
      <c r="N368" s="169">
        <f t="shared" si="94"/>
        <v>2878845.1800000072</v>
      </c>
      <c r="O368" s="169">
        <f t="shared" si="94"/>
        <v>36725482.340000004</v>
      </c>
      <c r="P368" s="136">
        <f>C368+D368+E368-F368-G368</f>
        <v>0</v>
      </c>
      <c r="Q368" s="125"/>
      <c r="W368" s="165"/>
      <c r="X368" s="125"/>
      <c r="Y368" s="125"/>
    </row>
    <row r="369" spans="1:26" ht="13.5" thickTop="1" x14ac:dyDescent="0.2">
      <c r="A369" s="125"/>
      <c r="B369" s="197"/>
      <c r="C369" s="166"/>
      <c r="D369" s="166"/>
      <c r="E369" s="166"/>
      <c r="F369" s="166"/>
      <c r="G369" s="166"/>
      <c r="H369" s="166"/>
      <c r="I369" s="166"/>
      <c r="J369" s="166"/>
      <c r="K369" s="166"/>
      <c r="L369" s="166"/>
      <c r="M369" s="166"/>
      <c r="N369" s="166"/>
      <c r="O369" s="166"/>
      <c r="P369" s="125"/>
      <c r="Q369" s="125"/>
      <c r="W369" s="197"/>
      <c r="Z369" s="197"/>
    </row>
    <row r="370" spans="1:26" x14ac:dyDescent="0.2">
      <c r="A370" s="165" t="s">
        <v>242</v>
      </c>
      <c r="B370" s="125"/>
      <c r="C370" s="153"/>
      <c r="D370" s="166"/>
      <c r="E370" s="166"/>
      <c r="F370" s="203"/>
      <c r="G370" s="166"/>
      <c r="H370" s="166"/>
      <c r="I370" s="166"/>
      <c r="J370" s="166"/>
      <c r="K370" s="166"/>
      <c r="L370" s="166"/>
      <c r="M370" s="166"/>
      <c r="N370" s="166"/>
      <c r="O370" s="166"/>
      <c r="P370" s="125"/>
      <c r="Q370" s="125"/>
    </row>
    <row r="371" spans="1:26" x14ac:dyDescent="0.2">
      <c r="A371" s="125"/>
      <c r="B371" s="197" t="s">
        <v>243</v>
      </c>
      <c r="C371" s="166">
        <v>4000000</v>
      </c>
      <c r="D371" s="166"/>
      <c r="E371" s="166"/>
      <c r="F371" s="166">
        <v>0</v>
      </c>
      <c r="G371" s="166">
        <v>4000000</v>
      </c>
      <c r="H371" s="166">
        <v>4000000</v>
      </c>
      <c r="I371" s="166"/>
      <c r="J371" s="166"/>
      <c r="K371" s="166">
        <f>[5]UMCP!K449</f>
        <v>0</v>
      </c>
      <c r="L371" s="162">
        <f>G371-H371-I371-J371-K371</f>
        <v>0</v>
      </c>
      <c r="M371" s="162">
        <f>H371-N371-O371</f>
        <v>0</v>
      </c>
      <c r="N371" s="162">
        <v>0</v>
      </c>
      <c r="O371" s="162">
        <v>4000000</v>
      </c>
      <c r="P371" s="136">
        <f>C371+D371+E371-F371-G371</f>
        <v>0</v>
      </c>
      <c r="Q371" s="125"/>
      <c r="S371" s="125" t="s">
        <v>254</v>
      </c>
      <c r="T371" s="125" t="s">
        <v>254</v>
      </c>
      <c r="U371" s="125">
        <v>30</v>
      </c>
      <c r="V371" s="125" t="s">
        <v>466</v>
      </c>
      <c r="W371" s="197" t="s">
        <v>7</v>
      </c>
      <c r="X371" s="238">
        <f>H371</f>
        <v>4000000</v>
      </c>
      <c r="Y371" s="238">
        <f>L371</f>
        <v>0</v>
      </c>
      <c r="Z371" s="197" t="s">
        <v>243</v>
      </c>
    </row>
    <row r="372" spans="1:26" x14ac:dyDescent="0.2">
      <c r="A372" s="125"/>
      <c r="B372" s="197" t="s">
        <v>244</v>
      </c>
      <c r="C372" s="166">
        <f>1000000+8780000</f>
        <v>9780000</v>
      </c>
      <c r="D372" s="166"/>
      <c r="E372" s="166"/>
      <c r="F372" s="166">
        <f>9312023.08</f>
        <v>9312023.0800000001</v>
      </c>
      <c r="G372" s="166">
        <v>467976.91999999993</v>
      </c>
      <c r="H372" s="166">
        <v>467976.92</v>
      </c>
      <c r="I372" s="166"/>
      <c r="J372" s="166"/>
      <c r="K372" s="166">
        <f>[5]UMCP!K417</f>
        <v>0</v>
      </c>
      <c r="L372" s="162">
        <f>G372-H372-I372-J372-K372</f>
        <v>-5.8207660913467407E-11</v>
      </c>
      <c r="M372" s="162">
        <f>H372-N372-O372</f>
        <v>0</v>
      </c>
      <c r="N372" s="162">
        <v>0</v>
      </c>
      <c r="O372" s="162">
        <v>467976.92</v>
      </c>
      <c r="P372" s="136">
        <f>C372+D372+E372-F372-G372</f>
        <v>0</v>
      </c>
      <c r="Q372" s="125"/>
      <c r="S372" s="125" t="s">
        <v>254</v>
      </c>
      <c r="T372" s="125" t="s">
        <v>254</v>
      </c>
      <c r="U372" s="125">
        <v>30</v>
      </c>
      <c r="V372" s="125" t="s">
        <v>466</v>
      </c>
      <c r="W372" s="197" t="s">
        <v>7</v>
      </c>
      <c r="X372" s="238">
        <f>H372</f>
        <v>467976.92</v>
      </c>
      <c r="Y372" s="238">
        <f>L372</f>
        <v>-5.8207660913467407E-11</v>
      </c>
      <c r="Z372" s="197" t="s">
        <v>244</v>
      </c>
    </row>
    <row r="373" spans="1:26" x14ac:dyDescent="0.2">
      <c r="A373" s="125"/>
      <c r="B373" s="197" t="s">
        <v>245</v>
      </c>
      <c r="C373" s="166">
        <v>13100000</v>
      </c>
      <c r="D373" s="166"/>
      <c r="E373" s="166"/>
      <c r="F373" s="166">
        <f>5842776.86+7257223.14</f>
        <v>13100000</v>
      </c>
      <c r="G373" s="166">
        <v>0</v>
      </c>
      <c r="H373" s="166">
        <v>0</v>
      </c>
      <c r="I373" s="166"/>
      <c r="J373" s="166"/>
      <c r="K373" s="166"/>
      <c r="L373" s="162">
        <f>G373-H373-I373-J373-K373</f>
        <v>0</v>
      </c>
      <c r="M373" s="162">
        <f>H373-N373-O373</f>
        <v>0</v>
      </c>
      <c r="N373" s="162">
        <v>0</v>
      </c>
      <c r="O373" s="162">
        <v>0</v>
      </c>
      <c r="P373" s="136">
        <f>C373+D373+E373-F373-G373</f>
        <v>0</v>
      </c>
      <c r="Q373" s="125"/>
      <c r="S373" s="125" t="s">
        <v>254</v>
      </c>
      <c r="T373" s="125" t="s">
        <v>254</v>
      </c>
      <c r="U373" s="125">
        <v>20</v>
      </c>
      <c r="V373" s="125" t="s">
        <v>466</v>
      </c>
      <c r="W373" s="197" t="s">
        <v>11</v>
      </c>
      <c r="X373" s="238">
        <f>H373</f>
        <v>0</v>
      </c>
      <c r="Y373" s="238">
        <f>L373</f>
        <v>0</v>
      </c>
      <c r="Z373" s="197" t="s">
        <v>245</v>
      </c>
    </row>
    <row r="374" spans="1:26" x14ac:dyDescent="0.2">
      <c r="A374" s="125"/>
      <c r="B374" s="197" t="s">
        <v>246</v>
      </c>
      <c r="C374" s="166">
        <v>25100000</v>
      </c>
      <c r="D374" s="166"/>
      <c r="E374" s="166"/>
      <c r="F374" s="166">
        <f>1995.27+25052096.18</f>
        <v>25054091.449999999</v>
      </c>
      <c r="G374" s="166">
        <v>45908.550000000745</v>
      </c>
      <c r="H374" s="166">
        <v>5000</v>
      </c>
      <c r="I374" s="166"/>
      <c r="J374" s="166"/>
      <c r="K374" s="166"/>
      <c r="L374" s="162">
        <f>G374-H374-I374-J374-K374</f>
        <v>40908.550000000745</v>
      </c>
      <c r="M374" s="162">
        <f>H374-N374-O374</f>
        <v>5000</v>
      </c>
      <c r="N374" s="162">
        <v>0</v>
      </c>
      <c r="O374" s="162">
        <v>0</v>
      </c>
      <c r="P374" s="136">
        <f>C374+D374+E374-F374-G374</f>
        <v>0</v>
      </c>
      <c r="Q374" s="125"/>
      <c r="S374" s="125" t="s">
        <v>254</v>
      </c>
      <c r="T374" s="125" t="s">
        <v>254</v>
      </c>
      <c r="U374" s="125">
        <v>20</v>
      </c>
      <c r="V374" s="125" t="s">
        <v>466</v>
      </c>
      <c r="W374" s="197" t="s">
        <v>17</v>
      </c>
      <c r="X374" s="238">
        <f>H374</f>
        <v>5000</v>
      </c>
      <c r="Y374" s="238">
        <f>L374</f>
        <v>40908.550000000745</v>
      </c>
      <c r="Z374" s="197" t="s">
        <v>246</v>
      </c>
    </row>
    <row r="375" spans="1:26" x14ac:dyDescent="0.2">
      <c r="A375" s="125"/>
      <c r="B375" s="197" t="s">
        <v>227</v>
      </c>
      <c r="C375" s="166">
        <v>20513000</v>
      </c>
      <c r="D375" s="166"/>
      <c r="E375" s="166"/>
      <c r="F375" s="166">
        <v>20513000</v>
      </c>
      <c r="G375" s="166">
        <v>0</v>
      </c>
      <c r="H375" s="166">
        <v>0</v>
      </c>
      <c r="I375" s="166"/>
      <c r="J375" s="166"/>
      <c r="K375" s="166"/>
      <c r="L375" s="162">
        <f>G375-H375-I375-J375-K375</f>
        <v>0</v>
      </c>
      <c r="M375" s="162">
        <f>H375-N375-O375</f>
        <v>0</v>
      </c>
      <c r="N375" s="162">
        <v>0</v>
      </c>
      <c r="O375" s="162">
        <v>0</v>
      </c>
      <c r="P375" s="136">
        <f>C375+D375+E375-F375-G375</f>
        <v>0</v>
      </c>
      <c r="Q375" s="125"/>
      <c r="S375" s="125" t="s">
        <v>254</v>
      </c>
      <c r="T375" s="125" t="s">
        <v>254</v>
      </c>
      <c r="U375" s="125">
        <v>20</v>
      </c>
      <c r="V375" s="125" t="s">
        <v>466</v>
      </c>
      <c r="W375" s="197" t="s">
        <v>17</v>
      </c>
      <c r="X375" s="238">
        <f>H375</f>
        <v>0</v>
      </c>
      <c r="Y375" s="238">
        <f>L375</f>
        <v>0</v>
      </c>
      <c r="Z375" s="197" t="s">
        <v>227</v>
      </c>
    </row>
    <row r="376" spans="1:26" x14ac:dyDescent="0.2">
      <c r="A376" s="125"/>
      <c r="B376" s="197"/>
      <c r="C376" s="166"/>
      <c r="D376" s="166"/>
      <c r="E376" s="166"/>
      <c r="F376" s="166"/>
      <c r="G376" s="166"/>
      <c r="H376" s="166"/>
      <c r="I376" s="166"/>
      <c r="J376" s="166"/>
      <c r="K376" s="166"/>
      <c r="L376" s="166"/>
      <c r="M376" s="166"/>
      <c r="N376" s="166"/>
      <c r="O376" s="166"/>
      <c r="P376" s="125"/>
      <c r="Q376" s="125"/>
      <c r="W376" s="197"/>
      <c r="Z376" s="197"/>
    </row>
    <row r="377" spans="1:26" ht="13.5" thickBot="1" x14ac:dyDescent="0.25">
      <c r="A377" s="125"/>
      <c r="B377" s="201" t="s">
        <v>247</v>
      </c>
      <c r="C377" s="169">
        <f t="shared" ref="C377:O377" si="95">SUM(C371:C376)</f>
        <v>72493000</v>
      </c>
      <c r="D377" s="169">
        <f t="shared" si="95"/>
        <v>0</v>
      </c>
      <c r="E377" s="169">
        <f t="shared" si="95"/>
        <v>0</v>
      </c>
      <c r="F377" s="169">
        <f t="shared" si="95"/>
        <v>67979114.530000001</v>
      </c>
      <c r="G377" s="169">
        <f t="shared" si="95"/>
        <v>4513885.4700000007</v>
      </c>
      <c r="H377" s="169">
        <f t="shared" si="95"/>
        <v>4472976.92</v>
      </c>
      <c r="I377" s="169">
        <f t="shared" si="95"/>
        <v>0</v>
      </c>
      <c r="J377" s="169">
        <f t="shared" si="95"/>
        <v>0</v>
      </c>
      <c r="K377" s="169">
        <f t="shared" si="95"/>
        <v>0</v>
      </c>
      <c r="L377" s="169">
        <f t="shared" si="95"/>
        <v>40908.550000000687</v>
      </c>
      <c r="M377" s="169">
        <f t="shared" si="95"/>
        <v>5000</v>
      </c>
      <c r="N377" s="169">
        <f t="shared" si="95"/>
        <v>0</v>
      </c>
      <c r="O377" s="169">
        <f t="shared" si="95"/>
        <v>4467976.92</v>
      </c>
      <c r="P377" s="136">
        <f>C377+D377+E377-F377-G377</f>
        <v>0</v>
      </c>
      <c r="Q377" s="125"/>
      <c r="W377" s="165"/>
      <c r="X377" s="125"/>
      <c r="Y377" s="125"/>
    </row>
    <row r="378" spans="1:26" ht="13.5" thickTop="1" x14ac:dyDescent="0.2">
      <c r="A378" s="125"/>
      <c r="B378" s="197"/>
      <c r="C378" s="166"/>
      <c r="D378" s="166"/>
      <c r="E378" s="166"/>
      <c r="F378" s="166"/>
      <c r="G378" s="166"/>
      <c r="H378" s="166"/>
      <c r="I378" s="166"/>
      <c r="J378" s="166"/>
      <c r="K378" s="166"/>
      <c r="L378" s="166"/>
      <c r="M378" s="166"/>
      <c r="N378" s="166"/>
      <c r="O378" s="166"/>
      <c r="P378" s="125"/>
      <c r="Q378" s="125"/>
      <c r="W378" s="197"/>
      <c r="Z378" s="197"/>
    </row>
    <row r="379" spans="1:26" x14ac:dyDescent="0.2">
      <c r="A379" s="165" t="s">
        <v>248</v>
      </c>
      <c r="B379" s="125"/>
      <c r="C379" s="153"/>
      <c r="D379" s="166"/>
      <c r="E379" s="166"/>
      <c r="F379" s="166"/>
      <c r="G379" s="166"/>
      <c r="H379" s="166"/>
      <c r="I379" s="166"/>
      <c r="J379" s="166"/>
      <c r="K379" s="166"/>
      <c r="L379" s="166"/>
      <c r="M379" s="166"/>
      <c r="N379" s="166"/>
      <c r="O379" s="166"/>
      <c r="P379" s="125"/>
      <c r="Q379" s="125"/>
    </row>
    <row r="380" spans="1:26" x14ac:dyDescent="0.2">
      <c r="A380" s="125"/>
      <c r="B380" s="197" t="s">
        <v>249</v>
      </c>
      <c r="C380" s="166">
        <v>12000000</v>
      </c>
      <c r="D380" s="166"/>
      <c r="E380" s="166"/>
      <c r="F380" s="166">
        <f>3999642.27+8000357.73</f>
        <v>12000000</v>
      </c>
      <c r="G380" s="166">
        <v>0</v>
      </c>
      <c r="H380" s="166">
        <v>0</v>
      </c>
      <c r="I380" s="166"/>
      <c r="J380" s="166"/>
      <c r="K380" s="166"/>
      <c r="L380" s="162">
        <f>G380-H380-I380-J380-K380</f>
        <v>0</v>
      </c>
      <c r="M380" s="162">
        <f>H380-N380-O380</f>
        <v>0</v>
      </c>
      <c r="N380" s="162"/>
      <c r="O380" s="162">
        <v>0</v>
      </c>
      <c r="P380" s="136">
        <f>C380+D380+E380-F380-G380</f>
        <v>0</v>
      </c>
      <c r="Q380" s="125"/>
      <c r="S380" s="125" t="s">
        <v>254</v>
      </c>
      <c r="T380" s="125" t="s">
        <v>254</v>
      </c>
      <c r="U380" s="125">
        <v>20</v>
      </c>
      <c r="V380" s="125" t="s">
        <v>467</v>
      </c>
      <c r="W380" s="197" t="s">
        <v>11</v>
      </c>
      <c r="X380" s="238">
        <f>H380</f>
        <v>0</v>
      </c>
      <c r="Y380" s="238">
        <f>L380</f>
        <v>0</v>
      </c>
      <c r="Z380" s="197" t="s">
        <v>249</v>
      </c>
    </row>
    <row r="381" spans="1:26" x14ac:dyDescent="0.2">
      <c r="A381" s="125"/>
      <c r="B381" s="197" t="s">
        <v>250</v>
      </c>
      <c r="C381" s="166">
        <v>92500000</v>
      </c>
      <c r="D381" s="166">
        <f>-6000000-86491803.38</f>
        <v>-92491803.379999995</v>
      </c>
      <c r="E381" s="166"/>
      <c r="F381" s="166">
        <f>8196.62</f>
        <v>8196.6200000000008</v>
      </c>
      <c r="G381" s="166">
        <v>0</v>
      </c>
      <c r="H381" s="166">
        <v>0</v>
      </c>
      <c r="I381" s="166"/>
      <c r="J381" s="166"/>
      <c r="K381" s="166">
        <f>[5]SU!K98</f>
        <v>0</v>
      </c>
      <c r="L381" s="162">
        <f>G381-H381-I381-J381-K381</f>
        <v>0</v>
      </c>
      <c r="M381" s="162">
        <f>H381-N381-O381</f>
        <v>0</v>
      </c>
      <c r="N381" s="162">
        <v>0</v>
      </c>
      <c r="O381" s="162">
        <v>0</v>
      </c>
      <c r="P381" s="136">
        <f>C381+D381+E381-F381-G381</f>
        <v>4.7675712266936898E-9</v>
      </c>
      <c r="Q381" s="125"/>
      <c r="S381" s="125" t="s">
        <v>254</v>
      </c>
      <c r="T381" s="125" t="s">
        <v>254</v>
      </c>
      <c r="U381" s="125">
        <v>20</v>
      </c>
      <c r="V381" s="125" t="s">
        <v>467</v>
      </c>
      <c r="W381" s="197" t="s">
        <v>16</v>
      </c>
      <c r="X381" s="238">
        <f>H381</f>
        <v>0</v>
      </c>
      <c r="Y381" s="238">
        <f>L381</f>
        <v>0</v>
      </c>
      <c r="Z381" s="197" t="s">
        <v>250</v>
      </c>
    </row>
    <row r="382" spans="1:26" x14ac:dyDescent="0.2">
      <c r="A382" s="125"/>
      <c r="B382" s="197"/>
      <c r="C382" s="166"/>
      <c r="D382" s="166"/>
      <c r="E382" s="166"/>
      <c r="F382" s="166"/>
      <c r="G382" s="166"/>
      <c r="H382" s="166"/>
      <c r="I382" s="166"/>
      <c r="J382" s="166"/>
      <c r="K382" s="166"/>
      <c r="L382" s="166"/>
      <c r="M382" s="166"/>
      <c r="N382" s="166"/>
      <c r="O382" s="166"/>
      <c r="P382" s="125"/>
      <c r="Q382" s="125"/>
      <c r="W382" s="197"/>
      <c r="Z382" s="197"/>
    </row>
    <row r="383" spans="1:26" ht="13.5" thickBot="1" x14ac:dyDescent="0.25">
      <c r="A383" s="125"/>
      <c r="B383" s="201" t="s">
        <v>251</v>
      </c>
      <c r="C383" s="169">
        <f>SUM(C380:C382)</f>
        <v>104500000</v>
      </c>
      <c r="D383" s="169">
        <f t="shared" ref="D383:O383" si="96">SUM(D380:D382)</f>
        <v>-92491803.379999995</v>
      </c>
      <c r="E383" s="169">
        <f t="shared" si="96"/>
        <v>0</v>
      </c>
      <c r="F383" s="169">
        <f t="shared" si="96"/>
        <v>12008196.619999999</v>
      </c>
      <c r="G383" s="169">
        <f t="shared" si="96"/>
        <v>0</v>
      </c>
      <c r="H383" s="169">
        <f>SUM(H380:H382)</f>
        <v>0</v>
      </c>
      <c r="I383" s="169">
        <f t="shared" si="96"/>
        <v>0</v>
      </c>
      <c r="J383" s="169">
        <f t="shared" si="96"/>
        <v>0</v>
      </c>
      <c r="K383" s="169">
        <f t="shared" si="96"/>
        <v>0</v>
      </c>
      <c r="L383" s="169">
        <f t="shared" si="96"/>
        <v>0</v>
      </c>
      <c r="M383" s="169">
        <f t="shared" si="96"/>
        <v>0</v>
      </c>
      <c r="N383" s="169">
        <f t="shared" si="96"/>
        <v>0</v>
      </c>
      <c r="O383" s="169">
        <f t="shared" si="96"/>
        <v>0</v>
      </c>
      <c r="P383" s="136">
        <f>C383+D383+E383-F383-G383</f>
        <v>5.5879354476928711E-9</v>
      </c>
      <c r="Q383" s="125"/>
      <c r="W383" s="165"/>
      <c r="X383" s="125"/>
      <c r="Y383" s="125"/>
    </row>
    <row r="384" spans="1:26" ht="13.5" thickTop="1" x14ac:dyDescent="0.2">
      <c r="A384" s="125"/>
      <c r="B384" s="197"/>
      <c r="C384" s="166"/>
      <c r="D384" s="166"/>
      <c r="E384" s="166"/>
      <c r="F384" s="166"/>
      <c r="G384" s="166"/>
      <c r="H384" s="166"/>
      <c r="I384" s="166"/>
      <c r="J384" s="166"/>
      <c r="K384" s="166"/>
      <c r="L384" s="166"/>
      <c r="M384" s="166"/>
      <c r="N384" s="166"/>
      <c r="O384" s="166"/>
      <c r="P384" s="125"/>
      <c r="Q384" s="125"/>
      <c r="W384" s="197"/>
      <c r="Z384" s="197"/>
    </row>
    <row r="385" spans="1:26" x14ac:dyDescent="0.2">
      <c r="A385" s="165" t="s">
        <v>252</v>
      </c>
      <c r="B385" s="125"/>
      <c r="C385" s="153"/>
      <c r="D385" s="153"/>
      <c r="E385" s="163"/>
      <c r="F385" s="130"/>
      <c r="G385" s="162"/>
      <c r="H385" s="167"/>
      <c r="I385" s="162"/>
      <c r="J385" s="162"/>
      <c r="K385" s="162"/>
      <c r="L385" s="162"/>
      <c r="M385" s="162"/>
      <c r="N385" s="162"/>
      <c r="O385" s="162"/>
      <c r="P385" s="125"/>
      <c r="Q385" s="125"/>
    </row>
    <row r="386" spans="1:26" x14ac:dyDescent="0.2">
      <c r="A386" s="125"/>
      <c r="B386" s="125" t="s">
        <v>253</v>
      </c>
      <c r="C386" s="153">
        <v>12000000</v>
      </c>
      <c r="D386" s="153"/>
      <c r="E386" s="163"/>
      <c r="F386" s="162">
        <f>154530.8+7892487.67+3952981.53</f>
        <v>12000000</v>
      </c>
      <c r="G386" s="162">
        <v>0</v>
      </c>
      <c r="H386" s="167">
        <v>0</v>
      </c>
      <c r="I386" s="162">
        <f>[5]UMCP!I427</f>
        <v>0</v>
      </c>
      <c r="J386" s="162">
        <f>[5]UMCP!J427</f>
        <v>0</v>
      </c>
      <c r="K386" s="162">
        <f>[5]UMCP!K427</f>
        <v>0</v>
      </c>
      <c r="L386" s="162">
        <f t="shared" ref="L386:L393" si="97">G386-H386-I386-J386-K386</f>
        <v>0</v>
      </c>
      <c r="M386" s="162">
        <f t="shared" ref="M386:M393" si="98">H386-N386-O386</f>
        <v>0</v>
      </c>
      <c r="N386" s="162">
        <v>0</v>
      </c>
      <c r="O386" s="162">
        <v>0</v>
      </c>
      <c r="P386" s="136">
        <f t="shared" ref="P386:P393" si="99">C386+D386+E386-F386-G386</f>
        <v>0</v>
      </c>
      <c r="Q386" s="125"/>
      <c r="S386" s="125" t="s">
        <v>254</v>
      </c>
      <c r="T386" s="125" t="s">
        <v>254</v>
      </c>
      <c r="U386" s="125">
        <v>30</v>
      </c>
      <c r="V386" s="125" t="s">
        <v>33</v>
      </c>
      <c r="W386" s="125" t="s">
        <v>7</v>
      </c>
      <c r="X386" s="238">
        <f t="shared" ref="X386:X393" si="100">H386</f>
        <v>0</v>
      </c>
      <c r="Y386" s="238">
        <f t="shared" ref="Y386:Y393" si="101">L386</f>
        <v>0</v>
      </c>
      <c r="Z386" s="125" t="s">
        <v>253</v>
      </c>
    </row>
    <row r="387" spans="1:26" x14ac:dyDescent="0.2">
      <c r="A387" s="125"/>
      <c r="B387" s="125" t="s">
        <v>243</v>
      </c>
      <c r="C387" s="153">
        <v>26500000</v>
      </c>
      <c r="D387" s="153"/>
      <c r="E387" s="163"/>
      <c r="F387" s="162">
        <f>20828474.09</f>
        <v>20828474.09</v>
      </c>
      <c r="G387" s="162">
        <v>5671525.9100000001</v>
      </c>
      <c r="H387" s="167">
        <v>5671525.9100000001</v>
      </c>
      <c r="I387" s="162">
        <f>[5]UMCP!I458</f>
        <v>0</v>
      </c>
      <c r="J387" s="162">
        <f>[5]UMCP!J458</f>
        <v>0</v>
      </c>
      <c r="K387" s="162">
        <f>[5]UMCP!K458</f>
        <v>0</v>
      </c>
      <c r="L387" s="162">
        <f>G387-H387-I387-J387-K387</f>
        <v>0</v>
      </c>
      <c r="M387" s="162">
        <f t="shared" si="98"/>
        <v>0</v>
      </c>
      <c r="N387" s="162">
        <v>0</v>
      </c>
      <c r="O387" s="162">
        <v>5671525.9100000001</v>
      </c>
      <c r="P387" s="136">
        <f t="shared" si="99"/>
        <v>0</v>
      </c>
      <c r="Q387" s="125"/>
      <c r="S387" s="125" t="s">
        <v>254</v>
      </c>
      <c r="T387" s="125" t="s">
        <v>254</v>
      </c>
      <c r="U387" s="125">
        <v>30</v>
      </c>
      <c r="V387" s="125" t="s">
        <v>33</v>
      </c>
      <c r="W387" s="125" t="s">
        <v>7</v>
      </c>
      <c r="X387" s="238">
        <f t="shared" si="100"/>
        <v>5671525.9100000001</v>
      </c>
      <c r="Y387" s="238">
        <f t="shared" si="101"/>
        <v>0</v>
      </c>
      <c r="Z387" s="125" t="s">
        <v>243</v>
      </c>
    </row>
    <row r="388" spans="1:26" x14ac:dyDescent="0.2">
      <c r="A388" s="125"/>
      <c r="B388" s="125" t="s">
        <v>255</v>
      </c>
      <c r="C388" s="166">
        <v>1500000</v>
      </c>
      <c r="D388" s="153"/>
      <c r="E388" s="163"/>
      <c r="F388" s="203"/>
      <c r="G388" s="162">
        <v>1500000</v>
      </c>
      <c r="H388" s="167">
        <v>7873.27</v>
      </c>
      <c r="I388" s="162">
        <f>[5]UMCP!I369</f>
        <v>0</v>
      </c>
      <c r="J388" s="162">
        <f>[5]UMCP!J369</f>
        <v>0</v>
      </c>
      <c r="K388" s="162">
        <f>[5]UMCP!K369</f>
        <v>0</v>
      </c>
      <c r="L388" s="162">
        <f t="shared" si="97"/>
        <v>1492126.73</v>
      </c>
      <c r="M388" s="162">
        <f t="shared" si="98"/>
        <v>7873.27</v>
      </c>
      <c r="N388" s="162">
        <v>0</v>
      </c>
      <c r="O388" s="162">
        <v>0</v>
      </c>
      <c r="P388" s="136">
        <f t="shared" si="99"/>
        <v>0</v>
      </c>
      <c r="Q388" s="125"/>
      <c r="S388" s="125" t="s">
        <v>254</v>
      </c>
      <c r="T388" s="125" t="s">
        <v>254</v>
      </c>
      <c r="U388" s="125">
        <v>20</v>
      </c>
      <c r="V388" s="125" t="s">
        <v>33</v>
      </c>
      <c r="W388" s="125" t="s">
        <v>7</v>
      </c>
      <c r="X388" s="238">
        <f t="shared" si="100"/>
        <v>7873.27</v>
      </c>
      <c r="Y388" s="238">
        <f t="shared" si="101"/>
        <v>1492126.73</v>
      </c>
      <c r="Z388" s="125" t="s">
        <v>255</v>
      </c>
    </row>
    <row r="389" spans="1:26" x14ac:dyDescent="0.2">
      <c r="A389" s="125"/>
      <c r="B389" s="125" t="s">
        <v>245</v>
      </c>
      <c r="C389" s="166">
        <v>9900000</v>
      </c>
      <c r="D389" s="153"/>
      <c r="E389" s="163"/>
      <c r="F389" s="162">
        <f>26214.56+9873785.44</f>
        <v>9900000</v>
      </c>
      <c r="G389" s="162">
        <v>0</v>
      </c>
      <c r="H389" s="167">
        <v>0</v>
      </c>
      <c r="I389" s="162">
        <v>0</v>
      </c>
      <c r="J389" s="162">
        <v>0</v>
      </c>
      <c r="K389" s="162">
        <v>0</v>
      </c>
      <c r="L389" s="162">
        <f t="shared" si="97"/>
        <v>0</v>
      </c>
      <c r="M389" s="162">
        <f t="shared" si="98"/>
        <v>0</v>
      </c>
      <c r="N389" s="162">
        <v>0</v>
      </c>
      <c r="O389" s="162">
        <v>0</v>
      </c>
      <c r="P389" s="136">
        <f t="shared" si="99"/>
        <v>0</v>
      </c>
      <c r="Q389" s="125"/>
      <c r="S389" s="125" t="s">
        <v>254</v>
      </c>
      <c r="T389" s="125" t="s">
        <v>254</v>
      </c>
      <c r="U389" s="125">
        <v>20</v>
      </c>
      <c r="V389" s="125" t="s">
        <v>33</v>
      </c>
      <c r="W389" s="125" t="s">
        <v>11</v>
      </c>
      <c r="X389" s="238">
        <f t="shared" si="100"/>
        <v>0</v>
      </c>
      <c r="Y389" s="238">
        <f t="shared" si="101"/>
        <v>0</v>
      </c>
      <c r="Z389" s="125" t="s">
        <v>245</v>
      </c>
    </row>
    <row r="390" spans="1:26" x14ac:dyDescent="0.2">
      <c r="A390" s="125"/>
      <c r="B390" s="125" t="s">
        <v>256</v>
      </c>
      <c r="C390" s="153">
        <v>13330000</v>
      </c>
      <c r="D390" s="153"/>
      <c r="E390" s="163"/>
      <c r="F390" s="162">
        <f>13317332.58</f>
        <v>13317332.58</v>
      </c>
      <c r="G390" s="162">
        <v>12667.419999999925</v>
      </c>
      <c r="H390" s="167">
        <v>0</v>
      </c>
      <c r="I390" s="162">
        <f>[5]FSU!I238</f>
        <v>0</v>
      </c>
      <c r="J390" s="162">
        <f>[5]FSU!J238</f>
        <v>0</v>
      </c>
      <c r="K390" s="162">
        <f>[5]FSU!K238</f>
        <v>0</v>
      </c>
      <c r="L390" s="162">
        <f t="shared" si="97"/>
        <v>12667.419999999925</v>
      </c>
      <c r="M390" s="162">
        <f t="shared" si="98"/>
        <v>0</v>
      </c>
      <c r="N390" s="162">
        <v>0</v>
      </c>
      <c r="O390" s="162">
        <v>0</v>
      </c>
      <c r="P390" s="136">
        <f t="shared" si="99"/>
        <v>0</v>
      </c>
      <c r="Q390" s="125"/>
      <c r="S390" s="125" t="s">
        <v>254</v>
      </c>
      <c r="T390" s="125" t="s">
        <v>254</v>
      </c>
      <c r="U390" s="125">
        <v>20</v>
      </c>
      <c r="V390" s="125" t="s">
        <v>33</v>
      </c>
      <c r="W390" s="125" t="s">
        <v>15</v>
      </c>
      <c r="X390" s="238">
        <f t="shared" si="100"/>
        <v>0</v>
      </c>
      <c r="Y390" s="238">
        <f t="shared" si="101"/>
        <v>12667.419999999925</v>
      </c>
      <c r="Z390" s="125" t="s">
        <v>256</v>
      </c>
    </row>
    <row r="391" spans="1:26" x14ac:dyDescent="0.2">
      <c r="A391" s="125"/>
      <c r="B391" s="125" t="s">
        <v>257</v>
      </c>
      <c r="C391" s="153">
        <v>7700000</v>
      </c>
      <c r="D391" s="153"/>
      <c r="E391" s="163"/>
      <c r="F391" s="162">
        <f>1990561.7+1418383.39+637208.77</f>
        <v>4046153.86</v>
      </c>
      <c r="G391" s="162">
        <v>3653846.1400000011</v>
      </c>
      <c r="H391" s="167">
        <v>122364.90999999999</v>
      </c>
      <c r="I391" s="162">
        <f>[5]FSU!I225</f>
        <v>0</v>
      </c>
      <c r="J391" s="162">
        <f>[5]FSU!J225</f>
        <v>0</v>
      </c>
      <c r="K391" s="162">
        <f>[5]FSU!K225</f>
        <v>0</v>
      </c>
      <c r="L391" s="162">
        <f t="shared" si="97"/>
        <v>3531481.2300000009</v>
      </c>
      <c r="M391" s="162">
        <f t="shared" si="98"/>
        <v>76219.669999999984</v>
      </c>
      <c r="N391" s="162">
        <v>46145.24</v>
      </c>
      <c r="O391" s="162">
        <v>0</v>
      </c>
      <c r="P391" s="136">
        <f t="shared" si="99"/>
        <v>0</v>
      </c>
      <c r="Q391" s="125"/>
      <c r="S391" s="125" t="s">
        <v>254</v>
      </c>
      <c r="T391" s="125" t="s">
        <v>254</v>
      </c>
      <c r="U391" s="125">
        <v>20</v>
      </c>
      <c r="V391" s="125" t="s">
        <v>33</v>
      </c>
      <c r="W391" s="125" t="s">
        <v>15</v>
      </c>
      <c r="X391" s="238">
        <f t="shared" si="100"/>
        <v>122364.90999999999</v>
      </c>
      <c r="Y391" s="238">
        <f t="shared" si="101"/>
        <v>3531481.2300000009</v>
      </c>
      <c r="Z391" s="125" t="s">
        <v>257</v>
      </c>
    </row>
    <row r="392" spans="1:26" x14ac:dyDescent="0.2">
      <c r="A392" s="125"/>
      <c r="B392" s="125" t="s">
        <v>246</v>
      </c>
      <c r="C392" s="153">
        <v>13000000</v>
      </c>
      <c r="D392" s="153"/>
      <c r="E392" s="163"/>
      <c r="F392" s="162">
        <f>369384.87+12614734.63</f>
        <v>12984119.5</v>
      </c>
      <c r="G392" s="162">
        <v>15880.5</v>
      </c>
      <c r="H392" s="167">
        <v>0</v>
      </c>
      <c r="I392" s="162">
        <f>[5]TU!I655</f>
        <v>0</v>
      </c>
      <c r="J392" s="162">
        <f>[5]TU!J655</f>
        <v>0</v>
      </c>
      <c r="K392" s="162">
        <f>[5]TU!K655</f>
        <v>0</v>
      </c>
      <c r="L392" s="162">
        <f t="shared" si="97"/>
        <v>15880.5</v>
      </c>
      <c r="M392" s="162">
        <f t="shared" si="98"/>
        <v>0</v>
      </c>
      <c r="N392" s="162">
        <v>0</v>
      </c>
      <c r="O392" s="162">
        <v>0</v>
      </c>
      <c r="P392" s="136">
        <f t="shared" si="99"/>
        <v>0</v>
      </c>
      <c r="Q392" s="125"/>
      <c r="S392" s="125" t="s">
        <v>254</v>
      </c>
      <c r="T392" s="125" t="s">
        <v>254</v>
      </c>
      <c r="U392" s="125">
        <v>20</v>
      </c>
      <c r="V392" s="125" t="s">
        <v>33</v>
      </c>
      <c r="W392" s="125" t="s">
        <v>17</v>
      </c>
      <c r="X392" s="238">
        <f t="shared" si="100"/>
        <v>0</v>
      </c>
      <c r="Y392" s="238">
        <f t="shared" si="101"/>
        <v>15880.5</v>
      </c>
      <c r="Z392" s="125" t="s">
        <v>246</v>
      </c>
    </row>
    <row r="393" spans="1:26" x14ac:dyDescent="0.2">
      <c r="A393" s="125"/>
      <c r="B393" s="125" t="s">
        <v>227</v>
      </c>
      <c r="C393" s="153">
        <v>4201000</v>
      </c>
      <c r="D393" s="153"/>
      <c r="E393" s="163"/>
      <c r="F393" s="162">
        <f>2299950.22+816599.94+38991.5</f>
        <v>3155541.66</v>
      </c>
      <c r="G393" s="162">
        <v>1045458.3399999999</v>
      </c>
      <c r="H393" s="167">
        <v>219205.91999999998</v>
      </c>
      <c r="I393" s="162">
        <f>[5]TU!I448</f>
        <v>0</v>
      </c>
      <c r="J393" s="162">
        <f>[5]TU!J448</f>
        <v>0</v>
      </c>
      <c r="K393" s="167">
        <f>[5]TU!K448</f>
        <v>0</v>
      </c>
      <c r="L393" s="162">
        <f t="shared" si="97"/>
        <v>826252.41999999993</v>
      </c>
      <c r="M393" s="162">
        <f t="shared" si="98"/>
        <v>187299.87</v>
      </c>
      <c r="N393" s="162">
        <v>31906.050000000003</v>
      </c>
      <c r="O393" s="162">
        <v>0</v>
      </c>
      <c r="P393" s="136">
        <f t="shared" si="99"/>
        <v>0</v>
      </c>
      <c r="Q393" s="125"/>
      <c r="S393" s="125" t="s">
        <v>254</v>
      </c>
      <c r="T393" s="125" t="s">
        <v>254</v>
      </c>
      <c r="U393" s="125">
        <v>20</v>
      </c>
      <c r="V393" s="125" t="s">
        <v>33</v>
      </c>
      <c r="W393" s="125" t="s">
        <v>17</v>
      </c>
      <c r="X393" s="238">
        <f t="shared" si="100"/>
        <v>219205.91999999998</v>
      </c>
      <c r="Y393" s="238">
        <f t="shared" si="101"/>
        <v>826252.41999999993</v>
      </c>
      <c r="Z393" s="125" t="s">
        <v>227</v>
      </c>
    </row>
    <row r="394" spans="1:26" x14ac:dyDescent="0.2">
      <c r="A394" s="125"/>
      <c r="B394" s="125"/>
      <c r="C394" s="153"/>
      <c r="D394" s="153"/>
      <c r="E394" s="163"/>
      <c r="F394" s="163"/>
      <c r="G394" s="162"/>
      <c r="H394" s="167"/>
      <c r="I394" s="162"/>
      <c r="J394" s="162"/>
      <c r="K394" s="162"/>
      <c r="L394" s="162"/>
      <c r="M394" s="162"/>
      <c r="N394" s="162"/>
      <c r="O394" s="162"/>
      <c r="P394" s="125"/>
      <c r="Q394" s="125"/>
    </row>
    <row r="395" spans="1:26" ht="13.5" thickBot="1" x14ac:dyDescent="0.25">
      <c r="A395" s="125"/>
      <c r="B395" s="201" t="s">
        <v>258</v>
      </c>
      <c r="C395" s="169">
        <f>SUM(C386:C394)</f>
        <v>88131000</v>
      </c>
      <c r="D395" s="169">
        <f t="shared" ref="D395:O395" si="102">SUM(D386:D394)</f>
        <v>0</v>
      </c>
      <c r="E395" s="169">
        <f t="shared" si="102"/>
        <v>0</v>
      </c>
      <c r="F395" s="169">
        <f t="shared" si="102"/>
        <v>76231621.689999998</v>
      </c>
      <c r="G395" s="169">
        <f t="shared" si="102"/>
        <v>11899378.310000001</v>
      </c>
      <c r="H395" s="169">
        <f t="shared" si="102"/>
        <v>6020970.0099999998</v>
      </c>
      <c r="I395" s="169">
        <f t="shared" si="102"/>
        <v>0</v>
      </c>
      <c r="J395" s="169">
        <f t="shared" si="102"/>
        <v>0</v>
      </c>
      <c r="K395" s="169">
        <f t="shared" si="102"/>
        <v>0</v>
      </c>
      <c r="L395" s="169">
        <f t="shared" si="102"/>
        <v>5878408.3000000007</v>
      </c>
      <c r="M395" s="169">
        <f t="shared" si="102"/>
        <v>271392.81</v>
      </c>
      <c r="N395" s="169">
        <f t="shared" si="102"/>
        <v>78051.290000000008</v>
      </c>
      <c r="O395" s="169">
        <f t="shared" si="102"/>
        <v>5671525.9100000001</v>
      </c>
      <c r="P395" s="136">
        <f>C395+D395+E395-F395-G395</f>
        <v>0</v>
      </c>
      <c r="Q395" s="125"/>
      <c r="W395" s="165"/>
      <c r="X395" s="125"/>
      <c r="Y395" s="125"/>
    </row>
    <row r="396" spans="1:26" ht="13.5" thickTop="1" x14ac:dyDescent="0.2">
      <c r="A396" s="125"/>
      <c r="B396" s="125"/>
      <c r="C396" s="153"/>
      <c r="D396" s="153"/>
      <c r="E396" s="163"/>
      <c r="F396" s="163"/>
      <c r="G396" s="162"/>
      <c r="H396" s="167"/>
      <c r="I396" s="162"/>
      <c r="J396" s="162"/>
      <c r="K396" s="162"/>
      <c r="L396" s="162"/>
      <c r="M396" s="162"/>
      <c r="N396" s="162"/>
      <c r="O396" s="162"/>
      <c r="P396" s="125"/>
      <c r="Q396" s="125"/>
    </row>
    <row r="397" spans="1:26" x14ac:dyDescent="0.2">
      <c r="A397" s="165" t="s">
        <v>259</v>
      </c>
      <c r="B397" s="125"/>
      <c r="C397" s="153"/>
      <c r="D397" s="153"/>
      <c r="E397" s="163"/>
      <c r="F397" s="203"/>
      <c r="G397" s="162"/>
      <c r="H397" s="167"/>
      <c r="I397" s="162"/>
      <c r="J397" s="162"/>
      <c r="K397" s="162"/>
      <c r="L397" s="162"/>
      <c r="M397" s="162"/>
      <c r="N397" s="162"/>
      <c r="O397" s="162"/>
      <c r="P397" s="125"/>
      <c r="Q397" s="125"/>
    </row>
    <row r="398" spans="1:26" x14ac:dyDescent="0.2">
      <c r="A398" s="125"/>
      <c r="B398" s="125" t="s">
        <v>260</v>
      </c>
      <c r="C398" s="153">
        <v>3000000</v>
      </c>
      <c r="D398" s="153"/>
      <c r="E398" s="163"/>
      <c r="F398" s="162">
        <f>3000000</f>
        <v>3000000</v>
      </c>
      <c r="G398" s="162">
        <v>0</v>
      </c>
      <c r="H398" s="167">
        <v>0</v>
      </c>
      <c r="I398" s="162">
        <v>0</v>
      </c>
      <c r="J398" s="162">
        <v>0</v>
      </c>
      <c r="K398" s="162">
        <v>0</v>
      </c>
      <c r="L398" s="162">
        <f>G398-H398-I398-J398-K398</f>
        <v>0</v>
      </c>
      <c r="M398" s="162"/>
      <c r="N398" s="162"/>
      <c r="O398" s="162"/>
      <c r="P398" s="125"/>
      <c r="Q398" s="125"/>
      <c r="W398" s="125" t="s">
        <v>7</v>
      </c>
      <c r="Z398" s="125" t="s">
        <v>260</v>
      </c>
    </row>
    <row r="399" spans="1:26" x14ac:dyDescent="0.2">
      <c r="A399" s="125"/>
      <c r="B399" s="125" t="s">
        <v>243</v>
      </c>
      <c r="C399" s="153">
        <v>43000000</v>
      </c>
      <c r="D399" s="153"/>
      <c r="E399" s="163"/>
      <c r="F399" s="162">
        <f>43000000</f>
        <v>43000000</v>
      </c>
      <c r="G399" s="162">
        <v>0</v>
      </c>
      <c r="H399" s="167">
        <v>0</v>
      </c>
      <c r="I399" s="162">
        <f>[5]UMCP!I466</f>
        <v>0</v>
      </c>
      <c r="J399" s="162">
        <f>[5]UMCP!J466</f>
        <v>0</v>
      </c>
      <c r="K399" s="162">
        <f>[5]UMCP!K466</f>
        <v>0</v>
      </c>
      <c r="L399" s="162">
        <f>G399-H399-I399-J399-K399</f>
        <v>0</v>
      </c>
      <c r="M399" s="162"/>
      <c r="N399" s="162"/>
      <c r="O399" s="162">
        <f>H397+K397</f>
        <v>0</v>
      </c>
      <c r="P399" s="125"/>
      <c r="Q399" s="125"/>
      <c r="W399" s="125" t="s">
        <v>7</v>
      </c>
      <c r="Z399" s="125" t="s">
        <v>243</v>
      </c>
    </row>
    <row r="400" spans="1:26" x14ac:dyDescent="0.2">
      <c r="A400" s="125"/>
      <c r="B400" s="125" t="s">
        <v>261</v>
      </c>
      <c r="C400" s="166">
        <v>2000000</v>
      </c>
      <c r="D400" s="153"/>
      <c r="E400" s="163"/>
      <c r="F400" s="162">
        <f>419922.48+51833</f>
        <v>471755.48</v>
      </c>
      <c r="G400" s="162">
        <v>1528244.52</v>
      </c>
      <c r="H400" s="167">
        <v>0</v>
      </c>
      <c r="I400" s="162">
        <f>[5]UMCP!I433</f>
        <v>0</v>
      </c>
      <c r="J400" s="162">
        <f>[5]UMCP!J433</f>
        <v>0</v>
      </c>
      <c r="K400" s="162">
        <f>[5]UMCP!K433</f>
        <v>0</v>
      </c>
      <c r="L400" s="162">
        <f>G400-H400-I400-J400-K400</f>
        <v>1528244.52</v>
      </c>
      <c r="M400" s="162">
        <f>H400-N400-O400</f>
        <v>0</v>
      </c>
      <c r="N400" s="162">
        <v>0</v>
      </c>
      <c r="O400" s="162">
        <v>0</v>
      </c>
      <c r="P400" s="136">
        <f>C400+D400+E400-F400-G400</f>
        <v>0</v>
      </c>
      <c r="Q400" s="125"/>
      <c r="S400" s="125" t="s">
        <v>254</v>
      </c>
      <c r="T400" s="125" t="s">
        <v>254</v>
      </c>
      <c r="U400" s="125">
        <v>20</v>
      </c>
      <c r="V400" s="125" t="s">
        <v>42</v>
      </c>
      <c r="W400" s="125" t="s">
        <v>7</v>
      </c>
      <c r="X400" s="238">
        <f>H400</f>
        <v>0</v>
      </c>
      <c r="Y400" s="238">
        <f>L400</f>
        <v>1528244.52</v>
      </c>
      <c r="Z400" s="125" t="s">
        <v>261</v>
      </c>
    </row>
    <row r="401" spans="1:26" x14ac:dyDescent="0.2">
      <c r="A401" s="125"/>
      <c r="B401" s="125" t="s">
        <v>256</v>
      </c>
      <c r="C401" s="153">
        <v>22920000</v>
      </c>
      <c r="D401" s="153"/>
      <c r="E401" s="163"/>
      <c r="F401" s="162">
        <f>16576413.36+6343586.64</f>
        <v>22920000</v>
      </c>
      <c r="G401" s="162">
        <v>0</v>
      </c>
      <c r="H401" s="167">
        <v>0</v>
      </c>
      <c r="I401" s="162">
        <v>0</v>
      </c>
      <c r="J401" s="162">
        <v>0</v>
      </c>
      <c r="K401" s="162">
        <v>0</v>
      </c>
      <c r="L401" s="162">
        <f>G401-H401-I401-J401-K401</f>
        <v>0</v>
      </c>
      <c r="M401" s="162">
        <f>H401-N401-O401</f>
        <v>0</v>
      </c>
      <c r="N401" s="162">
        <v>0</v>
      </c>
      <c r="O401" s="162">
        <v>0</v>
      </c>
      <c r="P401" s="136">
        <f>C401+D401+E401-F401-G401</f>
        <v>0</v>
      </c>
      <c r="Q401" s="125"/>
      <c r="S401" s="125" t="s">
        <v>254</v>
      </c>
      <c r="T401" s="125" t="s">
        <v>254</v>
      </c>
      <c r="W401" s="125" t="s">
        <v>15</v>
      </c>
      <c r="X401" s="238">
        <f>H401</f>
        <v>0</v>
      </c>
      <c r="Y401" s="238">
        <f>L401</f>
        <v>0</v>
      </c>
      <c r="Z401" s="125" t="s">
        <v>256</v>
      </c>
    </row>
    <row r="402" spans="1:26" x14ac:dyDescent="0.2">
      <c r="A402" s="125"/>
      <c r="B402" s="125" t="s">
        <v>246</v>
      </c>
      <c r="C402" s="153">
        <v>23000000</v>
      </c>
      <c r="D402" s="153"/>
      <c r="E402" s="163"/>
      <c r="F402" s="162">
        <f>112506.16+14549736.15+8337757.69</f>
        <v>23000000</v>
      </c>
      <c r="G402" s="162">
        <v>0</v>
      </c>
      <c r="H402" s="167">
        <v>0</v>
      </c>
      <c r="I402" s="162">
        <f>[5]TU!I665</f>
        <v>0</v>
      </c>
      <c r="J402" s="162">
        <f>[5]TU!J665</f>
        <v>0</v>
      </c>
      <c r="K402" s="162">
        <f>[5]TU!K665</f>
        <v>0</v>
      </c>
      <c r="L402" s="162">
        <f>G402-H402-I402-J402-K402</f>
        <v>0</v>
      </c>
      <c r="M402" s="162">
        <f>H402-N402-O402</f>
        <v>0</v>
      </c>
      <c r="N402" s="162">
        <v>0</v>
      </c>
      <c r="O402" s="162">
        <v>0</v>
      </c>
      <c r="P402" s="136">
        <f>C402+D402+E402-F402-G402</f>
        <v>0</v>
      </c>
      <c r="Q402" s="125"/>
      <c r="S402" s="125" t="s">
        <v>254</v>
      </c>
      <c r="T402" s="125" t="s">
        <v>254</v>
      </c>
      <c r="U402" s="125">
        <v>20</v>
      </c>
      <c r="V402" s="125" t="s">
        <v>42</v>
      </c>
      <c r="W402" s="125" t="s">
        <v>17</v>
      </c>
      <c r="X402" s="238">
        <f>H402</f>
        <v>0</v>
      </c>
      <c r="Y402" s="238">
        <f>L402</f>
        <v>0</v>
      </c>
      <c r="Z402" s="125" t="s">
        <v>246</v>
      </c>
    </row>
    <row r="403" spans="1:26" x14ac:dyDescent="0.2">
      <c r="A403" s="125"/>
      <c r="B403" s="125"/>
      <c r="C403" s="153"/>
      <c r="D403" s="153"/>
      <c r="E403" s="163"/>
      <c r="F403" s="163"/>
      <c r="G403" s="162"/>
      <c r="H403" s="167"/>
      <c r="I403" s="162"/>
      <c r="J403" s="162"/>
      <c r="K403" s="162"/>
      <c r="L403" s="162"/>
      <c r="M403" s="162"/>
      <c r="N403" s="162"/>
      <c r="O403" s="162"/>
      <c r="P403" s="125"/>
      <c r="Q403" s="125"/>
    </row>
    <row r="404" spans="1:26" ht="13.5" thickBot="1" x14ac:dyDescent="0.25">
      <c r="A404" s="125"/>
      <c r="B404" s="201" t="s">
        <v>262</v>
      </c>
      <c r="C404" s="169">
        <f>SUM(C398:C403)</f>
        <v>93920000</v>
      </c>
      <c r="D404" s="169">
        <f t="shared" ref="D404:O404" si="103">SUM(D398:D403)</f>
        <v>0</v>
      </c>
      <c r="E404" s="169">
        <f t="shared" si="103"/>
        <v>0</v>
      </c>
      <c r="F404" s="169">
        <f t="shared" si="103"/>
        <v>92391755.479999989</v>
      </c>
      <c r="G404" s="169">
        <f t="shared" si="103"/>
        <v>1528244.52</v>
      </c>
      <c r="H404" s="169">
        <f t="shared" si="103"/>
        <v>0</v>
      </c>
      <c r="I404" s="169">
        <f t="shared" si="103"/>
        <v>0</v>
      </c>
      <c r="J404" s="169">
        <f t="shared" si="103"/>
        <v>0</v>
      </c>
      <c r="K404" s="169">
        <f t="shared" si="103"/>
        <v>0</v>
      </c>
      <c r="L404" s="169">
        <f t="shared" si="103"/>
        <v>1528244.52</v>
      </c>
      <c r="M404" s="169">
        <f t="shared" si="103"/>
        <v>0</v>
      </c>
      <c r="N404" s="169">
        <f t="shared" si="103"/>
        <v>0</v>
      </c>
      <c r="O404" s="169">
        <f t="shared" si="103"/>
        <v>0</v>
      </c>
      <c r="P404" s="136">
        <f>C404+D404+E404-F404-G404</f>
        <v>1.0710209608078003E-8</v>
      </c>
      <c r="Q404" s="125"/>
      <c r="W404" s="165"/>
      <c r="X404" s="125"/>
      <c r="Y404" s="125"/>
    </row>
    <row r="405" spans="1:26" ht="13.5" thickTop="1" x14ac:dyDescent="0.2">
      <c r="A405" s="125"/>
      <c r="B405" s="125"/>
      <c r="C405" s="153"/>
      <c r="D405" s="153"/>
      <c r="E405" s="163"/>
      <c r="F405" s="163"/>
      <c r="G405" s="162"/>
      <c r="H405" s="167"/>
      <c r="I405" s="162"/>
      <c r="J405" s="162"/>
      <c r="K405" s="162"/>
      <c r="L405" s="162"/>
      <c r="M405" s="162"/>
      <c r="N405" s="162"/>
      <c r="O405" s="162"/>
      <c r="P405" s="125"/>
      <c r="Q405" s="125"/>
    </row>
    <row r="406" spans="1:26" x14ac:dyDescent="0.2">
      <c r="A406" s="165" t="s">
        <v>263</v>
      </c>
      <c r="B406" s="125"/>
      <c r="C406" s="153"/>
      <c r="D406" s="153"/>
      <c r="E406" s="163"/>
      <c r="F406" s="203"/>
      <c r="G406" s="162"/>
      <c r="H406" s="167"/>
      <c r="I406" s="162"/>
      <c r="J406" s="162"/>
      <c r="K406" s="162"/>
      <c r="L406" s="162"/>
      <c r="M406" s="162"/>
      <c r="N406" s="162"/>
      <c r="O406" s="162"/>
      <c r="P406" s="125"/>
      <c r="Q406" s="125"/>
    </row>
    <row r="407" spans="1:26" x14ac:dyDescent="0.2">
      <c r="A407" s="125"/>
      <c r="B407" s="125" t="s">
        <v>260</v>
      </c>
      <c r="C407" s="153">
        <v>1000000</v>
      </c>
      <c r="D407" s="153"/>
      <c r="E407" s="163"/>
      <c r="F407" s="162">
        <f>3173.23+996826.77</f>
        <v>1000000</v>
      </c>
      <c r="G407" s="162">
        <v>0</v>
      </c>
      <c r="H407" s="167">
        <v>0</v>
      </c>
      <c r="I407" s="162"/>
      <c r="J407" s="162"/>
      <c r="K407" s="162"/>
      <c r="L407" s="162">
        <f t="shared" ref="L407:L413" si="104">G407-H407-I407-J407-K407</f>
        <v>0</v>
      </c>
      <c r="M407" s="162"/>
      <c r="N407" s="162"/>
      <c r="O407" s="162"/>
      <c r="P407" s="125"/>
      <c r="Q407" s="125"/>
      <c r="W407" s="125" t="s">
        <v>7</v>
      </c>
      <c r="Z407" s="125" t="s">
        <v>260</v>
      </c>
    </row>
    <row r="408" spans="1:26" x14ac:dyDescent="0.2">
      <c r="A408" s="125"/>
      <c r="B408" s="125" t="s">
        <v>243</v>
      </c>
      <c r="C408" s="153">
        <v>23500000</v>
      </c>
      <c r="D408" s="153"/>
      <c r="E408" s="163"/>
      <c r="F408" s="162">
        <f>3173.23+5947078.15+14643227.32+2906521.3</f>
        <v>23500000.000000004</v>
      </c>
      <c r="G408" s="162">
        <v>0</v>
      </c>
      <c r="H408" s="167">
        <v>0</v>
      </c>
      <c r="I408" s="162"/>
      <c r="J408" s="162"/>
      <c r="K408" s="162">
        <f>[5]UMCP!K476</f>
        <v>0</v>
      </c>
      <c r="L408" s="162">
        <f t="shared" si="104"/>
        <v>0</v>
      </c>
      <c r="M408" s="162"/>
      <c r="N408" s="162"/>
      <c r="O408" s="162">
        <f>H406+K406</f>
        <v>0</v>
      </c>
      <c r="P408" s="125"/>
      <c r="Q408" s="125"/>
      <c r="W408" s="125" t="s">
        <v>7</v>
      </c>
      <c r="Z408" s="125" t="s">
        <v>243</v>
      </c>
    </row>
    <row r="409" spans="1:26" x14ac:dyDescent="0.2">
      <c r="A409" s="125"/>
      <c r="B409" s="125" t="s">
        <v>264</v>
      </c>
      <c r="C409" s="166">
        <v>11000000</v>
      </c>
      <c r="D409" s="153"/>
      <c r="E409" s="163"/>
      <c r="F409" s="162">
        <f>25911.04+10046133.64+146122.43+781832.89</f>
        <v>11000000</v>
      </c>
      <c r="G409" s="162">
        <v>0</v>
      </c>
      <c r="H409" s="167">
        <v>0</v>
      </c>
      <c r="I409" s="162"/>
      <c r="J409" s="162"/>
      <c r="K409" s="162">
        <f>[5]UMBC!K150</f>
        <v>0</v>
      </c>
      <c r="L409" s="162">
        <f t="shared" si="104"/>
        <v>0</v>
      </c>
      <c r="M409" s="162"/>
      <c r="N409" s="162"/>
      <c r="O409" s="162">
        <f>H407+K407</f>
        <v>0</v>
      </c>
      <c r="P409" s="125"/>
      <c r="Q409" s="125"/>
      <c r="W409" s="125" t="s">
        <v>11</v>
      </c>
      <c r="Z409" s="125" t="s">
        <v>264</v>
      </c>
    </row>
    <row r="410" spans="1:26" x14ac:dyDescent="0.2">
      <c r="A410" s="125"/>
      <c r="B410" s="125" t="s">
        <v>257</v>
      </c>
      <c r="C410" s="153">
        <v>4400000</v>
      </c>
      <c r="D410" s="153"/>
      <c r="E410" s="163"/>
      <c r="F410" s="162">
        <f>4314201.49+85798.51</f>
        <v>4400000</v>
      </c>
      <c r="G410" s="162">
        <v>-2.1827872842550278E-10</v>
      </c>
      <c r="H410" s="167">
        <v>0</v>
      </c>
      <c r="I410" s="162"/>
      <c r="J410" s="162"/>
      <c r="K410" s="162"/>
      <c r="L410" s="162">
        <f t="shared" si="104"/>
        <v>-2.1827872842550278E-10</v>
      </c>
      <c r="M410" s="162">
        <f>H410-N410-O410</f>
        <v>0</v>
      </c>
      <c r="N410" s="162">
        <v>0</v>
      </c>
      <c r="O410" s="162">
        <v>0</v>
      </c>
      <c r="P410" s="136">
        <f>C410+D410+E410-F410-G410</f>
        <v>2.1827872842550278E-10</v>
      </c>
      <c r="Q410" s="125"/>
      <c r="S410" s="125" t="s">
        <v>254</v>
      </c>
      <c r="T410" s="125" t="s">
        <v>254</v>
      </c>
      <c r="U410" s="125">
        <v>20</v>
      </c>
      <c r="V410" s="125" t="s">
        <v>26</v>
      </c>
      <c r="W410" s="125" t="s">
        <v>15</v>
      </c>
      <c r="X410" s="238">
        <f>H410</f>
        <v>0</v>
      </c>
      <c r="Y410" s="238">
        <f>L410</f>
        <v>-2.1827872842550278E-10</v>
      </c>
      <c r="Z410" s="125" t="s">
        <v>257</v>
      </c>
    </row>
    <row r="411" spans="1:26" x14ac:dyDescent="0.2">
      <c r="A411" s="125"/>
      <c r="B411" s="125" t="s">
        <v>265</v>
      </c>
      <c r="C411" s="153">
        <v>2500000</v>
      </c>
      <c r="D411" s="153">
        <v>-2498684.27</v>
      </c>
      <c r="E411" s="163"/>
      <c r="F411" s="162">
        <f>629.58+686.15</f>
        <v>1315.73</v>
      </c>
      <c r="G411" s="162">
        <v>0</v>
      </c>
      <c r="H411" s="167">
        <v>0</v>
      </c>
      <c r="I411" s="162"/>
      <c r="J411" s="162"/>
      <c r="K411" s="162"/>
      <c r="L411" s="162">
        <f t="shared" si="104"/>
        <v>0</v>
      </c>
      <c r="M411" s="162">
        <f>H411-N411-O411</f>
        <v>0</v>
      </c>
      <c r="N411" s="162">
        <v>0</v>
      </c>
      <c r="O411" s="162">
        <v>0</v>
      </c>
      <c r="P411" s="136">
        <f>C411+D411+E411-F411-G411</f>
        <v>-1.8644641386345029E-11</v>
      </c>
      <c r="Q411" s="125"/>
      <c r="S411" s="125" t="s">
        <v>254</v>
      </c>
      <c r="T411" s="125" t="s">
        <v>254</v>
      </c>
      <c r="U411" s="125">
        <v>20</v>
      </c>
      <c r="V411" s="125" t="s">
        <v>26</v>
      </c>
      <c r="W411" s="125" t="s">
        <v>16</v>
      </c>
      <c r="X411" s="238">
        <f>H411</f>
        <v>0</v>
      </c>
      <c r="Y411" s="238">
        <f>L411</f>
        <v>0</v>
      </c>
      <c r="Z411" s="125" t="s">
        <v>265</v>
      </c>
    </row>
    <row r="412" spans="1:26" x14ac:dyDescent="0.2">
      <c r="A412" s="125"/>
      <c r="B412" s="125" t="s">
        <v>246</v>
      </c>
      <c r="C412" s="153">
        <v>39000000</v>
      </c>
      <c r="D412" s="153"/>
      <c r="E412" s="163"/>
      <c r="F412" s="162">
        <f>21476541.59+17271552.08+151612.85+7394.63+2849.23</f>
        <v>38909950.380000003</v>
      </c>
      <c r="G412" s="162">
        <v>90049.61999999074</v>
      </c>
      <c r="H412" s="167">
        <v>13853.66</v>
      </c>
      <c r="I412" s="162"/>
      <c r="J412" s="162"/>
      <c r="K412" s="162">
        <f>[5]TU!K681</f>
        <v>0</v>
      </c>
      <c r="L412" s="162">
        <f t="shared" si="104"/>
        <v>76195.959999990737</v>
      </c>
      <c r="M412" s="162">
        <f>H412-N412-O412</f>
        <v>13853.66</v>
      </c>
      <c r="N412" s="162">
        <v>0</v>
      </c>
      <c r="O412" s="162">
        <v>0</v>
      </c>
      <c r="P412" s="136">
        <f>C412+D412+E412-F412-G412</f>
        <v>6.577465683221817E-9</v>
      </c>
      <c r="Q412" s="125"/>
      <c r="S412" s="125" t="s">
        <v>254</v>
      </c>
      <c r="T412" s="125" t="s">
        <v>254</v>
      </c>
      <c r="U412" s="125">
        <v>20</v>
      </c>
      <c r="V412" s="125" t="s">
        <v>26</v>
      </c>
      <c r="W412" s="125" t="s">
        <v>17</v>
      </c>
      <c r="X412" s="238">
        <f>H412</f>
        <v>13853.66</v>
      </c>
      <c r="Y412" s="238">
        <f>L412</f>
        <v>76195.959999990737</v>
      </c>
      <c r="Z412" s="125" t="s">
        <v>246</v>
      </c>
    </row>
    <row r="413" spans="1:26" x14ac:dyDescent="0.2">
      <c r="A413" s="125"/>
      <c r="B413" s="125" t="s">
        <v>266</v>
      </c>
      <c r="C413" s="153">
        <v>10000000</v>
      </c>
      <c r="D413" s="153"/>
      <c r="E413" s="163"/>
      <c r="F413" s="162">
        <f>4328782.66+5671217.34</f>
        <v>10000000</v>
      </c>
      <c r="G413" s="162">
        <v>0</v>
      </c>
      <c r="H413" s="167">
        <v>0</v>
      </c>
      <c r="I413" s="162"/>
      <c r="J413" s="162"/>
      <c r="K413" s="162">
        <f>[5]TU!K536</f>
        <v>0</v>
      </c>
      <c r="L413" s="162">
        <f t="shared" si="104"/>
        <v>0</v>
      </c>
      <c r="M413" s="162"/>
      <c r="N413" s="162"/>
      <c r="O413" s="162"/>
      <c r="P413" s="125"/>
      <c r="Q413" s="125"/>
      <c r="W413" s="125" t="s">
        <v>17</v>
      </c>
      <c r="Z413" s="125" t="s">
        <v>266</v>
      </c>
    </row>
    <row r="414" spans="1:26" x14ac:dyDescent="0.2">
      <c r="A414" s="125"/>
      <c r="B414" s="125"/>
      <c r="C414" s="153"/>
      <c r="D414" s="153"/>
      <c r="E414" s="163"/>
      <c r="F414" s="163"/>
      <c r="G414" s="162"/>
      <c r="H414" s="167"/>
      <c r="I414" s="162"/>
      <c r="J414" s="162"/>
      <c r="K414" s="162"/>
      <c r="L414" s="162"/>
      <c r="M414" s="162"/>
      <c r="N414" s="162"/>
      <c r="O414" s="162"/>
      <c r="P414" s="125"/>
      <c r="Q414" s="125"/>
    </row>
    <row r="415" spans="1:26" ht="13.5" thickBot="1" x14ac:dyDescent="0.25">
      <c r="A415" s="125"/>
      <c r="B415" s="201" t="s">
        <v>267</v>
      </c>
      <c r="C415" s="169">
        <f>SUM(C407:C414)</f>
        <v>91400000</v>
      </c>
      <c r="D415" s="169">
        <f t="shared" ref="D415:O415" si="105">SUM(D407:D414)</f>
        <v>-2498684.27</v>
      </c>
      <c r="E415" s="169">
        <f t="shared" si="105"/>
        <v>0</v>
      </c>
      <c r="F415" s="169">
        <f t="shared" si="105"/>
        <v>88811266.109999999</v>
      </c>
      <c r="G415" s="169">
        <f t="shared" si="105"/>
        <v>90049.619999990522</v>
      </c>
      <c r="H415" s="169">
        <f t="shared" si="105"/>
        <v>13853.66</v>
      </c>
      <c r="I415" s="169">
        <f t="shared" si="105"/>
        <v>0</v>
      </c>
      <c r="J415" s="169">
        <f t="shared" si="105"/>
        <v>0</v>
      </c>
      <c r="K415" s="169">
        <f t="shared" si="105"/>
        <v>0</v>
      </c>
      <c r="L415" s="169">
        <f t="shared" si="105"/>
        <v>76195.959999990519</v>
      </c>
      <c r="M415" s="169">
        <f t="shared" si="105"/>
        <v>13853.66</v>
      </c>
      <c r="N415" s="169">
        <f t="shared" si="105"/>
        <v>0</v>
      </c>
      <c r="O415" s="169">
        <f t="shared" si="105"/>
        <v>0</v>
      </c>
      <c r="P415" s="136">
        <f>C415+D415+E415-F415-G415</f>
        <v>1.4246325008571148E-8</v>
      </c>
      <c r="Q415" s="125"/>
      <c r="W415" s="165"/>
      <c r="X415" s="125"/>
      <c r="Y415" s="125"/>
    </row>
    <row r="416" spans="1:26" ht="13.5" thickTop="1" x14ac:dyDescent="0.2">
      <c r="A416" s="125"/>
      <c r="B416" s="125"/>
      <c r="C416" s="153"/>
      <c r="D416" s="153"/>
      <c r="E416" s="163"/>
      <c r="F416" s="204"/>
      <c r="G416" s="162"/>
      <c r="H416" s="167"/>
      <c r="I416" s="162"/>
      <c r="J416" s="162"/>
      <c r="K416" s="162"/>
      <c r="L416" s="162"/>
      <c r="M416" s="162"/>
      <c r="N416" s="162"/>
      <c r="O416" s="162"/>
      <c r="P416" s="125"/>
      <c r="Q416" s="125"/>
    </row>
    <row r="417" spans="1:26" x14ac:dyDescent="0.2">
      <c r="A417" s="165" t="s">
        <v>268</v>
      </c>
      <c r="B417" s="125"/>
      <c r="C417" s="153"/>
      <c r="D417" s="153"/>
      <c r="E417" s="163"/>
      <c r="F417" s="137"/>
      <c r="G417" s="162"/>
      <c r="H417" s="167"/>
      <c r="I417" s="162"/>
      <c r="J417" s="162"/>
      <c r="K417" s="162"/>
      <c r="L417" s="162"/>
      <c r="M417" s="162"/>
      <c r="N417" s="162"/>
      <c r="O417" s="162"/>
      <c r="P417" s="125"/>
      <c r="Q417" s="125"/>
    </row>
    <row r="418" spans="1:26" x14ac:dyDescent="0.2">
      <c r="A418" s="125"/>
      <c r="B418" s="125" t="s">
        <v>269</v>
      </c>
      <c r="C418" s="153">
        <v>10300000</v>
      </c>
      <c r="D418" s="153">
        <v>-608858.49</v>
      </c>
      <c r="E418" s="163"/>
      <c r="F418" s="163">
        <f>128951.48+1603673.83+7826920.79+98949.18+32646.23</f>
        <v>9691141.5099999998</v>
      </c>
      <c r="G418" s="162">
        <v>-3.2596290111541748E-9</v>
      </c>
      <c r="H418" s="167">
        <v>0</v>
      </c>
      <c r="I418" s="162">
        <f>[5]UMCP!I356</f>
        <v>0</v>
      </c>
      <c r="J418" s="162">
        <f>[5]UMCP!J356</f>
        <v>0</v>
      </c>
      <c r="K418" s="162">
        <f>[5]UMCP!K356</f>
        <v>0</v>
      </c>
      <c r="L418" s="162">
        <f>G418-H418-I418-J418-K418</f>
        <v>-3.2596290111541748E-9</v>
      </c>
      <c r="M418" s="162">
        <f>H418-N418-O418</f>
        <v>0</v>
      </c>
      <c r="N418" s="162">
        <v>0</v>
      </c>
      <c r="O418" s="162">
        <v>0</v>
      </c>
      <c r="P418" s="136">
        <f>C418+D418+E418-F418-G418</f>
        <v>3.2596290111541748E-9</v>
      </c>
      <c r="Q418" s="125"/>
      <c r="S418" s="125" t="s">
        <v>254</v>
      </c>
      <c r="T418" s="125" t="s">
        <v>254</v>
      </c>
      <c r="U418" s="125">
        <v>20</v>
      </c>
      <c r="V418" s="125" t="s">
        <v>27</v>
      </c>
      <c r="W418" s="125" t="s">
        <v>7</v>
      </c>
      <c r="X418" s="238">
        <f>H418</f>
        <v>0</v>
      </c>
      <c r="Y418" s="238">
        <f>L418</f>
        <v>-3.2596290111541748E-9</v>
      </c>
      <c r="Z418" s="125" t="s">
        <v>269</v>
      </c>
    </row>
    <row r="419" spans="1:26" x14ac:dyDescent="0.2">
      <c r="A419" s="125"/>
      <c r="B419" s="125" t="s">
        <v>264</v>
      </c>
      <c r="C419" s="166">
        <v>31600000</v>
      </c>
      <c r="D419" s="153"/>
      <c r="E419" s="163"/>
      <c r="F419" s="162">
        <f>30939995.52+660004.48</f>
        <v>31600000</v>
      </c>
      <c r="G419" s="162">
        <v>0</v>
      </c>
      <c r="H419" s="167">
        <v>0</v>
      </c>
      <c r="I419" s="162">
        <v>0</v>
      </c>
      <c r="J419" s="162">
        <v>0</v>
      </c>
      <c r="K419" s="162">
        <v>0</v>
      </c>
      <c r="L419" s="162">
        <f>G419-H419-I419-J419-K419</f>
        <v>0</v>
      </c>
      <c r="M419" s="162">
        <f>H419-N419-O419</f>
        <v>0</v>
      </c>
      <c r="N419" s="162">
        <v>0</v>
      </c>
      <c r="O419" s="162">
        <v>0</v>
      </c>
      <c r="P419" s="136">
        <f>C419+D419+E419-F419-G419</f>
        <v>0</v>
      </c>
      <c r="Q419" s="125"/>
      <c r="S419" s="125" t="s">
        <v>254</v>
      </c>
      <c r="T419" s="125" t="s">
        <v>254</v>
      </c>
      <c r="W419" s="125" t="s">
        <v>11</v>
      </c>
      <c r="X419" s="238">
        <f>H419</f>
        <v>0</v>
      </c>
      <c r="Y419" s="238">
        <f>L419</f>
        <v>0</v>
      </c>
      <c r="Z419" s="125" t="s">
        <v>264</v>
      </c>
    </row>
    <row r="420" spans="1:26" x14ac:dyDescent="0.2">
      <c r="A420" s="125"/>
      <c r="B420" s="125" t="s">
        <v>246</v>
      </c>
      <c r="C420" s="153">
        <v>8670000</v>
      </c>
      <c r="D420" s="153"/>
      <c r="E420" s="163"/>
      <c r="F420" s="162">
        <f>4886174.55+2710737.4+583070.54+490017.51</f>
        <v>8670000</v>
      </c>
      <c r="G420" s="162">
        <v>0</v>
      </c>
      <c r="H420" s="167">
        <v>0</v>
      </c>
      <c r="I420" s="162">
        <f>[5]TU!I694</f>
        <v>0</v>
      </c>
      <c r="J420" s="162">
        <f>[5]TU!J694</f>
        <v>0</v>
      </c>
      <c r="K420" s="162">
        <f>[5]TU!K694</f>
        <v>0</v>
      </c>
      <c r="L420" s="162">
        <f>G420-H420-I420-J420-K420</f>
        <v>0</v>
      </c>
      <c r="M420" s="162">
        <f>H420-N420-O420</f>
        <v>0</v>
      </c>
      <c r="N420" s="162">
        <v>0</v>
      </c>
      <c r="O420" s="162">
        <v>0</v>
      </c>
      <c r="P420" s="136">
        <f>C420+D420+E420-F420-G420</f>
        <v>0</v>
      </c>
      <c r="Q420" s="125"/>
      <c r="S420" s="125" t="s">
        <v>254</v>
      </c>
      <c r="T420" s="125" t="s">
        <v>254</v>
      </c>
      <c r="U420" s="125">
        <v>20</v>
      </c>
      <c r="V420" s="125" t="s">
        <v>27</v>
      </c>
      <c r="W420" s="125" t="s">
        <v>17</v>
      </c>
      <c r="X420" s="238">
        <f>H420</f>
        <v>0</v>
      </c>
      <c r="Y420" s="238">
        <f>L420</f>
        <v>0</v>
      </c>
      <c r="Z420" s="125" t="s">
        <v>246</v>
      </c>
    </row>
    <row r="421" spans="1:26" x14ac:dyDescent="0.2">
      <c r="A421" s="125"/>
      <c r="B421" s="125" t="s">
        <v>266</v>
      </c>
      <c r="C421" s="153">
        <v>19600000</v>
      </c>
      <c r="D421" s="153">
        <v>-1918.62</v>
      </c>
      <c r="E421" s="163"/>
      <c r="F421" s="164">
        <f>511240.72+19085910.06+930.6</f>
        <v>19598081.379999999</v>
      </c>
      <c r="G421" s="162">
        <v>2.5333974917884916E-9</v>
      </c>
      <c r="H421" s="167">
        <v>0</v>
      </c>
      <c r="I421" s="162">
        <f>[5]TU!I547</f>
        <v>0</v>
      </c>
      <c r="J421" s="162">
        <f>[5]TU!J547</f>
        <v>0</v>
      </c>
      <c r="K421" s="162">
        <f>[5]TU!K547</f>
        <v>0</v>
      </c>
      <c r="L421" s="162">
        <f>G421-H421-I421-J421-K421</f>
        <v>2.5333974917884916E-9</v>
      </c>
      <c r="M421" s="162">
        <f>H421-N421-O421</f>
        <v>0</v>
      </c>
      <c r="N421" s="162">
        <v>0</v>
      </c>
      <c r="O421" s="162">
        <v>0</v>
      </c>
      <c r="P421" s="136">
        <f>C421+D421+E421-F421-G421</f>
        <v>-2.5333974917884916E-9</v>
      </c>
      <c r="Q421" s="125"/>
      <c r="S421" s="125" t="s">
        <v>254</v>
      </c>
      <c r="T421" s="125" t="s">
        <v>254</v>
      </c>
      <c r="U421" s="125">
        <v>20</v>
      </c>
      <c r="V421" s="125" t="s">
        <v>27</v>
      </c>
      <c r="W421" s="125" t="s">
        <v>17</v>
      </c>
      <c r="X421" s="238">
        <f>H421</f>
        <v>0</v>
      </c>
      <c r="Y421" s="238">
        <f>L421</f>
        <v>2.5333974917884916E-9</v>
      </c>
      <c r="Z421" s="125" t="s">
        <v>266</v>
      </c>
    </row>
    <row r="422" spans="1:26" x14ac:dyDescent="0.2">
      <c r="A422" s="125"/>
      <c r="B422" s="125"/>
      <c r="C422" s="153"/>
      <c r="D422" s="153"/>
      <c r="E422" s="163"/>
      <c r="F422" s="163"/>
      <c r="G422" s="162"/>
      <c r="H422" s="167"/>
      <c r="I422" s="162"/>
      <c r="J422" s="162"/>
      <c r="K422" s="162"/>
      <c r="L422" s="162"/>
      <c r="M422" s="162"/>
      <c r="N422" s="162"/>
      <c r="O422" s="162"/>
      <c r="P422" s="125"/>
      <c r="Q422" s="125"/>
    </row>
    <row r="423" spans="1:26" ht="13.5" thickBot="1" x14ac:dyDescent="0.25">
      <c r="A423" s="125"/>
      <c r="B423" s="201" t="s">
        <v>270</v>
      </c>
      <c r="C423" s="193">
        <f t="shared" ref="C423:J423" si="106">SUM(C418:C422)</f>
        <v>70170000</v>
      </c>
      <c r="D423" s="193">
        <f t="shared" si="106"/>
        <v>-610777.11</v>
      </c>
      <c r="E423" s="193">
        <f t="shared" si="106"/>
        <v>0</v>
      </c>
      <c r="F423" s="193">
        <f t="shared" si="106"/>
        <v>69559222.890000001</v>
      </c>
      <c r="G423" s="193">
        <f t="shared" si="106"/>
        <v>-7.262315193656832E-10</v>
      </c>
      <c r="H423" s="193">
        <f>SUM(H418:H422)</f>
        <v>0</v>
      </c>
      <c r="I423" s="193">
        <f t="shared" si="106"/>
        <v>0</v>
      </c>
      <c r="J423" s="193">
        <f t="shared" si="106"/>
        <v>0</v>
      </c>
      <c r="K423" s="193">
        <f>SUM(K418:K422)</f>
        <v>0</v>
      </c>
      <c r="L423" s="193">
        <f>SUM(L418:L422)</f>
        <v>-7.262315193656832E-10</v>
      </c>
      <c r="M423" s="193">
        <f>SUM(M418:M422)</f>
        <v>0</v>
      </c>
      <c r="N423" s="193">
        <f>SUM(N418:N422)</f>
        <v>0</v>
      </c>
      <c r="O423" s="193">
        <f>SUM(O418:O422)</f>
        <v>0</v>
      </c>
      <c r="P423" s="136">
        <f>C423+D423+E423-F423-G423</f>
        <v>7.262315193656832E-10</v>
      </c>
      <c r="Q423" s="125"/>
      <c r="W423" s="165"/>
      <c r="X423" s="125"/>
      <c r="Y423" s="125"/>
    </row>
    <row r="424" spans="1:26" ht="13.5" thickTop="1" x14ac:dyDescent="0.2">
      <c r="A424" s="125"/>
      <c r="B424" s="125"/>
      <c r="C424" s="153"/>
      <c r="D424" s="153"/>
      <c r="E424" s="163"/>
      <c r="F424" s="204"/>
      <c r="G424" s="162"/>
      <c r="H424" s="167"/>
      <c r="I424" s="162"/>
      <c r="J424" s="162"/>
      <c r="K424" s="162"/>
      <c r="L424" s="162"/>
      <c r="M424" s="162"/>
      <c r="N424" s="162"/>
      <c r="O424" s="162"/>
      <c r="P424" s="125"/>
      <c r="Q424" s="125"/>
    </row>
    <row r="425" spans="1:26" x14ac:dyDescent="0.2">
      <c r="A425" s="165" t="s">
        <v>271</v>
      </c>
      <c r="B425" s="125"/>
      <c r="C425" s="153"/>
      <c r="D425" s="153"/>
      <c r="E425" s="163"/>
      <c r="F425" s="163"/>
      <c r="G425" s="162"/>
      <c r="H425" s="167"/>
      <c r="I425" s="162"/>
      <c r="J425" s="162"/>
      <c r="K425" s="162"/>
      <c r="L425" s="162"/>
      <c r="M425" s="162"/>
      <c r="N425" s="162"/>
      <c r="O425" s="162"/>
      <c r="P425" s="125"/>
      <c r="Q425" s="125"/>
    </row>
    <row r="426" spans="1:26" x14ac:dyDescent="0.2">
      <c r="A426" s="125"/>
      <c r="B426" s="125" t="s">
        <v>272</v>
      </c>
      <c r="C426" s="153">
        <v>800000</v>
      </c>
      <c r="D426" s="153"/>
      <c r="E426" s="163"/>
      <c r="F426" s="163"/>
      <c r="G426" s="162">
        <v>800000</v>
      </c>
      <c r="H426" s="167">
        <v>0</v>
      </c>
      <c r="I426" s="162">
        <f>[5]UMES!I219</f>
        <v>0</v>
      </c>
      <c r="J426" s="162">
        <f>[5]UMES!J219</f>
        <v>0</v>
      </c>
      <c r="K426" s="162">
        <f>[5]UMES!K219</f>
        <v>0</v>
      </c>
      <c r="L426" s="162">
        <f t="shared" ref="L426:L431" si="107">G426-H426-I426-J426-K426</f>
        <v>800000</v>
      </c>
      <c r="M426" s="162"/>
      <c r="N426" s="162"/>
      <c r="O426" s="162">
        <f>H424+K424</f>
        <v>0</v>
      </c>
      <c r="P426" s="125"/>
      <c r="Q426" s="125"/>
      <c r="S426" s="125" t="s">
        <v>254</v>
      </c>
      <c r="T426" s="125" t="s">
        <v>254</v>
      </c>
      <c r="U426" s="125">
        <v>20</v>
      </c>
      <c r="V426" s="125" t="s">
        <v>41</v>
      </c>
      <c r="W426" s="125" t="s">
        <v>10</v>
      </c>
      <c r="X426" s="238">
        <f>H426</f>
        <v>0</v>
      </c>
      <c r="Y426" s="238">
        <f>L426</f>
        <v>800000</v>
      </c>
      <c r="Z426" s="125" t="s">
        <v>272</v>
      </c>
    </row>
    <row r="427" spans="1:26" x14ac:dyDescent="0.2">
      <c r="A427" s="125"/>
      <c r="B427" s="125" t="s">
        <v>264</v>
      </c>
      <c r="C427" s="166">
        <v>18200000</v>
      </c>
      <c r="D427" s="153"/>
      <c r="E427" s="163"/>
      <c r="F427" s="163">
        <f>4717881.41+13482118.59</f>
        <v>18200000</v>
      </c>
      <c r="G427" s="162">
        <v>0</v>
      </c>
      <c r="H427" s="167">
        <v>0</v>
      </c>
      <c r="I427" s="162">
        <v>0</v>
      </c>
      <c r="J427" s="162">
        <v>0</v>
      </c>
      <c r="K427" s="162">
        <v>0</v>
      </c>
      <c r="L427" s="162">
        <f t="shared" si="107"/>
        <v>0</v>
      </c>
      <c r="M427" s="162"/>
      <c r="N427" s="162"/>
      <c r="O427" s="162">
        <f>H425+K425</f>
        <v>0</v>
      </c>
      <c r="P427" s="125"/>
      <c r="Q427" s="125"/>
      <c r="W427" s="125" t="s">
        <v>11</v>
      </c>
      <c r="Z427" s="125" t="s">
        <v>264</v>
      </c>
    </row>
    <row r="428" spans="1:26" x14ac:dyDescent="0.2">
      <c r="A428" s="125"/>
      <c r="B428" s="125" t="s">
        <v>273</v>
      </c>
      <c r="C428" s="153">
        <v>3900000</v>
      </c>
      <c r="D428" s="153">
        <v>-449464.43</v>
      </c>
      <c r="E428" s="163"/>
      <c r="F428" s="163">
        <f>3013034.52+437501.05</f>
        <v>3450535.57</v>
      </c>
      <c r="G428" s="162">
        <v>0</v>
      </c>
      <c r="H428" s="167">
        <v>0</v>
      </c>
      <c r="I428" s="162">
        <f>[5]UMBC!I180</f>
        <v>0</v>
      </c>
      <c r="J428" s="162">
        <f>[5]UMBC!J180</f>
        <v>0</v>
      </c>
      <c r="K428" s="162">
        <f>[5]UMBC!K180</f>
        <v>0</v>
      </c>
      <c r="L428" s="162">
        <f t="shared" si="107"/>
        <v>0</v>
      </c>
      <c r="M428" s="162">
        <f>H428-N428-O428</f>
        <v>0</v>
      </c>
      <c r="N428" s="162">
        <v>0</v>
      </c>
      <c r="O428" s="162">
        <v>0</v>
      </c>
      <c r="P428" s="136">
        <f>C428+D428+E428-F428-G428</f>
        <v>0</v>
      </c>
      <c r="Q428" s="125"/>
      <c r="S428" s="125" t="s">
        <v>254</v>
      </c>
      <c r="T428" s="125" t="s">
        <v>254</v>
      </c>
      <c r="U428" s="125">
        <v>20</v>
      </c>
      <c r="V428" s="125" t="s">
        <v>41</v>
      </c>
      <c r="W428" s="125" t="s">
        <v>11</v>
      </c>
      <c r="X428" s="238">
        <f>H428</f>
        <v>0</v>
      </c>
      <c r="Y428" s="238">
        <f>L428</f>
        <v>0</v>
      </c>
      <c r="Z428" s="125" t="s">
        <v>273</v>
      </c>
    </row>
    <row r="429" spans="1:26" x14ac:dyDescent="0.2">
      <c r="A429" s="125"/>
      <c r="B429" s="125" t="s">
        <v>266</v>
      </c>
      <c r="C429" s="153">
        <v>2960000</v>
      </c>
      <c r="D429" s="153"/>
      <c r="E429" s="163"/>
      <c r="F429" s="163">
        <f>21596+2036341.73+831056.51+60854.93+10150.83</f>
        <v>2960000.0000000005</v>
      </c>
      <c r="G429" s="162">
        <v>2.4192559067159891E-10</v>
      </c>
      <c r="H429" s="167">
        <v>0</v>
      </c>
      <c r="I429" s="162">
        <f>[5]TU!I561</f>
        <v>0</v>
      </c>
      <c r="J429" s="162">
        <f>[5]TU!J561</f>
        <v>0</v>
      </c>
      <c r="K429" s="162">
        <f>[5]TU!K561</f>
        <v>0</v>
      </c>
      <c r="L429" s="162">
        <f t="shared" si="107"/>
        <v>2.4192559067159891E-10</v>
      </c>
      <c r="M429" s="162">
        <f>H429-N429-O429</f>
        <v>0</v>
      </c>
      <c r="N429" s="162">
        <v>0</v>
      </c>
      <c r="O429" s="162">
        <v>0</v>
      </c>
      <c r="P429" s="136">
        <f>C429+D429+E429-F429-G429</f>
        <v>-7.0758687797933817E-10</v>
      </c>
      <c r="Q429" s="125"/>
      <c r="S429" s="125" t="s">
        <v>254</v>
      </c>
      <c r="T429" s="125" t="s">
        <v>254</v>
      </c>
      <c r="U429" s="125">
        <v>20</v>
      </c>
      <c r="V429" s="125" t="s">
        <v>41</v>
      </c>
      <c r="W429" s="125" t="s">
        <v>17</v>
      </c>
      <c r="X429" s="238">
        <f>H429</f>
        <v>0</v>
      </c>
      <c r="Y429" s="238">
        <f>L429</f>
        <v>2.4192559067159891E-10</v>
      </c>
      <c r="Z429" s="125" t="s">
        <v>266</v>
      </c>
    </row>
    <row r="430" spans="1:26" x14ac:dyDescent="0.2">
      <c r="A430" s="125"/>
      <c r="B430" s="125" t="s">
        <v>274</v>
      </c>
      <c r="C430" s="153">
        <v>16900000</v>
      </c>
      <c r="D430" s="153">
        <v>-6106.18</v>
      </c>
      <c r="E430" s="163"/>
      <c r="F430" s="163">
        <f>1348866.08+12676842.69+2868185.05</f>
        <v>16893893.82</v>
      </c>
      <c r="G430" s="162">
        <v>6.3300831243395805E-10</v>
      </c>
      <c r="H430" s="167">
        <v>0</v>
      </c>
      <c r="I430" s="162">
        <f>[5]TU!I460</f>
        <v>0</v>
      </c>
      <c r="J430" s="162">
        <f>[5]TU!J460</f>
        <v>0</v>
      </c>
      <c r="K430" s="162">
        <f>[5]TU!K460</f>
        <v>0</v>
      </c>
      <c r="L430" s="162">
        <f t="shared" si="107"/>
        <v>6.3300831243395805E-10</v>
      </c>
      <c r="M430" s="162">
        <f>H430-N430-O430</f>
        <v>0</v>
      </c>
      <c r="N430" s="162">
        <v>0</v>
      </c>
      <c r="O430" s="162">
        <v>0</v>
      </c>
      <c r="P430" s="136">
        <f>C430+D430+E430-F430-G430</f>
        <v>-6.3300831243395805E-10</v>
      </c>
      <c r="Q430" s="125"/>
      <c r="S430" s="125" t="s">
        <v>254</v>
      </c>
      <c r="T430" s="125" t="s">
        <v>254</v>
      </c>
      <c r="U430" s="125">
        <v>20</v>
      </c>
      <c r="V430" s="125" t="s">
        <v>41</v>
      </c>
      <c r="W430" s="125" t="s">
        <v>17</v>
      </c>
      <c r="X430" s="238">
        <f>H430</f>
        <v>0</v>
      </c>
      <c r="Y430" s="238">
        <f>L430</f>
        <v>6.3300831243395805E-10</v>
      </c>
      <c r="Z430" s="125" t="s">
        <v>274</v>
      </c>
    </row>
    <row r="431" spans="1:26" x14ac:dyDescent="0.2">
      <c r="A431" s="125"/>
      <c r="B431" s="125" t="s">
        <v>275</v>
      </c>
      <c r="C431" s="153">
        <v>4000000</v>
      </c>
      <c r="D431" s="153"/>
      <c r="E431" s="163"/>
      <c r="F431" s="163">
        <f>3795858.27+201586.7+2555.03</f>
        <v>4000000</v>
      </c>
      <c r="G431" s="162">
        <v>0</v>
      </c>
      <c r="H431" s="167">
        <v>0</v>
      </c>
      <c r="I431" s="162">
        <v>0</v>
      </c>
      <c r="J431" s="162">
        <v>0</v>
      </c>
      <c r="K431" s="162">
        <v>0</v>
      </c>
      <c r="L431" s="162">
        <f t="shared" si="107"/>
        <v>0</v>
      </c>
      <c r="M431" s="162"/>
      <c r="N431" s="162"/>
      <c r="O431" s="162">
        <f>H429+K429</f>
        <v>0</v>
      </c>
      <c r="P431" s="125"/>
      <c r="Q431" s="125"/>
    </row>
    <row r="432" spans="1:26" x14ac:dyDescent="0.2">
      <c r="A432" s="125"/>
      <c r="B432" s="125"/>
      <c r="C432" s="153"/>
      <c r="D432" s="153"/>
      <c r="E432" s="163"/>
      <c r="F432" s="163"/>
      <c r="G432" s="162"/>
      <c r="H432" s="167"/>
      <c r="I432" s="162"/>
      <c r="J432" s="162"/>
      <c r="K432" s="162"/>
      <c r="L432" s="162"/>
      <c r="M432" s="162"/>
      <c r="N432" s="162"/>
      <c r="O432" s="162"/>
      <c r="P432" s="125"/>
      <c r="Q432" s="125"/>
    </row>
    <row r="433" spans="1:29" ht="13.5" thickBot="1" x14ac:dyDescent="0.25">
      <c r="A433" s="125"/>
      <c r="B433" s="201" t="s">
        <v>276</v>
      </c>
      <c r="C433" s="169">
        <f t="shared" ref="C433:O433" si="108">SUM(C426:C432)</f>
        <v>46760000</v>
      </c>
      <c r="D433" s="169">
        <f t="shared" si="108"/>
        <v>-455570.61</v>
      </c>
      <c r="E433" s="169">
        <f t="shared" si="108"/>
        <v>0</v>
      </c>
      <c r="F433" s="192">
        <f t="shared" si="108"/>
        <v>45504429.390000001</v>
      </c>
      <c r="G433" s="169">
        <f t="shared" si="108"/>
        <v>800000.00000000081</v>
      </c>
      <c r="H433" s="193">
        <f>SUM(H426:H432)</f>
        <v>0</v>
      </c>
      <c r="I433" s="169">
        <f t="shared" si="108"/>
        <v>0</v>
      </c>
      <c r="J433" s="169">
        <f t="shared" si="108"/>
        <v>0</v>
      </c>
      <c r="K433" s="169">
        <f t="shared" si="108"/>
        <v>0</v>
      </c>
      <c r="L433" s="169">
        <f>SUM(L426:L432)</f>
        <v>800000.00000000081</v>
      </c>
      <c r="M433" s="169">
        <f>SUM(M426:M432)</f>
        <v>0</v>
      </c>
      <c r="N433" s="169">
        <f t="shared" si="108"/>
        <v>0</v>
      </c>
      <c r="O433" s="169">
        <f t="shared" si="108"/>
        <v>0</v>
      </c>
      <c r="P433" s="136">
        <f>C433+D433+E433-F433-G433</f>
        <v>0</v>
      </c>
      <c r="Q433" s="125"/>
    </row>
    <row r="434" spans="1:29" ht="13.5" thickTop="1" x14ac:dyDescent="0.2">
      <c r="A434" s="125"/>
      <c r="B434" s="205"/>
      <c r="C434" s="206"/>
      <c r="D434" s="206"/>
      <c r="E434" s="206"/>
      <c r="F434" s="207"/>
      <c r="G434" s="206"/>
      <c r="H434" s="208"/>
      <c r="I434" s="206"/>
      <c r="J434" s="206"/>
      <c r="K434" s="206"/>
      <c r="L434" s="206"/>
      <c r="M434" s="206"/>
      <c r="N434" s="206"/>
      <c r="O434" s="206"/>
      <c r="P434" s="125"/>
      <c r="Q434" s="125"/>
    </row>
    <row r="435" spans="1:29" x14ac:dyDescent="0.2">
      <c r="A435" s="125"/>
      <c r="B435" s="199" t="s">
        <v>277</v>
      </c>
      <c r="C435" s="209">
        <f t="shared" ref="C435:H435" si="109">C355+C362+C368+C377+C383+C395+C404+C415+C423+C433+C349+C342</f>
        <v>679015430</v>
      </c>
      <c r="D435" s="209">
        <f t="shared" si="109"/>
        <v>-96056835.36999999</v>
      </c>
      <c r="E435" s="209">
        <f t="shared" si="109"/>
        <v>0</v>
      </c>
      <c r="F435" s="209">
        <f>F355+F362+F368+F377+F383+F395+F404+F415+F423+F433+F349+F342</f>
        <v>461915625.58999997</v>
      </c>
      <c r="G435" s="209">
        <f t="shared" si="109"/>
        <v>121042969.03999999</v>
      </c>
      <c r="H435" s="209">
        <f t="shared" si="109"/>
        <v>61467251.390000015</v>
      </c>
      <c r="I435" s="209">
        <f>I355+I362+I368+I377+I383+I395+I404+I415+I423+I433+I349</f>
        <v>0</v>
      </c>
      <c r="J435" s="209">
        <f t="shared" ref="J435:O435" si="110">J355+J362+J368+J377+J383+J395+J404+J415+J423+J433+J349+J342</f>
        <v>0</v>
      </c>
      <c r="K435" s="209">
        <f t="shared" si="110"/>
        <v>0</v>
      </c>
      <c r="L435" s="209">
        <f>L355+L362+L368+L377+L383+L395+L404+L415+L423+L433+L349+L342</f>
        <v>59575717.649999976</v>
      </c>
      <c r="M435" s="209">
        <f>M355+M362+M368+M377+M383+M395+M404+M415+M423+M433+M349+M342</f>
        <v>10138194.530000005</v>
      </c>
      <c r="N435" s="209">
        <f t="shared" si="110"/>
        <v>4464071.6900000069</v>
      </c>
      <c r="O435" s="209">
        <f t="shared" si="110"/>
        <v>46864985.170000002</v>
      </c>
      <c r="P435" s="136">
        <f>C435+D435+E435-F435-G435</f>
        <v>0</v>
      </c>
      <c r="Q435" s="125"/>
    </row>
    <row r="436" spans="1:29" x14ac:dyDescent="0.2">
      <c r="A436" s="125"/>
      <c r="B436" s="165"/>
      <c r="C436" s="153"/>
      <c r="D436" s="153"/>
      <c r="E436" s="153"/>
      <c r="F436" s="162"/>
      <c r="G436" s="153"/>
      <c r="H436" s="166"/>
      <c r="I436" s="153"/>
      <c r="J436" s="153"/>
      <c r="K436" s="153"/>
      <c r="L436" s="153"/>
      <c r="M436" s="153"/>
      <c r="N436" s="153"/>
      <c r="O436" s="153"/>
      <c r="P436" s="125"/>
      <c r="Q436" s="125"/>
    </row>
    <row r="437" spans="1:29" x14ac:dyDescent="0.2">
      <c r="A437" s="125"/>
      <c r="B437" s="125" t="s">
        <v>279</v>
      </c>
      <c r="C437" s="126"/>
      <c r="D437" s="126">
        <f>G437</f>
        <v>399504.25</v>
      </c>
      <c r="E437" s="126"/>
      <c r="F437" s="162"/>
      <c r="G437" s="137">
        <f>H437+J437</f>
        <v>399504.25</v>
      </c>
      <c r="H437" s="210">
        <f>'[5]USM &amp; COI'!H135</f>
        <v>337504.25</v>
      </c>
      <c r="I437" s="137"/>
      <c r="J437" s="137">
        <f>'[5]USM &amp; COI'!J135</f>
        <v>62000</v>
      </c>
      <c r="K437" s="137"/>
      <c r="L437" s="162">
        <f>G437-H437-I437-J437-K437</f>
        <v>0</v>
      </c>
      <c r="M437" s="162">
        <f>H437-N437-O437+J437</f>
        <v>44500</v>
      </c>
      <c r="N437" s="162">
        <v>40000</v>
      </c>
      <c r="O437" s="162">
        <v>315004.25</v>
      </c>
      <c r="P437" s="125"/>
      <c r="Q437" s="125"/>
    </row>
    <row r="438" spans="1:29" x14ac:dyDescent="0.2">
      <c r="A438" s="125"/>
      <c r="B438" s="125"/>
      <c r="C438" s="126"/>
      <c r="D438" s="126"/>
      <c r="E438" s="126"/>
      <c r="F438" s="162"/>
      <c r="G438" s="137"/>
      <c r="H438" s="210"/>
      <c r="I438" s="137"/>
      <c r="J438" s="137"/>
      <c r="K438" s="137"/>
      <c r="L438" s="162"/>
      <c r="M438" s="162"/>
      <c r="N438" s="162"/>
      <c r="O438" s="162"/>
      <c r="P438" s="125"/>
      <c r="Q438" s="125"/>
    </row>
    <row r="439" spans="1:29" x14ac:dyDescent="0.2">
      <c r="A439" s="125"/>
      <c r="B439" s="125"/>
      <c r="C439" s="126"/>
      <c r="D439" s="126"/>
      <c r="E439" s="126"/>
      <c r="F439" s="162"/>
      <c r="G439" s="137"/>
      <c r="H439" s="210"/>
      <c r="I439" s="137"/>
      <c r="J439" s="137"/>
      <c r="K439" s="137"/>
      <c r="L439" s="162"/>
      <c r="M439" s="162"/>
      <c r="N439" s="162"/>
      <c r="O439" s="162"/>
      <c r="P439" s="125"/>
      <c r="Q439" s="125"/>
    </row>
    <row r="440" spans="1:29" ht="13.5" thickBot="1" x14ac:dyDescent="0.25">
      <c r="A440" s="135"/>
      <c r="B440" s="211" t="s">
        <v>281</v>
      </c>
      <c r="C440" s="212">
        <f t="shared" ref="C440:K440" si="111">C336+C435+C437</f>
        <v>1195183533</v>
      </c>
      <c r="D440" s="212">
        <f t="shared" si="111"/>
        <v>-109494267.32999998</v>
      </c>
      <c r="E440" s="212">
        <f t="shared" si="111"/>
        <v>1651730.79</v>
      </c>
      <c r="F440" s="212">
        <f t="shared" si="111"/>
        <v>836280287.15999997</v>
      </c>
      <c r="G440" s="212">
        <f t="shared" si="111"/>
        <v>251060709.29699996</v>
      </c>
      <c r="H440" s="212">
        <f>H336+H435+H437</f>
        <v>115530227.90000001</v>
      </c>
      <c r="I440" s="212">
        <f t="shared" si="111"/>
        <v>0</v>
      </c>
      <c r="J440" s="212">
        <f t="shared" si="111"/>
        <v>62000</v>
      </c>
      <c r="K440" s="212">
        <f t="shared" si="111"/>
        <v>0</v>
      </c>
      <c r="L440" s="212">
        <f>L336+L435+L437</f>
        <v>135468481.39699996</v>
      </c>
      <c r="M440" s="212">
        <f>M336+M435+M437</f>
        <v>30365100.060000002</v>
      </c>
      <c r="N440" s="212">
        <f>N336+N435+N437</f>
        <v>24736684.720000006</v>
      </c>
      <c r="O440" s="212">
        <f>O336+O435+O437</f>
        <v>60490443.120000005</v>
      </c>
      <c r="P440" s="136">
        <f>C440+D440+E440-F440-G440</f>
        <v>3.000110387802124E-3</v>
      </c>
      <c r="Q440" s="135"/>
      <c r="S440" s="135"/>
      <c r="T440" s="135"/>
      <c r="U440" s="135"/>
      <c r="V440" s="135"/>
      <c r="W440" s="135"/>
      <c r="Z440" s="135"/>
      <c r="AA440" s="135"/>
      <c r="AB440" s="135"/>
      <c r="AC440" s="135"/>
    </row>
    <row r="441" spans="1:29" ht="13.5" thickTop="1" x14ac:dyDescent="0.2">
      <c r="A441" s="125"/>
      <c r="B441" s="125" t="s">
        <v>283</v>
      </c>
      <c r="C441" s="210">
        <f>50139503+40000000+25000000</f>
        <v>115139503</v>
      </c>
      <c r="D441" s="126"/>
      <c r="E441" s="126"/>
      <c r="F441" s="214"/>
      <c r="G441" s="137"/>
      <c r="H441" s="127">
        <v>0</v>
      </c>
      <c r="I441" s="162"/>
      <c r="J441" s="215">
        <v>0</v>
      </c>
      <c r="K441" s="126"/>
      <c r="L441" s="137"/>
      <c r="M441" s="137"/>
      <c r="N441" s="137"/>
      <c r="O441" s="137"/>
      <c r="P441" s="136">
        <f>H440+J440+-M440-N440-O440+I440</f>
        <v>-7.4505805969238281E-9</v>
      </c>
      <c r="Q441" s="125"/>
    </row>
    <row r="442" spans="1:29" x14ac:dyDescent="0.2">
      <c r="A442" s="125"/>
      <c r="B442" s="195" t="s">
        <v>284</v>
      </c>
      <c r="C442" s="210">
        <f>C443+C444+C445</f>
        <v>-53220.65000000596</v>
      </c>
      <c r="D442" s="216"/>
      <c r="E442" s="216"/>
      <c r="F442" s="214"/>
      <c r="G442" s="136" t="s">
        <v>285</v>
      </c>
      <c r="H442" s="171">
        <f>H443-H441</f>
        <v>1941039.9600000004</v>
      </c>
      <c r="I442" s="215"/>
      <c r="J442" s="135">
        <f>J443-J441</f>
        <v>29000</v>
      </c>
      <c r="K442" s="126"/>
      <c r="L442" s="217" t="s">
        <v>286</v>
      </c>
      <c r="M442" s="217"/>
      <c r="N442" s="253"/>
      <c r="O442" s="137"/>
      <c r="P442" s="125"/>
      <c r="Q442" s="125"/>
    </row>
    <row r="443" spans="1:29" x14ac:dyDescent="0.2">
      <c r="A443" s="125"/>
      <c r="B443" s="125" t="s">
        <v>287</v>
      </c>
      <c r="C443" s="218">
        <f>25000000-C447</f>
        <v>0</v>
      </c>
      <c r="D443" s="135"/>
      <c r="E443" s="135"/>
      <c r="F443" s="125"/>
      <c r="G443" s="219"/>
      <c r="H443" s="135">
        <v>1941039.9600000004</v>
      </c>
      <c r="I443" s="135"/>
      <c r="J443" s="196">
        <v>29000</v>
      </c>
      <c r="K443" s="126"/>
      <c r="L443" s="137"/>
      <c r="M443" s="137"/>
      <c r="N443" s="253"/>
      <c r="O443" s="137"/>
      <c r="P443" s="125"/>
      <c r="Q443" s="125"/>
    </row>
    <row r="444" spans="1:29" x14ac:dyDescent="0.2">
      <c r="A444" s="125"/>
      <c r="B444" s="125" t="s">
        <v>288</v>
      </c>
      <c r="C444" s="196">
        <f>40000000-C448</f>
        <v>-53220.819999992847</v>
      </c>
      <c r="D444" s="135"/>
      <c r="E444" s="135"/>
      <c r="F444" s="214"/>
      <c r="G444" s="219" t="s">
        <v>289</v>
      </c>
      <c r="H444" s="171">
        <f>H445-H443</f>
        <v>42700510.449999996</v>
      </c>
      <c r="I444" s="135"/>
      <c r="J444" s="135">
        <f>J445-J443</f>
        <v>1500</v>
      </c>
      <c r="K444" s="126"/>
      <c r="L444" s="217" t="s">
        <v>290</v>
      </c>
      <c r="M444" s="217"/>
      <c r="N444" s="254"/>
      <c r="O444" s="137"/>
      <c r="P444" s="125"/>
      <c r="Q444" s="125"/>
    </row>
    <row r="445" spans="1:29" x14ac:dyDescent="0.2">
      <c r="A445" s="125"/>
      <c r="B445" s="125" t="s">
        <v>291</v>
      </c>
      <c r="C445" s="126">
        <f>50139503-C449</f>
        <v>0.16999998688697815</v>
      </c>
      <c r="D445" s="135"/>
      <c r="E445" s="135"/>
      <c r="F445" s="214"/>
      <c r="G445" s="217"/>
      <c r="H445" s="196">
        <v>44641550.409999996</v>
      </c>
      <c r="I445" s="135"/>
      <c r="J445" s="196">
        <v>30500</v>
      </c>
      <c r="K445" s="126"/>
      <c r="L445" s="137"/>
      <c r="M445" s="137"/>
      <c r="N445" s="137"/>
      <c r="O445" s="137"/>
      <c r="P445" s="125"/>
      <c r="Q445" s="125"/>
    </row>
    <row r="446" spans="1:29" x14ac:dyDescent="0.2">
      <c r="A446" s="125"/>
      <c r="B446" s="125"/>
      <c r="C446" s="126"/>
      <c r="D446" s="135"/>
      <c r="E446" s="135"/>
      <c r="F446" s="214"/>
      <c r="G446" s="219" t="s">
        <v>292</v>
      </c>
      <c r="H446" s="171">
        <f>H447-H445</f>
        <v>1784501.3800000027</v>
      </c>
      <c r="I446" s="135"/>
      <c r="J446" s="135">
        <f>J447-J445</f>
        <v>31500</v>
      </c>
      <c r="K446" s="126"/>
      <c r="L446" s="227" t="s">
        <v>387</v>
      </c>
      <c r="M446" s="137"/>
      <c r="N446" s="137"/>
      <c r="O446" s="137"/>
      <c r="P446" s="125"/>
      <c r="Q446" s="125"/>
    </row>
    <row r="447" spans="1:29" x14ac:dyDescent="0.2">
      <c r="A447" s="125"/>
      <c r="B447" s="125" t="s">
        <v>293</v>
      </c>
      <c r="C447" s="126">
        <f>H336-H50-H70-H71-H72-H79-H80-H81-H98-H99-H100-H102-H101-H122-H28-H29-H73-'[5]FR using 20-yr Bond'!H2-H7</f>
        <v>24999999.999999993</v>
      </c>
      <c r="D447" s="220"/>
      <c r="E447" s="126"/>
      <c r="F447" s="214"/>
      <c r="G447" s="221"/>
      <c r="H447" s="196">
        <v>46426051.789999999</v>
      </c>
      <c r="I447" s="222"/>
      <c r="J447" s="222">
        <v>62000</v>
      </c>
      <c r="K447" s="126"/>
      <c r="L447" s="137"/>
      <c r="M447" s="137"/>
      <c r="N447" s="137"/>
      <c r="O447" s="137"/>
      <c r="P447" s="125"/>
      <c r="Q447" s="125"/>
    </row>
    <row r="448" spans="1:29" x14ac:dyDescent="0.2">
      <c r="A448" s="125"/>
      <c r="B448" s="125" t="s">
        <v>294</v>
      </c>
      <c r="C448" s="126">
        <f>H440-H437-C447-C449</f>
        <v>40053220.819999993</v>
      </c>
      <c r="D448" s="126"/>
      <c r="E448" s="126"/>
      <c r="F448" s="137"/>
      <c r="G448" s="219" t="s">
        <v>295</v>
      </c>
      <c r="H448" s="171">
        <f>H449-H447</f>
        <v>409087.37000000477</v>
      </c>
      <c r="I448" s="126"/>
      <c r="J448" s="126"/>
      <c r="K448" s="126"/>
      <c r="L448" s="137"/>
      <c r="M448" s="137"/>
      <c r="N448" s="137"/>
      <c r="O448" s="137"/>
      <c r="P448" s="125"/>
      <c r="Q448" s="125"/>
    </row>
    <row r="449" spans="1:17" x14ac:dyDescent="0.2">
      <c r="A449" s="125"/>
      <c r="B449" s="125" t="s">
        <v>296</v>
      </c>
      <c r="C449" s="126">
        <f>H365+H366+H371+H372+H387</f>
        <v>50139502.830000013</v>
      </c>
      <c r="D449" s="126"/>
      <c r="E449" s="126"/>
      <c r="F449" s="137"/>
      <c r="G449" s="217"/>
      <c r="H449" s="127">
        <v>46835139.160000004</v>
      </c>
      <c r="I449" s="126"/>
      <c r="J449" s="126"/>
      <c r="K449" s="126"/>
      <c r="L449" s="137"/>
      <c r="M449" s="137"/>
      <c r="N449" s="137"/>
      <c r="O449" s="210"/>
      <c r="P449" s="125"/>
      <c r="Q449" s="125"/>
    </row>
    <row r="450" spans="1:17" x14ac:dyDescent="0.2">
      <c r="A450" s="125"/>
      <c r="B450" s="125"/>
      <c r="C450" s="126"/>
      <c r="D450" s="126"/>
      <c r="E450" s="126"/>
      <c r="F450" s="137"/>
      <c r="G450" s="219" t="s">
        <v>297</v>
      </c>
      <c r="H450" s="171">
        <f>H451-H449</f>
        <v>16157.25</v>
      </c>
      <c r="I450" s="126"/>
      <c r="J450" s="126"/>
      <c r="K450" s="126"/>
      <c r="L450" s="210"/>
      <c r="M450" s="210"/>
      <c r="N450" s="210"/>
      <c r="O450" s="210"/>
      <c r="P450" s="159"/>
      <c r="Q450" s="125"/>
    </row>
    <row r="451" spans="1:17" x14ac:dyDescent="0.2">
      <c r="A451" s="125"/>
      <c r="B451" s="127" t="s">
        <v>298</v>
      </c>
      <c r="C451" s="210" t="s">
        <v>299</v>
      </c>
      <c r="D451" s="126"/>
      <c r="E451" s="126"/>
      <c r="F451" s="137"/>
      <c r="G451" s="217"/>
      <c r="H451" s="127">
        <v>46851296.410000004</v>
      </c>
      <c r="I451" s="126"/>
      <c r="J451" s="126"/>
      <c r="K451" s="126"/>
      <c r="L451" s="137"/>
      <c r="M451" s="137"/>
      <c r="N451" s="137"/>
      <c r="O451" s="137"/>
      <c r="P451" s="223"/>
      <c r="Q451" s="125"/>
    </row>
    <row r="452" spans="1:17" x14ac:dyDescent="0.2">
      <c r="A452" s="125"/>
      <c r="B452" s="127" t="s">
        <v>300</v>
      </c>
      <c r="C452" s="210" t="s">
        <v>301</v>
      </c>
      <c r="D452" s="126"/>
      <c r="E452" s="126"/>
      <c r="F452" s="137"/>
      <c r="G452" s="219" t="s">
        <v>302</v>
      </c>
      <c r="H452" s="171">
        <f>H453-H451</f>
        <v>2592391.3299999908</v>
      </c>
      <c r="I452" s="126"/>
      <c r="J452" s="126"/>
      <c r="K452" s="126"/>
      <c r="L452" s="137"/>
      <c r="M452" s="137"/>
      <c r="N452" s="137"/>
      <c r="O452" s="137"/>
      <c r="P452" s="223"/>
      <c r="Q452" s="125"/>
    </row>
    <row r="453" spans="1:17" x14ac:dyDescent="0.2">
      <c r="A453" s="125"/>
      <c r="B453" s="125"/>
      <c r="C453" s="126"/>
      <c r="D453" s="126"/>
      <c r="E453" s="126"/>
      <c r="F453" s="137"/>
      <c r="G453" s="217"/>
      <c r="H453" s="127">
        <v>49443687.739999995</v>
      </c>
      <c r="I453" s="126"/>
      <c r="J453" s="126"/>
      <c r="K453" s="126"/>
      <c r="L453" s="137"/>
      <c r="M453" s="137"/>
      <c r="N453" s="137"/>
      <c r="O453" s="137"/>
      <c r="P453" s="223"/>
      <c r="Q453" s="125"/>
    </row>
    <row r="454" spans="1:17" x14ac:dyDescent="0.2">
      <c r="A454" s="125"/>
      <c r="B454" s="125"/>
      <c r="C454" s="126"/>
      <c r="D454" s="126"/>
      <c r="E454" s="126"/>
      <c r="F454" s="137"/>
      <c r="G454" s="219" t="s">
        <v>303</v>
      </c>
      <c r="H454" s="135">
        <f>H455-H453</f>
        <v>1625044.9700000063</v>
      </c>
      <c r="I454" s="126"/>
      <c r="J454" s="126"/>
      <c r="K454" s="126"/>
      <c r="L454" s="137"/>
      <c r="M454" s="137"/>
      <c r="N454" s="137"/>
      <c r="O454" s="137"/>
      <c r="P454" s="136"/>
      <c r="Q454" s="125"/>
    </row>
    <row r="455" spans="1:17" x14ac:dyDescent="0.2">
      <c r="A455" s="125"/>
      <c r="B455" s="125"/>
      <c r="C455" s="126"/>
      <c r="D455" s="126"/>
      <c r="E455" s="126"/>
      <c r="F455" s="137"/>
      <c r="G455" s="217"/>
      <c r="H455" s="127">
        <v>51068732.710000001</v>
      </c>
      <c r="I455" s="126"/>
      <c r="J455" s="126"/>
      <c r="K455" s="126"/>
      <c r="L455" s="137"/>
      <c r="M455" s="137"/>
      <c r="N455" s="137"/>
      <c r="O455" s="137"/>
      <c r="P455" s="159"/>
      <c r="Q455" s="125"/>
    </row>
    <row r="456" spans="1:17" x14ac:dyDescent="0.2">
      <c r="A456" s="125"/>
      <c r="B456" s="125"/>
      <c r="C456" s="126"/>
      <c r="D456" s="126"/>
      <c r="E456" s="126"/>
      <c r="F456" s="137"/>
      <c r="G456" s="219" t="s">
        <v>304</v>
      </c>
      <c r="H456" s="135">
        <f>H457-H455</f>
        <v>399330.03000000119</v>
      </c>
      <c r="I456" s="126"/>
      <c r="J456" s="126"/>
      <c r="K456" s="126"/>
      <c r="L456" s="137"/>
      <c r="M456" s="137"/>
      <c r="N456" s="137"/>
      <c r="O456" s="137"/>
      <c r="P456" s="125"/>
      <c r="Q456" s="125"/>
    </row>
    <row r="457" spans="1:17" x14ac:dyDescent="0.2">
      <c r="A457" s="125"/>
      <c r="B457" s="125"/>
      <c r="C457" s="126"/>
      <c r="D457" s="126"/>
      <c r="E457" s="126"/>
      <c r="F457" s="137"/>
      <c r="G457" s="217"/>
      <c r="H457" s="127">
        <v>51468062.740000002</v>
      </c>
      <c r="I457" s="126"/>
      <c r="J457" s="126"/>
      <c r="K457" s="126"/>
      <c r="L457" s="137"/>
      <c r="M457" s="137"/>
      <c r="N457" s="137"/>
      <c r="O457" s="137"/>
      <c r="P457" s="125"/>
      <c r="Q457" s="125"/>
    </row>
    <row r="458" spans="1:17" x14ac:dyDescent="0.2">
      <c r="A458" s="125"/>
      <c r="B458" s="125"/>
      <c r="C458" s="126"/>
      <c r="D458" s="126"/>
      <c r="E458" s="126"/>
      <c r="F458" s="137"/>
      <c r="G458" s="219" t="s">
        <v>305</v>
      </c>
      <c r="H458" s="135">
        <f>H459-H457</f>
        <v>851972.21999999881</v>
      </c>
      <c r="I458" s="126"/>
      <c r="J458" s="126"/>
      <c r="K458" s="126"/>
      <c r="L458" s="137"/>
      <c r="M458" s="137"/>
      <c r="N458" s="137"/>
      <c r="O458" s="137"/>
      <c r="P458" s="125"/>
      <c r="Q458" s="125"/>
    </row>
    <row r="459" spans="1:17" x14ac:dyDescent="0.2">
      <c r="A459" s="125"/>
      <c r="B459" s="125"/>
      <c r="C459" s="126"/>
      <c r="D459" s="126"/>
      <c r="E459" s="126"/>
      <c r="F459" s="137"/>
      <c r="G459" s="217"/>
      <c r="H459" s="127">
        <v>52320034.960000001</v>
      </c>
      <c r="I459" s="126"/>
      <c r="J459" s="126"/>
      <c r="K459" s="126"/>
      <c r="L459" s="137"/>
      <c r="M459" s="137"/>
      <c r="N459" s="137"/>
      <c r="O459" s="137"/>
      <c r="P459" s="125"/>
      <c r="Q459" s="125"/>
    </row>
    <row r="460" spans="1:17" x14ac:dyDescent="0.2">
      <c r="A460" s="125"/>
      <c r="B460" s="125"/>
      <c r="C460" s="126"/>
      <c r="D460" s="126"/>
      <c r="E460" s="126"/>
      <c r="F460" s="137"/>
      <c r="G460" s="219" t="s">
        <v>306</v>
      </c>
      <c r="H460" s="135">
        <f>H461-H459</f>
        <v>1078847.5300000012</v>
      </c>
      <c r="I460" s="126"/>
      <c r="J460" s="126"/>
      <c r="K460" s="126"/>
      <c r="L460" s="137"/>
      <c r="M460" s="137"/>
      <c r="N460" s="137"/>
      <c r="O460" s="137"/>
      <c r="P460" s="125"/>
      <c r="Q460" s="125"/>
    </row>
    <row r="461" spans="1:17" x14ac:dyDescent="0.2">
      <c r="A461" s="125"/>
      <c r="B461" s="125"/>
      <c r="C461" s="126"/>
      <c r="D461" s="126"/>
      <c r="E461" s="126"/>
      <c r="F461" s="137"/>
      <c r="G461" s="217"/>
      <c r="H461" s="127">
        <v>53398882.490000002</v>
      </c>
      <c r="I461" s="126"/>
      <c r="J461" s="126"/>
      <c r="K461" s="126"/>
      <c r="L461" s="137"/>
      <c r="M461" s="137"/>
      <c r="N461" s="137"/>
      <c r="O461" s="137"/>
      <c r="P461" s="125"/>
      <c r="Q461" s="125"/>
    </row>
    <row r="462" spans="1:17" x14ac:dyDescent="0.2">
      <c r="A462" s="125"/>
      <c r="B462" s="125"/>
      <c r="C462" s="126"/>
      <c r="D462" s="126"/>
      <c r="E462" s="126"/>
      <c r="F462" s="137"/>
      <c r="G462" s="219" t="s">
        <v>307</v>
      </c>
      <c r="H462" s="135">
        <f>H463-H461</f>
        <v>2462179.9299999997</v>
      </c>
      <c r="I462" s="126"/>
      <c r="J462" s="126"/>
      <c r="K462" s="126"/>
      <c r="L462" s="137"/>
      <c r="M462" s="137"/>
      <c r="N462" s="137"/>
      <c r="O462" s="137"/>
      <c r="P462" s="125"/>
      <c r="Q462" s="125"/>
    </row>
    <row r="463" spans="1:17" x14ac:dyDescent="0.2">
      <c r="A463" s="125"/>
      <c r="B463" s="125"/>
      <c r="C463" s="126"/>
      <c r="D463" s="126"/>
      <c r="E463" s="126"/>
      <c r="F463" s="137"/>
      <c r="G463" s="217"/>
      <c r="H463" s="127">
        <v>55861062.420000002</v>
      </c>
      <c r="I463" s="126"/>
      <c r="J463" s="126"/>
      <c r="K463" s="153"/>
      <c r="L463" s="224"/>
      <c r="M463" s="224"/>
      <c r="N463" s="224"/>
      <c r="O463" s="224"/>
      <c r="P463" s="125"/>
      <c r="Q463" s="125"/>
    </row>
    <row r="464" spans="1:17" x14ac:dyDescent="0.2">
      <c r="A464" s="125"/>
      <c r="B464" s="125"/>
      <c r="C464" s="126"/>
      <c r="D464" s="126"/>
      <c r="E464" s="126"/>
      <c r="F464" s="137"/>
      <c r="G464" s="219" t="s">
        <v>308</v>
      </c>
      <c r="H464" s="135">
        <f>H465-H463</f>
        <v>100161.94999999553</v>
      </c>
      <c r="I464" s="126"/>
      <c r="J464" s="126"/>
      <c r="K464" s="135"/>
      <c r="L464" s="225"/>
      <c r="M464" s="225"/>
      <c r="N464" s="225"/>
      <c r="O464" s="225"/>
      <c r="P464" s="125"/>
      <c r="Q464" s="125"/>
    </row>
    <row r="465" spans="1:17" x14ac:dyDescent="0.2">
      <c r="A465" s="125"/>
      <c r="B465" s="125"/>
      <c r="C465" s="126"/>
      <c r="D465" s="126"/>
      <c r="E465" s="126"/>
      <c r="F465" s="137"/>
      <c r="G465" s="217"/>
      <c r="H465" s="127">
        <v>55961224.369999997</v>
      </c>
      <c r="I465" s="126"/>
      <c r="J465" s="126"/>
      <c r="K465" s="135"/>
      <c r="L465" s="226"/>
      <c r="M465" s="226"/>
      <c r="N465" s="226"/>
      <c r="O465" s="226"/>
      <c r="P465" s="125"/>
      <c r="Q465" s="125"/>
    </row>
    <row r="466" spans="1:17" x14ac:dyDescent="0.2">
      <c r="A466" s="125"/>
      <c r="B466" s="125"/>
      <c r="C466" s="126"/>
      <c r="D466" s="126"/>
      <c r="E466" s="126"/>
      <c r="F466" s="137"/>
      <c r="G466" s="219" t="s">
        <v>309</v>
      </c>
      <c r="H466" s="135">
        <f>H467-H465</f>
        <v>101774.70000000298</v>
      </c>
      <c r="I466" s="126"/>
      <c r="J466" s="126"/>
      <c r="K466" s="135"/>
      <c r="L466" s="225"/>
      <c r="M466" s="225"/>
      <c r="N466" s="225"/>
      <c r="O466" s="225"/>
      <c r="P466" s="125"/>
      <c r="Q466" s="125"/>
    </row>
    <row r="467" spans="1:17" x14ac:dyDescent="0.2">
      <c r="A467" s="125"/>
      <c r="B467" s="125"/>
      <c r="C467" s="126"/>
      <c r="D467" s="126"/>
      <c r="E467" s="126"/>
      <c r="F467" s="137"/>
      <c r="G467" s="217"/>
      <c r="H467" s="127">
        <v>56062999.07</v>
      </c>
      <c r="I467" s="126"/>
      <c r="J467" s="126"/>
      <c r="K467" s="135"/>
      <c r="L467" s="226"/>
      <c r="M467" s="226"/>
      <c r="N467" s="226"/>
      <c r="O467" s="226"/>
      <c r="P467" s="125"/>
      <c r="Q467" s="125"/>
    </row>
    <row r="468" spans="1:17" x14ac:dyDescent="0.2">
      <c r="A468" s="125"/>
      <c r="B468" s="125"/>
      <c r="C468" s="126"/>
      <c r="D468" s="126"/>
      <c r="E468" s="126"/>
      <c r="F468" s="137"/>
      <c r="G468" s="219" t="s">
        <v>310</v>
      </c>
      <c r="H468" s="135">
        <f>H469-H467</f>
        <v>230721.17000000179</v>
      </c>
      <c r="I468" s="126"/>
      <c r="J468" s="126"/>
      <c r="K468" s="135"/>
      <c r="L468" s="225"/>
      <c r="M468" s="225"/>
      <c r="N468" s="225"/>
      <c r="O468" s="225"/>
      <c r="P468" s="125"/>
      <c r="Q468" s="125"/>
    </row>
    <row r="469" spans="1:17" x14ac:dyDescent="0.2">
      <c r="A469" s="125"/>
      <c r="B469" s="125"/>
      <c r="C469" s="126"/>
      <c r="D469" s="126"/>
      <c r="E469" s="126"/>
      <c r="F469" s="137"/>
      <c r="G469" s="217"/>
      <c r="H469" s="127">
        <v>56293720.240000002</v>
      </c>
      <c r="I469" s="126"/>
      <c r="J469" s="126"/>
      <c r="K469" s="226"/>
      <c r="L469" s="225"/>
      <c r="M469" s="225"/>
      <c r="N469" s="225"/>
      <c r="O469" s="225"/>
      <c r="P469" s="125"/>
      <c r="Q469" s="125"/>
    </row>
    <row r="470" spans="1:17" x14ac:dyDescent="0.2">
      <c r="A470" s="125"/>
      <c r="B470" s="125"/>
      <c r="C470" s="126"/>
      <c r="D470" s="126"/>
      <c r="E470" s="126"/>
      <c r="F470" s="137"/>
      <c r="G470" s="219" t="s">
        <v>311</v>
      </c>
      <c r="H470" s="135">
        <f>H471-H469</f>
        <v>3121389.3500000015</v>
      </c>
      <c r="I470" s="126"/>
      <c r="J470" s="126"/>
      <c r="K470" s="135"/>
      <c r="L470" s="225"/>
      <c r="M470" s="225"/>
      <c r="N470" s="225"/>
      <c r="O470" s="225"/>
      <c r="P470" s="125"/>
      <c r="Q470" s="125"/>
    </row>
    <row r="471" spans="1:17" x14ac:dyDescent="0.2">
      <c r="A471" s="125"/>
      <c r="B471" s="125"/>
      <c r="C471" s="126"/>
      <c r="D471" s="126"/>
      <c r="E471" s="126"/>
      <c r="F471" s="137"/>
      <c r="G471" s="217"/>
      <c r="H471" s="127">
        <v>59415109.590000004</v>
      </c>
      <c r="I471" s="126"/>
      <c r="J471" s="126"/>
      <c r="K471" s="126"/>
      <c r="L471" s="137"/>
      <c r="M471" s="137"/>
      <c r="N471" s="137"/>
      <c r="O471" s="137"/>
      <c r="P471" s="125"/>
      <c r="Q471" s="125"/>
    </row>
    <row r="472" spans="1:17" x14ac:dyDescent="0.2">
      <c r="A472" s="125"/>
      <c r="B472" s="125"/>
      <c r="C472" s="126"/>
      <c r="D472" s="126"/>
      <c r="E472" s="126"/>
      <c r="F472" s="137"/>
      <c r="G472" s="219" t="s">
        <v>312</v>
      </c>
      <c r="H472" s="135">
        <f>H473-H471</f>
        <v>206628.31999999285</v>
      </c>
      <c r="I472" s="126"/>
      <c r="J472" s="126"/>
      <c r="K472" s="135"/>
      <c r="L472" s="225"/>
      <c r="M472" s="225"/>
      <c r="N472" s="225"/>
      <c r="O472" s="225"/>
      <c r="P472" s="125"/>
      <c r="Q472" s="125"/>
    </row>
    <row r="473" spans="1:17" x14ac:dyDescent="0.2">
      <c r="A473" s="125"/>
      <c r="B473" s="125"/>
      <c r="C473" s="126"/>
      <c r="D473" s="126"/>
      <c r="E473" s="126"/>
      <c r="F473" s="137"/>
      <c r="G473" s="217"/>
      <c r="H473" s="127">
        <v>59621737.909999996</v>
      </c>
      <c r="I473" s="126"/>
      <c r="J473" s="126"/>
      <c r="K473" s="126"/>
      <c r="L473" s="137"/>
      <c r="M473" s="137"/>
      <c r="N473" s="137"/>
      <c r="O473" s="137"/>
      <c r="P473" s="125"/>
      <c r="Q473" s="125"/>
    </row>
    <row r="474" spans="1:17" x14ac:dyDescent="0.2">
      <c r="A474" s="125"/>
      <c r="B474" s="125"/>
      <c r="C474" s="126"/>
      <c r="D474" s="126"/>
      <c r="E474" s="126"/>
      <c r="F474" s="137"/>
      <c r="G474" s="219" t="s">
        <v>313</v>
      </c>
      <c r="H474" s="135">
        <f>H475-H473</f>
        <v>255723.22000000626</v>
      </c>
      <c r="I474" s="126"/>
      <c r="J474" s="127"/>
      <c r="K474" s="135"/>
      <c r="L474" s="225"/>
      <c r="M474" s="225"/>
      <c r="N474" s="225"/>
      <c r="O474" s="225"/>
      <c r="P474" s="125"/>
      <c r="Q474" s="125"/>
    </row>
    <row r="475" spans="1:17" x14ac:dyDescent="0.2">
      <c r="A475" s="125"/>
      <c r="B475" s="125"/>
      <c r="C475" s="126"/>
      <c r="D475" s="126"/>
      <c r="E475" s="126"/>
      <c r="F475" s="137"/>
      <c r="G475" s="217"/>
      <c r="H475" s="127">
        <v>59877461.130000003</v>
      </c>
      <c r="I475" s="126"/>
      <c r="J475" s="126"/>
      <c r="K475" s="126"/>
      <c r="L475" s="137"/>
      <c r="M475" s="137"/>
      <c r="N475" s="137"/>
      <c r="O475" s="137"/>
      <c r="P475" s="125"/>
      <c r="Q475" s="125"/>
    </row>
    <row r="476" spans="1:17" x14ac:dyDescent="0.2">
      <c r="A476" s="125"/>
      <c r="B476" s="125"/>
      <c r="C476" s="126"/>
      <c r="D476" s="126"/>
      <c r="E476" s="126"/>
      <c r="F476" s="137"/>
      <c r="G476" s="219" t="s">
        <v>314</v>
      </c>
      <c r="H476" s="135">
        <f>H477-H475</f>
        <v>612981.98999999464</v>
      </c>
      <c r="I476" s="126"/>
      <c r="J476" s="126"/>
      <c r="K476" s="135"/>
      <c r="L476" s="225"/>
      <c r="M476" s="225"/>
      <c r="N476" s="225"/>
      <c r="O476" s="225"/>
      <c r="P476" s="125"/>
      <c r="Q476" s="125"/>
    </row>
    <row r="477" spans="1:17" x14ac:dyDescent="0.2">
      <c r="A477" s="125"/>
      <c r="B477" s="125"/>
      <c r="C477" s="126"/>
      <c r="D477" s="126"/>
      <c r="E477" s="126"/>
      <c r="F477" s="137"/>
      <c r="G477" s="217"/>
      <c r="H477" s="127">
        <v>60490443.119999997</v>
      </c>
      <c r="I477" s="126"/>
      <c r="J477" s="126"/>
      <c r="K477" s="126"/>
      <c r="L477" s="137"/>
      <c r="M477" s="137"/>
      <c r="N477" s="137"/>
      <c r="O477" s="137"/>
      <c r="P477" s="125"/>
      <c r="Q477" s="125"/>
    </row>
    <row r="478" spans="1:17" x14ac:dyDescent="0.2">
      <c r="A478" s="125"/>
      <c r="B478" s="125"/>
      <c r="C478" s="126"/>
      <c r="D478" s="126"/>
      <c r="E478" s="126"/>
      <c r="F478" s="137"/>
      <c r="G478" s="219" t="s">
        <v>315</v>
      </c>
      <c r="H478" s="135">
        <f>H479-H477</f>
        <v>430016.23000000417</v>
      </c>
      <c r="I478" s="126"/>
      <c r="J478" s="126"/>
      <c r="K478" s="135"/>
      <c r="L478" s="225"/>
      <c r="M478" s="225"/>
      <c r="N478" s="225"/>
      <c r="O478" s="137"/>
      <c r="P478" s="125"/>
      <c r="Q478" s="125"/>
    </row>
    <row r="479" spans="1:17" x14ac:dyDescent="0.2">
      <c r="A479" s="125"/>
      <c r="B479" s="125"/>
      <c r="C479" s="126"/>
      <c r="D479" s="126"/>
      <c r="E479" s="126"/>
      <c r="F479" s="137"/>
      <c r="G479" s="217"/>
      <c r="H479" s="127">
        <v>60920459.350000001</v>
      </c>
      <c r="I479" s="126"/>
      <c r="J479" s="126"/>
      <c r="K479" s="126"/>
      <c r="L479" s="137"/>
      <c r="M479" s="137"/>
      <c r="N479" s="137"/>
      <c r="O479" s="137"/>
      <c r="P479" s="125"/>
      <c r="Q479" s="125"/>
    </row>
    <row r="480" spans="1:17" x14ac:dyDescent="0.2">
      <c r="A480" s="125"/>
      <c r="B480" s="125"/>
      <c r="C480" s="126"/>
      <c r="D480" s="126"/>
      <c r="E480" s="126"/>
      <c r="F480" s="137"/>
      <c r="G480" s="219" t="s">
        <v>316</v>
      </c>
      <c r="H480" s="135">
        <f>H481-H479</f>
        <v>337549.54999999702</v>
      </c>
      <c r="I480" s="126"/>
      <c r="J480" s="126"/>
      <c r="K480" s="135"/>
      <c r="L480" s="225"/>
      <c r="M480" s="225"/>
      <c r="N480" s="225"/>
      <c r="O480" s="137"/>
      <c r="P480" s="125"/>
      <c r="Q480" s="125"/>
    </row>
    <row r="481" spans="1:17" x14ac:dyDescent="0.2">
      <c r="A481" s="125"/>
      <c r="B481" s="125"/>
      <c r="C481" s="126"/>
      <c r="D481" s="126"/>
      <c r="E481" s="126"/>
      <c r="F481" s="137"/>
      <c r="G481" s="217"/>
      <c r="H481" s="127">
        <v>61258008.899999999</v>
      </c>
      <c r="I481" s="126"/>
      <c r="J481" s="126"/>
      <c r="K481" s="132"/>
      <c r="L481" s="130"/>
      <c r="M481" s="130"/>
      <c r="N481" s="130"/>
      <c r="O481" s="130"/>
      <c r="P481" s="125"/>
      <c r="Q481" s="125"/>
    </row>
    <row r="482" spans="1:17" x14ac:dyDescent="0.2">
      <c r="A482" s="125"/>
      <c r="B482" s="125"/>
      <c r="C482" s="126"/>
      <c r="D482" s="126"/>
      <c r="E482" s="126"/>
      <c r="F482" s="137"/>
      <c r="G482" s="227" t="s">
        <v>317</v>
      </c>
      <c r="H482" s="135">
        <f>H483-H481</f>
        <v>150728.3900000006</v>
      </c>
      <c r="I482" s="126"/>
      <c r="J482" s="126"/>
      <c r="K482" s="135"/>
      <c r="L482" s="225"/>
      <c r="M482" s="225"/>
      <c r="N482" s="225"/>
      <c r="O482" s="130"/>
      <c r="P482" s="125"/>
      <c r="Q482" s="125"/>
    </row>
    <row r="483" spans="1:17" x14ac:dyDescent="0.2">
      <c r="A483" s="125"/>
      <c r="B483" s="125"/>
      <c r="C483" s="126"/>
      <c r="D483" s="126"/>
      <c r="E483" s="126"/>
      <c r="F483" s="137"/>
      <c r="G483" s="217"/>
      <c r="H483" s="127">
        <v>61408737.289999999</v>
      </c>
      <c r="I483" s="126"/>
      <c r="J483" s="126"/>
      <c r="K483" s="132"/>
      <c r="L483" s="130"/>
      <c r="M483" s="130"/>
      <c r="N483" s="130"/>
      <c r="O483" s="130"/>
      <c r="P483" s="125"/>
      <c r="Q483" s="125"/>
    </row>
    <row r="484" spans="1:17" x14ac:dyDescent="0.2">
      <c r="A484" s="125"/>
      <c r="B484" s="125"/>
      <c r="C484" s="126"/>
      <c r="D484" s="126"/>
      <c r="E484" s="126"/>
      <c r="F484" s="137"/>
      <c r="G484" s="217" t="s">
        <v>318</v>
      </c>
      <c r="H484" s="135">
        <f>H485-H483</f>
        <v>199086.68999999762</v>
      </c>
      <c r="I484" s="126"/>
      <c r="J484" s="126"/>
      <c r="K484" s="135"/>
      <c r="L484" s="224"/>
      <c r="M484" s="224"/>
      <c r="N484" s="224"/>
      <c r="O484" s="130"/>
      <c r="P484" s="125"/>
      <c r="Q484" s="125"/>
    </row>
    <row r="485" spans="1:17" x14ac:dyDescent="0.2">
      <c r="A485" s="125"/>
      <c r="B485" s="125"/>
      <c r="C485" s="126"/>
      <c r="D485" s="126"/>
      <c r="E485" s="126"/>
      <c r="F485" s="137"/>
      <c r="G485" s="217"/>
      <c r="H485" s="127">
        <v>61607823.979999997</v>
      </c>
      <c r="I485" s="126"/>
      <c r="J485" s="126"/>
      <c r="K485" s="132"/>
      <c r="L485" s="130"/>
      <c r="M485" s="130"/>
      <c r="N485" s="130"/>
      <c r="O485" s="130"/>
      <c r="P485" s="125"/>
      <c r="Q485" s="125"/>
    </row>
    <row r="486" spans="1:17" x14ac:dyDescent="0.2">
      <c r="A486" s="125"/>
      <c r="B486" s="125"/>
      <c r="C486" s="126"/>
      <c r="D486" s="126"/>
      <c r="E486" s="126"/>
      <c r="F486" s="137"/>
      <c r="G486" s="217" t="s">
        <v>319</v>
      </c>
      <c r="H486" s="135">
        <f>H487-H485</f>
        <v>194893.69000000507</v>
      </c>
      <c r="I486" s="126"/>
      <c r="J486" s="126"/>
      <c r="K486" s="135"/>
      <c r="L486" s="224"/>
      <c r="M486" s="224"/>
      <c r="N486" s="224"/>
      <c r="O486" s="130"/>
      <c r="P486" s="125"/>
      <c r="Q486" s="125"/>
    </row>
    <row r="487" spans="1:17" x14ac:dyDescent="0.2">
      <c r="A487" s="125"/>
      <c r="B487" s="125"/>
      <c r="C487" s="126"/>
      <c r="D487" s="126"/>
      <c r="E487" s="126"/>
      <c r="F487" s="137"/>
      <c r="G487" s="217"/>
      <c r="H487" s="127">
        <v>61802717.670000002</v>
      </c>
      <c r="I487" s="126"/>
      <c r="J487" s="126"/>
      <c r="K487" s="132"/>
      <c r="L487" s="130"/>
      <c r="M487" s="130"/>
      <c r="N487" s="130"/>
      <c r="O487" s="130"/>
      <c r="P487" s="125"/>
      <c r="Q487" s="125"/>
    </row>
    <row r="488" spans="1:17" x14ac:dyDescent="0.2">
      <c r="A488" s="125"/>
      <c r="B488" s="125"/>
      <c r="C488" s="126"/>
      <c r="D488" s="126"/>
      <c r="E488" s="126"/>
      <c r="F488" s="137"/>
      <c r="G488" s="217" t="s">
        <v>320</v>
      </c>
      <c r="H488" s="135">
        <f>H489-H487</f>
        <v>578109.71999999881</v>
      </c>
      <c r="I488" s="126"/>
      <c r="J488" s="126"/>
      <c r="K488" s="135"/>
      <c r="L488" s="224"/>
      <c r="M488" s="224"/>
      <c r="N488" s="224"/>
      <c r="O488" s="130"/>
      <c r="P488" s="125"/>
      <c r="Q488" s="125"/>
    </row>
    <row r="489" spans="1:17" x14ac:dyDescent="0.2">
      <c r="A489" s="125"/>
      <c r="B489" s="125"/>
      <c r="C489" s="126"/>
      <c r="D489" s="126"/>
      <c r="E489" s="126"/>
      <c r="F489" s="137"/>
      <c r="G489" s="217"/>
      <c r="H489" s="127">
        <v>62380827.390000001</v>
      </c>
      <c r="I489" s="126"/>
      <c r="J489" s="126"/>
      <c r="K489" s="126"/>
      <c r="L489" s="137"/>
      <c r="M489" s="137"/>
      <c r="N489" s="137"/>
      <c r="O489" s="137"/>
      <c r="P489" s="125"/>
      <c r="Q489" s="125"/>
    </row>
    <row r="490" spans="1:17" x14ac:dyDescent="0.2">
      <c r="A490" s="125"/>
      <c r="B490" s="125"/>
      <c r="C490" s="126"/>
      <c r="D490" s="126"/>
      <c r="E490" s="126"/>
      <c r="F490" s="137"/>
      <c r="G490" s="227" t="s">
        <v>321</v>
      </c>
      <c r="H490" s="135">
        <f>H491-H489</f>
        <v>344951.29000000656</v>
      </c>
      <c r="I490" s="126"/>
      <c r="J490" s="126"/>
      <c r="K490" s="135"/>
      <c r="L490" s="224"/>
      <c r="M490" s="224"/>
      <c r="N490" s="224"/>
      <c r="O490" s="137"/>
      <c r="P490" s="125"/>
      <c r="Q490" s="125"/>
    </row>
    <row r="491" spans="1:17" x14ac:dyDescent="0.2">
      <c r="A491" s="125"/>
      <c r="B491" s="125"/>
      <c r="C491" s="126"/>
      <c r="D491" s="126"/>
      <c r="E491" s="126"/>
      <c r="F491" s="137"/>
      <c r="G491" s="217"/>
      <c r="H491" s="127">
        <v>62725778.680000007</v>
      </c>
      <c r="I491" s="126"/>
      <c r="J491" s="126"/>
      <c r="K491" s="126"/>
      <c r="L491" s="137"/>
      <c r="M491" s="137"/>
      <c r="N491" s="137"/>
      <c r="O491" s="137"/>
      <c r="P491" s="125"/>
      <c r="Q491" s="125"/>
    </row>
    <row r="492" spans="1:17" x14ac:dyDescent="0.2">
      <c r="A492" s="125"/>
      <c r="B492" s="125"/>
      <c r="C492" s="126"/>
      <c r="D492" s="126"/>
      <c r="E492" s="126"/>
      <c r="F492" s="137"/>
      <c r="G492" s="227" t="s">
        <v>322</v>
      </c>
      <c r="H492" s="135">
        <f>H493-H491</f>
        <v>377237</v>
      </c>
      <c r="I492" s="126"/>
      <c r="J492" s="126"/>
      <c r="K492" s="135"/>
      <c r="L492" s="224"/>
      <c r="M492" s="224"/>
      <c r="N492" s="224"/>
      <c r="O492" s="137"/>
      <c r="P492" s="125"/>
      <c r="Q492" s="125"/>
    </row>
    <row r="493" spans="1:17" x14ac:dyDescent="0.2">
      <c r="A493" s="125"/>
      <c r="B493" s="125"/>
      <c r="C493" s="126"/>
      <c r="D493" s="126"/>
      <c r="E493" s="126"/>
      <c r="F493" s="137"/>
      <c r="G493" s="217"/>
      <c r="H493" s="127">
        <v>63103015.680000007</v>
      </c>
      <c r="I493" s="126"/>
      <c r="J493" s="126"/>
      <c r="K493" s="126"/>
      <c r="L493" s="137"/>
      <c r="M493" s="137"/>
      <c r="N493" s="137"/>
      <c r="O493" s="137"/>
      <c r="P493" s="125"/>
      <c r="Q493" s="125"/>
    </row>
    <row r="494" spans="1:17" x14ac:dyDescent="0.2">
      <c r="A494" s="125"/>
      <c r="B494" s="125"/>
      <c r="C494" s="126"/>
      <c r="D494" s="126"/>
      <c r="E494" s="126"/>
      <c r="F494" s="137"/>
      <c r="G494" s="227" t="s">
        <v>323</v>
      </c>
      <c r="H494" s="135">
        <f>H495-H493</f>
        <v>569361.15000000596</v>
      </c>
      <c r="I494" s="126"/>
      <c r="J494" s="126"/>
      <c r="K494" s="135"/>
      <c r="L494" s="228"/>
      <c r="M494" s="228"/>
      <c r="N494" s="228"/>
      <c r="O494" s="137"/>
      <c r="P494" s="125"/>
      <c r="Q494" s="125"/>
    </row>
    <row r="495" spans="1:17" x14ac:dyDescent="0.2">
      <c r="A495" s="125"/>
      <c r="B495" s="125"/>
      <c r="C495" s="126"/>
      <c r="D495" s="126"/>
      <c r="E495" s="126"/>
      <c r="F495" s="137"/>
      <c r="G495" s="217"/>
      <c r="H495" s="127">
        <v>63672376.830000013</v>
      </c>
      <c r="I495" s="126"/>
      <c r="J495" s="126"/>
      <c r="K495" s="126"/>
      <c r="L495" s="137"/>
      <c r="M495" s="137"/>
      <c r="N495" s="137"/>
      <c r="O495" s="137"/>
      <c r="P495" s="125"/>
      <c r="Q495" s="125"/>
    </row>
    <row r="496" spans="1:17" x14ac:dyDescent="0.2">
      <c r="A496" s="125"/>
      <c r="B496" s="125"/>
      <c r="C496" s="126"/>
      <c r="D496" s="126"/>
      <c r="E496" s="126"/>
      <c r="F496" s="137"/>
      <c r="G496" s="227" t="s">
        <v>324</v>
      </c>
      <c r="H496" s="135">
        <f>H497-H495</f>
        <v>215403</v>
      </c>
      <c r="I496" s="126"/>
      <c r="J496" s="126"/>
      <c r="K496" s="135"/>
      <c r="L496" s="228"/>
      <c r="M496" s="228"/>
      <c r="N496" s="228"/>
      <c r="O496" s="137"/>
      <c r="P496" s="125"/>
      <c r="Q496" s="125"/>
    </row>
    <row r="497" spans="1:17" x14ac:dyDescent="0.2">
      <c r="A497" s="125"/>
      <c r="B497" s="125" t="s">
        <v>325</v>
      </c>
      <c r="C497" s="126">
        <f>'[2]Summary 2021A'!$C$791</f>
        <v>242000000</v>
      </c>
      <c r="D497" s="126"/>
      <c r="E497" s="126"/>
      <c r="F497" s="137"/>
      <c r="G497" s="217"/>
      <c r="H497" s="127">
        <v>63887779.830000013</v>
      </c>
      <c r="I497" s="126"/>
      <c r="J497" s="126"/>
      <c r="K497" s="126"/>
      <c r="L497" s="137"/>
      <c r="M497" s="137"/>
      <c r="N497" s="137"/>
      <c r="O497" s="137"/>
      <c r="P497" s="125"/>
      <c r="Q497" s="125"/>
    </row>
    <row r="498" spans="1:17" x14ac:dyDescent="0.2">
      <c r="A498" s="125"/>
      <c r="B498" s="125"/>
      <c r="C498" s="126"/>
      <c r="D498" s="126"/>
      <c r="E498" s="126"/>
      <c r="F498" s="137"/>
      <c r="G498" s="227" t="s">
        <v>326</v>
      </c>
      <c r="H498" s="135">
        <f>H499-H497</f>
        <v>76886.269999995828</v>
      </c>
      <c r="I498" s="126"/>
      <c r="J498" s="126"/>
      <c r="K498" s="135"/>
      <c r="L498" s="217"/>
      <c r="M498" s="217"/>
      <c r="N498" s="228"/>
      <c r="O498" s="137"/>
      <c r="P498" s="125"/>
      <c r="Q498" s="125"/>
    </row>
    <row r="499" spans="1:17" x14ac:dyDescent="0.2">
      <c r="A499" s="125"/>
      <c r="B499" s="125"/>
      <c r="C499" s="126"/>
      <c r="D499" s="126"/>
      <c r="E499" s="126"/>
      <c r="F499" s="137"/>
      <c r="G499" s="217"/>
      <c r="H499" s="126">
        <v>63964666.100000009</v>
      </c>
      <c r="I499" s="126"/>
      <c r="J499" s="126"/>
      <c r="K499" s="126"/>
      <c r="L499" s="217"/>
      <c r="M499" s="217"/>
      <c r="N499" s="137"/>
      <c r="O499" s="137"/>
      <c r="P499" s="125"/>
      <c r="Q499" s="125"/>
    </row>
    <row r="500" spans="1:17" x14ac:dyDescent="0.2">
      <c r="A500" s="125"/>
      <c r="B500" s="125"/>
      <c r="C500" s="126"/>
      <c r="D500" s="126"/>
      <c r="E500" s="126"/>
      <c r="F500" s="137"/>
      <c r="G500" s="227" t="s">
        <v>327</v>
      </c>
      <c r="H500" s="135">
        <f>H501-H499</f>
        <v>44536.930000007153</v>
      </c>
      <c r="I500" s="126"/>
      <c r="J500" s="126"/>
      <c r="K500" s="135"/>
      <c r="L500" s="217"/>
      <c r="M500" s="217"/>
      <c r="N500" s="228"/>
      <c r="O500" s="137"/>
      <c r="P500" s="125"/>
      <c r="Q500" s="125"/>
    </row>
    <row r="501" spans="1:17" x14ac:dyDescent="0.2">
      <c r="A501" s="125"/>
      <c r="B501" s="125"/>
      <c r="C501" s="126"/>
      <c r="D501" s="126"/>
      <c r="E501" s="126"/>
      <c r="F501" s="137"/>
      <c r="G501" s="217"/>
      <c r="H501" s="127">
        <v>64009203.030000016</v>
      </c>
      <c r="I501" s="126"/>
      <c r="J501" s="126"/>
      <c r="K501" s="126"/>
      <c r="L501" s="137"/>
      <c r="M501" s="137"/>
      <c r="N501" s="137"/>
      <c r="O501" s="137"/>
      <c r="P501" s="125"/>
      <c r="Q501" s="125"/>
    </row>
    <row r="502" spans="1:17" x14ac:dyDescent="0.2">
      <c r="A502" s="125"/>
      <c r="B502" s="125"/>
      <c r="C502" s="126"/>
      <c r="D502" s="126"/>
      <c r="E502" s="126"/>
      <c r="F502" s="229">
        <v>45216</v>
      </c>
      <c r="G502" s="227" t="s">
        <v>328</v>
      </c>
      <c r="H502" s="135">
        <f>H503-H501</f>
        <v>3812242.6199999899</v>
      </c>
      <c r="I502" s="126"/>
      <c r="J502" s="126"/>
      <c r="K502" s="135"/>
      <c r="L502" s="228"/>
      <c r="M502" s="228"/>
      <c r="N502" s="228"/>
      <c r="O502" s="137"/>
      <c r="P502" s="125"/>
      <c r="Q502" s="125"/>
    </row>
    <row r="503" spans="1:17" x14ac:dyDescent="0.2">
      <c r="A503" s="125"/>
      <c r="B503" s="125"/>
      <c r="C503" s="126"/>
      <c r="D503" s="126"/>
      <c r="E503" s="126"/>
      <c r="F503" s="229"/>
      <c r="G503" s="217"/>
      <c r="H503" s="127">
        <v>67821445.650000006</v>
      </c>
      <c r="I503" s="126"/>
      <c r="J503" s="126"/>
      <c r="K503" s="126"/>
      <c r="L503" s="137"/>
      <c r="M503" s="137"/>
      <c r="N503" s="137"/>
      <c r="O503" s="137"/>
      <c r="P503" s="125"/>
      <c r="Q503" s="125"/>
    </row>
    <row r="504" spans="1:17" x14ac:dyDescent="0.2">
      <c r="A504" s="125"/>
      <c r="B504" s="125"/>
      <c r="C504" s="126"/>
      <c r="D504" s="126"/>
      <c r="E504" s="126"/>
      <c r="F504" s="229">
        <v>45219</v>
      </c>
      <c r="G504" s="227" t="s">
        <v>329</v>
      </c>
      <c r="H504" s="135">
        <f>H505-H503</f>
        <v>100987.70000000298</v>
      </c>
      <c r="I504" s="126"/>
      <c r="J504" s="126"/>
      <c r="K504" s="135"/>
      <c r="L504" s="228"/>
      <c r="M504" s="228"/>
      <c r="N504" s="228"/>
      <c r="O504" s="137"/>
      <c r="P504" s="125"/>
      <c r="Q504" s="125"/>
    </row>
    <row r="505" spans="1:17" x14ac:dyDescent="0.2">
      <c r="A505" s="125"/>
      <c r="B505" s="125"/>
      <c r="C505" s="126"/>
      <c r="D505" s="126"/>
      <c r="E505" s="126"/>
      <c r="F505" s="229"/>
      <c r="G505" s="217"/>
      <c r="H505" s="131">
        <v>67922433.350000009</v>
      </c>
      <c r="I505" s="126"/>
      <c r="J505" s="126"/>
      <c r="K505" s="126"/>
      <c r="L505" s="137"/>
      <c r="M505" s="137"/>
      <c r="N505" s="137"/>
      <c r="O505" s="137"/>
      <c r="P505" s="125"/>
      <c r="Q505" s="125"/>
    </row>
    <row r="506" spans="1:17" x14ac:dyDescent="0.2">
      <c r="A506" s="125"/>
      <c r="B506" s="125"/>
      <c r="C506" s="126"/>
      <c r="D506" s="126"/>
      <c r="E506" s="126"/>
      <c r="F506" s="229"/>
      <c r="G506" s="227" t="s">
        <v>330</v>
      </c>
      <c r="H506" s="135">
        <f>H507-H505</f>
        <v>198</v>
      </c>
      <c r="I506" s="126"/>
      <c r="J506" s="126"/>
      <c r="K506" s="135"/>
      <c r="L506" s="230"/>
      <c r="M506" s="230"/>
      <c r="N506" s="230"/>
      <c r="O506" s="137"/>
      <c r="P506" s="125"/>
      <c r="Q506" s="125"/>
    </row>
    <row r="507" spans="1:17" x14ac:dyDescent="0.2">
      <c r="A507" s="125"/>
      <c r="B507" s="125"/>
      <c r="C507" s="126"/>
      <c r="D507" s="126"/>
      <c r="E507" s="126"/>
      <c r="F507" s="229"/>
      <c r="G507" s="217"/>
      <c r="H507" s="131">
        <v>67922631.350000009</v>
      </c>
      <c r="I507" s="126"/>
      <c r="J507" s="126"/>
      <c r="K507" s="126"/>
      <c r="L507" s="230"/>
      <c r="M507" s="230"/>
      <c r="N507" s="230"/>
      <c r="O507" s="137"/>
      <c r="P507" s="125"/>
      <c r="Q507" s="125"/>
    </row>
    <row r="508" spans="1:17" x14ac:dyDescent="0.2">
      <c r="A508" s="125"/>
      <c r="B508" s="125"/>
      <c r="C508" s="126"/>
      <c r="D508" s="126"/>
      <c r="E508" s="126"/>
      <c r="F508" s="229">
        <v>45226</v>
      </c>
      <c r="G508" s="227" t="s">
        <v>331</v>
      </c>
      <c r="H508" s="135">
        <f>H509-H507</f>
        <v>2960.0400000065565</v>
      </c>
      <c r="I508" s="126"/>
      <c r="J508" s="126"/>
      <c r="K508" s="135"/>
      <c r="L508" s="230"/>
      <c r="M508" s="230"/>
      <c r="N508" s="230"/>
      <c r="O508" s="137"/>
      <c r="P508" s="125"/>
      <c r="Q508" s="125"/>
    </row>
    <row r="509" spans="1:17" x14ac:dyDescent="0.2">
      <c r="A509" s="125"/>
      <c r="B509" s="125"/>
      <c r="C509" s="126"/>
      <c r="D509" s="126"/>
      <c r="E509" s="126"/>
      <c r="F509" s="229"/>
      <c r="G509" s="217"/>
      <c r="H509" s="127">
        <v>67925591.390000015</v>
      </c>
      <c r="I509" s="126"/>
      <c r="J509" s="126"/>
      <c r="K509" s="126"/>
      <c r="L509" s="230"/>
      <c r="M509" s="230"/>
      <c r="N509" s="230"/>
      <c r="O509" s="137"/>
      <c r="P509" s="125"/>
      <c r="Q509" s="125"/>
    </row>
    <row r="510" spans="1:17" x14ac:dyDescent="0.2">
      <c r="A510" s="125"/>
      <c r="B510" s="125"/>
      <c r="C510" s="126"/>
      <c r="D510" s="126"/>
      <c r="E510" s="126"/>
      <c r="F510" s="229">
        <v>45237</v>
      </c>
      <c r="G510" s="227" t="s">
        <v>332</v>
      </c>
      <c r="H510" s="135">
        <f>H511-H509</f>
        <v>131078.72999998927</v>
      </c>
      <c r="I510" s="126"/>
      <c r="J510" s="126"/>
      <c r="K510" s="135"/>
      <c r="L510" s="230"/>
      <c r="M510" s="230"/>
      <c r="N510" s="230"/>
      <c r="O510" s="137"/>
      <c r="P510" s="125"/>
      <c r="Q510" s="125"/>
    </row>
    <row r="511" spans="1:17" x14ac:dyDescent="0.2">
      <c r="A511" s="125"/>
      <c r="B511" s="125"/>
      <c r="C511" s="126"/>
      <c r="D511" s="126"/>
      <c r="E511" s="126"/>
      <c r="F511" s="229"/>
      <c r="G511" s="217"/>
      <c r="H511" s="127">
        <v>68056670.120000005</v>
      </c>
      <c r="I511" s="126"/>
      <c r="J511" s="126"/>
      <c r="K511" s="126"/>
      <c r="L511" s="137"/>
      <c r="M511" s="137"/>
      <c r="N511" s="230"/>
      <c r="O511" s="137"/>
      <c r="P511" s="125"/>
      <c r="Q511" s="125"/>
    </row>
    <row r="512" spans="1:17" x14ac:dyDescent="0.2">
      <c r="A512" s="125"/>
      <c r="B512" s="125"/>
      <c r="C512" s="126"/>
      <c r="D512" s="126"/>
      <c r="E512" s="126"/>
      <c r="F512" s="229">
        <v>45246</v>
      </c>
      <c r="G512" s="227" t="s">
        <v>333</v>
      </c>
      <c r="H512" s="135">
        <f>H513-H511</f>
        <v>217976.22999998927</v>
      </c>
      <c r="I512" s="126"/>
      <c r="J512" s="126"/>
      <c r="K512" s="126"/>
      <c r="L512" s="137"/>
      <c r="M512" s="137"/>
      <c r="N512" s="230"/>
      <c r="O512" s="137"/>
      <c r="P512" s="125"/>
      <c r="Q512" s="125"/>
    </row>
    <row r="513" spans="1:17" x14ac:dyDescent="0.2">
      <c r="A513" s="125"/>
      <c r="B513" s="125"/>
      <c r="C513" s="126"/>
      <c r="D513" s="126"/>
      <c r="E513" s="126"/>
      <c r="F513" s="229"/>
      <c r="G513" s="217"/>
      <c r="H513" s="127">
        <v>68274646.349999994</v>
      </c>
      <c r="I513" s="126"/>
      <c r="J513" s="126"/>
      <c r="K513" s="126"/>
      <c r="L513" s="137"/>
      <c r="M513" s="137"/>
      <c r="N513" s="230"/>
      <c r="O513" s="137"/>
      <c r="P513" s="125"/>
      <c r="Q513" s="125"/>
    </row>
    <row r="514" spans="1:17" x14ac:dyDescent="0.2">
      <c r="A514" s="125"/>
      <c r="B514" s="125"/>
      <c r="C514" s="126"/>
      <c r="D514" s="126"/>
      <c r="E514" s="126"/>
      <c r="F514" s="229">
        <v>45251</v>
      </c>
      <c r="G514" s="227" t="s">
        <v>334</v>
      </c>
      <c r="H514" s="135">
        <f>H515-H513</f>
        <v>57363.640000015497</v>
      </c>
      <c r="I514" s="126"/>
      <c r="J514" s="126"/>
      <c r="K514" s="126"/>
      <c r="L514" s="137"/>
      <c r="M514" s="137"/>
      <c r="N514" s="231"/>
      <c r="O514" s="137"/>
      <c r="P514" s="125"/>
      <c r="Q514" s="125"/>
    </row>
    <row r="515" spans="1:17" x14ac:dyDescent="0.2">
      <c r="A515" s="125"/>
      <c r="B515" s="125"/>
      <c r="C515" s="126"/>
      <c r="D515" s="126"/>
      <c r="E515" s="126"/>
      <c r="F515" s="229"/>
      <c r="G515" s="217"/>
      <c r="H515" s="127">
        <v>68332009.99000001</v>
      </c>
      <c r="I515" s="126"/>
      <c r="J515" s="126"/>
      <c r="K515" s="126"/>
      <c r="L515" s="230"/>
      <c r="M515" s="230"/>
      <c r="N515" s="230"/>
      <c r="O515" s="137"/>
      <c r="P515" s="125"/>
      <c r="Q515" s="125"/>
    </row>
    <row r="516" spans="1:17" x14ac:dyDescent="0.2">
      <c r="A516" s="125"/>
      <c r="B516" s="125"/>
      <c r="C516" s="126"/>
      <c r="D516" s="126"/>
      <c r="E516" s="126"/>
      <c r="F516" s="229">
        <v>45265</v>
      </c>
      <c r="G516" s="227" t="s">
        <v>335</v>
      </c>
      <c r="H516" s="135">
        <f>H517-H515</f>
        <v>79790.949999988079</v>
      </c>
      <c r="I516" s="126"/>
      <c r="J516" s="126"/>
      <c r="K516" s="135"/>
      <c r="L516" s="230"/>
      <c r="M516" s="230"/>
      <c r="N516" s="231"/>
      <c r="O516" s="137"/>
      <c r="P516" s="125"/>
      <c r="Q516" s="125"/>
    </row>
    <row r="517" spans="1:17" x14ac:dyDescent="0.2">
      <c r="A517" s="125"/>
      <c r="B517" s="125"/>
      <c r="C517" s="126"/>
      <c r="D517" s="126"/>
      <c r="E517" s="126"/>
      <c r="F517" s="229"/>
      <c r="G517" s="217"/>
      <c r="H517" s="127">
        <v>68411800.939999998</v>
      </c>
      <c r="I517" s="126"/>
      <c r="J517" s="126"/>
      <c r="K517" s="126"/>
      <c r="L517" s="230"/>
      <c r="M517" s="230"/>
      <c r="N517" s="230"/>
      <c r="O517" s="137"/>
      <c r="P517" s="125"/>
      <c r="Q517" s="125"/>
    </row>
    <row r="518" spans="1:17" x14ac:dyDescent="0.2">
      <c r="A518" s="125"/>
      <c r="B518" s="125"/>
      <c r="C518" s="126"/>
      <c r="D518" s="126"/>
      <c r="E518" s="126"/>
      <c r="F518" s="229">
        <v>45273</v>
      </c>
      <c r="G518" s="227" t="s">
        <v>336</v>
      </c>
      <c r="H518" s="135">
        <f>H519-H517</f>
        <v>1612407.650000006</v>
      </c>
      <c r="I518" s="126"/>
      <c r="J518" s="126"/>
      <c r="K518" s="135"/>
      <c r="L518" s="231"/>
      <c r="M518" s="231"/>
      <c r="N518" s="231"/>
      <c r="O518" s="137"/>
      <c r="P518" s="125"/>
      <c r="Q518" s="125"/>
    </row>
    <row r="519" spans="1:17" x14ac:dyDescent="0.2">
      <c r="A519" s="125"/>
      <c r="B519" s="125"/>
      <c r="C519" s="126"/>
      <c r="D519" s="126"/>
      <c r="E519" s="126"/>
      <c r="F519" s="229"/>
      <c r="G519" s="217"/>
      <c r="H519" s="127">
        <v>70024208.590000004</v>
      </c>
      <c r="I519" s="126"/>
      <c r="J519" s="126"/>
      <c r="K519" s="126"/>
      <c r="L519" s="230"/>
      <c r="M519" s="230"/>
      <c r="N519" s="230"/>
      <c r="O519" s="137"/>
      <c r="P519" s="125"/>
      <c r="Q519" s="125"/>
    </row>
    <row r="520" spans="1:17" x14ac:dyDescent="0.2">
      <c r="A520" s="125"/>
      <c r="B520" s="125"/>
      <c r="C520" s="126"/>
      <c r="D520" s="126"/>
      <c r="E520" s="126"/>
      <c r="F520" s="229">
        <v>45279</v>
      </c>
      <c r="G520" s="227" t="s">
        <v>337</v>
      </c>
      <c r="H520" s="135">
        <f>H521-H519</f>
        <v>94671.70000000298</v>
      </c>
      <c r="I520" s="126"/>
      <c r="J520" s="126"/>
      <c r="K520" s="135"/>
      <c r="L520" s="231"/>
      <c r="M520" s="231"/>
      <c r="N520" s="230"/>
      <c r="O520" s="137"/>
      <c r="P520" s="125"/>
      <c r="Q520" s="125"/>
    </row>
    <row r="521" spans="1:17" x14ac:dyDescent="0.2">
      <c r="A521" s="125"/>
      <c r="B521" s="125"/>
      <c r="C521" s="126"/>
      <c r="D521" s="126"/>
      <c r="E521" s="126"/>
      <c r="F521" s="229"/>
      <c r="G521" s="217"/>
      <c r="H521" s="127">
        <v>70118880.290000007</v>
      </c>
      <c r="I521" s="126"/>
      <c r="J521" s="126"/>
      <c r="K521" s="230"/>
      <c r="L521" s="230"/>
      <c r="M521" s="230"/>
      <c r="N521" s="230"/>
      <c r="O521" s="137"/>
      <c r="P521" s="125"/>
      <c r="Q521" s="125"/>
    </row>
    <row r="522" spans="1:17" x14ac:dyDescent="0.2">
      <c r="A522" s="125"/>
      <c r="B522" s="125"/>
      <c r="C522" s="126"/>
      <c r="D522" s="126"/>
      <c r="E522" s="126"/>
      <c r="F522" s="229">
        <v>45280</v>
      </c>
      <c r="G522" s="227" t="s">
        <v>338</v>
      </c>
      <c r="H522" s="135">
        <f>H523-H521</f>
        <v>2216432.9699999988</v>
      </c>
      <c r="I522" s="126"/>
      <c r="J522" s="126"/>
      <c r="K522" s="135"/>
      <c r="L522" s="230"/>
      <c r="M522" s="230"/>
      <c r="N522" s="230"/>
      <c r="O522" s="137"/>
      <c r="P522" s="125"/>
      <c r="Q522" s="125"/>
    </row>
    <row r="523" spans="1:17" x14ac:dyDescent="0.2">
      <c r="A523" s="125"/>
      <c r="B523" s="125"/>
      <c r="C523" s="126"/>
      <c r="D523" s="126"/>
      <c r="E523" s="126"/>
      <c r="F523" s="229"/>
      <c r="G523" s="217"/>
      <c r="H523" s="127">
        <v>72335313.260000005</v>
      </c>
      <c r="I523" s="126"/>
      <c r="J523" s="126"/>
      <c r="K523" s="137"/>
      <c r="L523" s="137"/>
      <c r="M523" s="137"/>
      <c r="N523" s="137"/>
      <c r="O523" s="137"/>
      <c r="P523" s="125"/>
      <c r="Q523" s="125"/>
    </row>
    <row r="524" spans="1:17" x14ac:dyDescent="0.2">
      <c r="A524" s="125"/>
      <c r="B524" s="125"/>
      <c r="C524" s="126"/>
      <c r="D524" s="126"/>
      <c r="E524" s="126"/>
      <c r="F524" s="229">
        <v>44935</v>
      </c>
      <c r="G524" s="227" t="s">
        <v>339</v>
      </c>
      <c r="H524" s="135">
        <f>H525-H523</f>
        <v>23535.630000010133</v>
      </c>
      <c r="I524" s="126"/>
      <c r="J524" s="126"/>
      <c r="K524" s="135"/>
      <c r="L524" s="216"/>
      <c r="M524" s="216"/>
      <c r="N524" s="216"/>
      <c r="O524" s="137"/>
      <c r="P524" s="125"/>
      <c r="Q524" s="125"/>
    </row>
    <row r="525" spans="1:17" x14ac:dyDescent="0.2">
      <c r="A525" s="125"/>
      <c r="B525" s="125"/>
      <c r="C525" s="126"/>
      <c r="D525" s="126"/>
      <c r="E525" s="126"/>
      <c r="F525" s="229"/>
      <c r="G525" s="217"/>
      <c r="H525" s="127">
        <v>72358848.890000015</v>
      </c>
      <c r="I525" s="126"/>
      <c r="J525" s="126"/>
      <c r="K525" s="126"/>
      <c r="L525" s="137"/>
      <c r="M525" s="137"/>
      <c r="N525" s="137"/>
      <c r="O525" s="137"/>
      <c r="P525" s="125"/>
      <c r="Q525" s="125"/>
    </row>
    <row r="526" spans="1:17" x14ac:dyDescent="0.2">
      <c r="A526" s="125"/>
      <c r="B526" s="125"/>
      <c r="C526" s="126"/>
      <c r="D526" s="126"/>
      <c r="E526" s="126"/>
      <c r="F526" s="229">
        <v>44943</v>
      </c>
      <c r="G526" s="227" t="s">
        <v>340</v>
      </c>
      <c r="H526" s="135">
        <f>H527-H525</f>
        <v>201212.43999999762</v>
      </c>
      <c r="I526" s="126"/>
      <c r="J526" s="126"/>
      <c r="K526" s="135"/>
      <c r="L526" s="216"/>
      <c r="M526" s="216"/>
      <c r="N526" s="216"/>
      <c r="O526" s="137"/>
      <c r="P526" s="125"/>
      <c r="Q526" s="125"/>
    </row>
    <row r="527" spans="1:17" x14ac:dyDescent="0.2">
      <c r="A527" s="125"/>
      <c r="B527" s="125"/>
      <c r="C527" s="126"/>
      <c r="D527" s="126"/>
      <c r="E527" s="126"/>
      <c r="F527" s="229"/>
      <c r="G527" s="217"/>
      <c r="H527" s="127">
        <v>72560061.330000013</v>
      </c>
      <c r="I527" s="126"/>
      <c r="J527" s="126"/>
      <c r="K527" s="126"/>
      <c r="L527" s="137"/>
      <c r="M527" s="137"/>
      <c r="N527" s="137"/>
      <c r="O527" s="137"/>
      <c r="P527" s="125"/>
      <c r="Q527" s="125"/>
    </row>
    <row r="528" spans="1:17" x14ac:dyDescent="0.2">
      <c r="A528" s="125"/>
      <c r="B528" s="125"/>
      <c r="C528" s="126"/>
      <c r="D528" s="126"/>
      <c r="E528" s="126"/>
      <c r="F528" s="229">
        <v>44951</v>
      </c>
      <c r="G528" s="227" t="s">
        <v>341</v>
      </c>
      <c r="H528" s="135">
        <f>H529-H527</f>
        <v>637606.39999999106</v>
      </c>
      <c r="I528" s="126"/>
      <c r="J528" s="126"/>
      <c r="K528" s="135"/>
      <c r="L528" s="216"/>
      <c r="M528" s="216"/>
      <c r="N528" s="216"/>
      <c r="O528" s="137"/>
      <c r="P528" s="125"/>
      <c r="Q528" s="125"/>
    </row>
    <row r="529" spans="1:17" x14ac:dyDescent="0.2">
      <c r="A529" s="125"/>
      <c r="B529" s="125"/>
      <c r="C529" s="126"/>
      <c r="D529" s="126"/>
      <c r="E529" s="126"/>
      <c r="F529" s="229"/>
      <c r="G529" s="217"/>
      <c r="H529" s="127">
        <v>73197667.730000004</v>
      </c>
      <c r="I529" s="126"/>
      <c r="J529" s="126"/>
      <c r="K529" s="126"/>
      <c r="L529" s="137"/>
      <c r="M529" s="137"/>
      <c r="N529" s="137"/>
      <c r="O529" s="137"/>
      <c r="P529" s="125"/>
      <c r="Q529" s="125"/>
    </row>
    <row r="530" spans="1:17" x14ac:dyDescent="0.2">
      <c r="A530" s="125"/>
      <c r="B530" s="125"/>
      <c r="C530" s="126"/>
      <c r="D530" s="126"/>
      <c r="E530" s="126"/>
      <c r="F530" s="229">
        <v>44956</v>
      </c>
      <c r="G530" s="227" t="s">
        <v>342</v>
      </c>
      <c r="H530" s="135">
        <f>H531-H529</f>
        <v>2576</v>
      </c>
      <c r="I530" s="126"/>
      <c r="J530" s="126"/>
      <c r="K530" s="126"/>
      <c r="L530" s="137"/>
      <c r="M530" s="137"/>
      <c r="N530" s="137"/>
      <c r="O530" s="137"/>
      <c r="P530" s="125"/>
      <c r="Q530" s="125"/>
    </row>
    <row r="531" spans="1:17" x14ac:dyDescent="0.2">
      <c r="A531" s="125"/>
      <c r="B531" s="125"/>
      <c r="C531" s="126"/>
      <c r="D531" s="126"/>
      <c r="E531" s="126"/>
      <c r="F531" s="229"/>
      <c r="G531" s="217"/>
      <c r="H531" s="127">
        <v>73200243.730000004</v>
      </c>
      <c r="I531" s="126"/>
      <c r="J531" s="126"/>
      <c r="K531" s="126"/>
      <c r="L531" s="137"/>
      <c r="M531" s="137"/>
      <c r="N531" s="137"/>
      <c r="O531" s="137"/>
      <c r="P531" s="125"/>
      <c r="Q531" s="125"/>
    </row>
    <row r="532" spans="1:17" x14ac:dyDescent="0.2">
      <c r="A532" s="125"/>
      <c r="B532" s="125"/>
      <c r="C532" s="126"/>
      <c r="D532" s="126"/>
      <c r="E532" s="126"/>
      <c r="F532" s="229">
        <v>44963</v>
      </c>
      <c r="G532" s="227" t="s">
        <v>343</v>
      </c>
      <c r="H532" s="135">
        <f>H533-H531</f>
        <v>191564.38000001013</v>
      </c>
      <c r="I532" s="126"/>
      <c r="J532" s="126"/>
      <c r="K532" s="126"/>
      <c r="L532" s="137"/>
      <c r="M532" s="137"/>
      <c r="N532" s="137"/>
      <c r="O532" s="137"/>
      <c r="P532" s="125"/>
      <c r="Q532" s="125"/>
    </row>
    <row r="533" spans="1:17" x14ac:dyDescent="0.2">
      <c r="A533" s="125"/>
      <c r="B533" s="125"/>
      <c r="C533" s="126"/>
      <c r="D533" s="126"/>
      <c r="E533" s="126"/>
      <c r="F533" s="229"/>
      <c r="G533" s="217"/>
      <c r="H533" s="127">
        <v>73391808.110000014</v>
      </c>
      <c r="I533" s="126"/>
      <c r="J533" s="126"/>
      <c r="K533" s="126"/>
      <c r="L533" s="137"/>
      <c r="M533" s="137"/>
      <c r="N533" s="137"/>
      <c r="O533" s="137"/>
      <c r="P533" s="125"/>
      <c r="Q533" s="125"/>
    </row>
    <row r="534" spans="1:17" x14ac:dyDescent="0.2">
      <c r="A534" s="125"/>
      <c r="B534" s="125"/>
      <c r="C534" s="126"/>
      <c r="D534" s="126"/>
      <c r="E534" s="126"/>
      <c r="F534" s="229">
        <v>44970</v>
      </c>
      <c r="G534" s="227" t="s">
        <v>344</v>
      </c>
      <c r="H534" s="135">
        <f>H535-H533</f>
        <v>221824.82999999821</v>
      </c>
      <c r="I534" s="126"/>
      <c r="J534" s="126"/>
      <c r="K534" s="135"/>
      <c r="L534" s="216"/>
      <c r="M534" s="216"/>
      <c r="N534" s="216"/>
      <c r="O534" s="137"/>
      <c r="P534" s="125"/>
      <c r="Q534" s="125"/>
    </row>
    <row r="535" spans="1:17" x14ac:dyDescent="0.2">
      <c r="A535" s="125"/>
      <c r="B535" s="125"/>
      <c r="C535" s="126"/>
      <c r="D535" s="126"/>
      <c r="E535" s="126"/>
      <c r="F535" s="137"/>
      <c r="G535" s="227"/>
      <c r="H535" s="127">
        <v>73613632.940000013</v>
      </c>
      <c r="I535" s="126"/>
      <c r="J535" s="126"/>
      <c r="K535" s="135"/>
      <c r="L535" s="216"/>
      <c r="M535" s="216"/>
      <c r="N535" s="216"/>
      <c r="O535" s="137"/>
      <c r="P535" s="125"/>
      <c r="Q535" s="125"/>
    </row>
    <row r="536" spans="1:17" x14ac:dyDescent="0.2">
      <c r="A536" s="125"/>
      <c r="B536" s="125"/>
      <c r="C536" s="126"/>
      <c r="D536" s="126"/>
      <c r="E536" s="126"/>
      <c r="F536" s="229">
        <v>44974</v>
      </c>
      <c r="G536" s="227" t="s">
        <v>345</v>
      </c>
      <c r="H536" s="135">
        <f>H537-H535</f>
        <v>158213.20000000298</v>
      </c>
      <c r="I536" s="126"/>
      <c r="J536" s="126"/>
      <c r="K536" s="135"/>
      <c r="L536" s="216"/>
      <c r="M536" s="216"/>
      <c r="N536" s="216"/>
      <c r="O536" s="137"/>
      <c r="P536" s="125"/>
      <c r="Q536" s="125"/>
    </row>
    <row r="537" spans="1:17" x14ac:dyDescent="0.2">
      <c r="A537" s="125"/>
      <c r="B537" s="125"/>
      <c r="C537" s="126"/>
      <c r="D537" s="126"/>
      <c r="E537" s="126"/>
      <c r="F537" s="137"/>
      <c r="G537" s="227"/>
      <c r="H537" s="127">
        <v>73771846.140000015</v>
      </c>
      <c r="I537" s="126"/>
      <c r="J537" s="126"/>
      <c r="K537" s="135"/>
      <c r="L537" s="216"/>
      <c r="M537" s="216"/>
      <c r="N537" s="216"/>
      <c r="O537" s="137"/>
      <c r="P537" s="125"/>
      <c r="Q537" s="125"/>
    </row>
    <row r="538" spans="1:17" x14ac:dyDescent="0.2">
      <c r="A538" s="125"/>
      <c r="B538" s="125"/>
      <c r="C538" s="126"/>
      <c r="D538" s="126"/>
      <c r="E538" s="126"/>
      <c r="F538" s="229">
        <v>44981</v>
      </c>
      <c r="G538" s="227" t="s">
        <v>346</v>
      </c>
      <c r="H538" s="135">
        <f>H539-H537</f>
        <v>123059.37999999523</v>
      </c>
      <c r="I538" s="126"/>
      <c r="J538" s="126"/>
      <c r="K538" s="135"/>
      <c r="L538" s="216"/>
      <c r="M538" s="216"/>
      <c r="N538" s="216"/>
      <c r="O538" s="137"/>
      <c r="P538" s="125"/>
      <c r="Q538" s="125"/>
    </row>
    <row r="539" spans="1:17" x14ac:dyDescent="0.2">
      <c r="A539" s="125"/>
      <c r="B539" s="125"/>
      <c r="C539" s="126"/>
      <c r="D539" s="126"/>
      <c r="E539" s="126"/>
      <c r="F539" s="137"/>
      <c r="G539" s="227"/>
      <c r="H539" s="127">
        <v>73894905.520000011</v>
      </c>
      <c r="I539" s="126"/>
      <c r="J539" s="126"/>
      <c r="K539" s="135"/>
      <c r="L539" s="216"/>
      <c r="M539" s="216"/>
      <c r="N539" s="216"/>
      <c r="O539" s="137"/>
      <c r="P539" s="125"/>
      <c r="Q539" s="125"/>
    </row>
    <row r="540" spans="1:17" x14ac:dyDescent="0.2">
      <c r="A540" s="125"/>
      <c r="B540" s="125"/>
      <c r="C540" s="126"/>
      <c r="D540" s="126"/>
      <c r="E540" s="126"/>
      <c r="F540" s="229">
        <v>44985</v>
      </c>
      <c r="G540" s="227" t="s">
        <v>347</v>
      </c>
      <c r="H540" s="135">
        <f>H541-H539</f>
        <v>1372104.7599999905</v>
      </c>
      <c r="I540" s="126"/>
      <c r="J540" s="126"/>
      <c r="K540" s="135"/>
      <c r="L540" s="216"/>
      <c r="M540" s="216"/>
      <c r="N540" s="216"/>
      <c r="O540" s="137"/>
      <c r="P540" s="125"/>
      <c r="Q540" s="125"/>
    </row>
    <row r="541" spans="1:17" x14ac:dyDescent="0.2">
      <c r="A541" s="125"/>
      <c r="B541" s="125"/>
      <c r="C541" s="126"/>
      <c r="D541" s="126"/>
      <c r="E541" s="126"/>
      <c r="F541" s="137"/>
      <c r="G541" s="227"/>
      <c r="H541" s="127">
        <v>75267010.280000001</v>
      </c>
      <c r="I541" s="126"/>
      <c r="J541" s="126"/>
      <c r="K541" s="135"/>
      <c r="L541" s="216"/>
      <c r="M541" s="216"/>
      <c r="N541" s="216"/>
      <c r="O541" s="137"/>
      <c r="P541" s="125"/>
      <c r="Q541" s="125"/>
    </row>
    <row r="542" spans="1:17" x14ac:dyDescent="0.2">
      <c r="A542" s="125"/>
      <c r="B542" s="125"/>
      <c r="C542" s="126"/>
      <c r="D542" s="126"/>
      <c r="E542" s="126"/>
      <c r="F542" s="229">
        <v>44985</v>
      </c>
      <c r="G542" s="216" t="s">
        <v>348</v>
      </c>
      <c r="H542" s="135">
        <f>H543-H541</f>
        <v>-6100</v>
      </c>
      <c r="I542" s="126"/>
      <c r="J542" s="126"/>
      <c r="K542" s="135"/>
      <c r="L542" s="216"/>
      <c r="M542" s="216"/>
      <c r="N542" s="216"/>
      <c r="O542" s="137"/>
      <c r="P542" s="125"/>
      <c r="Q542" s="125"/>
    </row>
    <row r="543" spans="1:17" x14ac:dyDescent="0.2">
      <c r="A543" s="125"/>
      <c r="B543" s="125"/>
      <c r="C543" s="126"/>
      <c r="D543" s="126"/>
      <c r="E543" s="126"/>
      <c r="F543" s="137"/>
      <c r="G543" s="232"/>
      <c r="H543" s="131">
        <v>75260910.280000001</v>
      </c>
      <c r="I543" s="126"/>
      <c r="J543" s="126"/>
      <c r="K543" s="126"/>
      <c r="L543" s="137"/>
      <c r="M543" s="137"/>
      <c r="N543" s="137"/>
      <c r="O543" s="137"/>
      <c r="P543" s="125"/>
      <c r="Q543" s="125"/>
    </row>
    <row r="544" spans="1:17" x14ac:dyDescent="0.2">
      <c r="A544" s="125"/>
      <c r="B544" s="125"/>
      <c r="C544" s="126"/>
      <c r="D544" s="126"/>
      <c r="E544" s="126"/>
      <c r="F544" s="229">
        <v>44991</v>
      </c>
      <c r="G544" s="227" t="s">
        <v>349</v>
      </c>
      <c r="H544" s="135">
        <f>H545-H543</f>
        <v>156097.46000000834</v>
      </c>
      <c r="I544" s="126"/>
      <c r="J544" s="126"/>
      <c r="K544" s="126"/>
      <c r="L544" s="137"/>
      <c r="M544" s="137"/>
      <c r="N544" s="137"/>
      <c r="O544" s="137"/>
      <c r="P544" s="125"/>
      <c r="Q544" s="125"/>
    </row>
    <row r="545" spans="1:17" x14ac:dyDescent="0.2">
      <c r="A545" s="125"/>
      <c r="B545" s="125"/>
      <c r="C545" s="126"/>
      <c r="D545" s="126"/>
      <c r="E545" s="126"/>
      <c r="F545" s="137"/>
      <c r="G545" s="232"/>
      <c r="H545" s="131">
        <v>75417007.74000001</v>
      </c>
      <c r="I545" s="126"/>
      <c r="J545" s="126"/>
      <c r="K545" s="126"/>
      <c r="L545" s="137"/>
      <c r="M545" s="137"/>
      <c r="N545" s="137"/>
      <c r="O545" s="137"/>
      <c r="P545" s="125"/>
      <c r="Q545" s="125"/>
    </row>
    <row r="546" spans="1:17" x14ac:dyDescent="0.2">
      <c r="A546" s="125"/>
      <c r="B546" s="125"/>
      <c r="C546" s="126"/>
      <c r="D546" s="126"/>
      <c r="E546" s="126"/>
      <c r="F546" s="229">
        <v>44992</v>
      </c>
      <c r="G546" s="232" t="s">
        <v>350</v>
      </c>
      <c r="H546" s="135">
        <f>H547-H545</f>
        <v>-1012.0300000011921</v>
      </c>
      <c r="I546" s="126"/>
      <c r="J546" s="126"/>
      <c r="K546" s="126"/>
      <c r="L546" s="137"/>
      <c r="M546" s="137"/>
      <c r="N546" s="137"/>
      <c r="O546" s="137"/>
      <c r="P546" s="125"/>
      <c r="Q546" s="125"/>
    </row>
    <row r="547" spans="1:17" x14ac:dyDescent="0.2">
      <c r="A547" s="125"/>
      <c r="B547" s="125"/>
      <c r="C547" s="126"/>
      <c r="D547" s="126"/>
      <c r="E547" s="126"/>
      <c r="F547" s="137"/>
      <c r="G547" s="232"/>
      <c r="H547" s="131">
        <v>75415995.710000008</v>
      </c>
      <c r="I547" s="126"/>
      <c r="J547" s="126"/>
      <c r="K547" s="126"/>
      <c r="L547" s="137"/>
      <c r="M547" s="137"/>
      <c r="N547" s="137"/>
      <c r="O547" s="137"/>
      <c r="P547" s="125"/>
      <c r="Q547" s="125"/>
    </row>
    <row r="548" spans="1:17" x14ac:dyDescent="0.2">
      <c r="A548" s="125"/>
      <c r="B548" s="125"/>
      <c r="C548" s="126"/>
      <c r="D548" s="126"/>
      <c r="E548" s="126"/>
      <c r="F548" s="229">
        <v>44992</v>
      </c>
      <c r="G548" s="227" t="s">
        <v>351</v>
      </c>
      <c r="H548" s="135">
        <f>H549-H547</f>
        <v>1012.0300000011921</v>
      </c>
      <c r="I548" s="126"/>
      <c r="J548" s="126"/>
      <c r="K548" s="126"/>
      <c r="L548" s="137"/>
      <c r="M548" s="137"/>
      <c r="N548" s="137"/>
      <c r="O548" s="137"/>
      <c r="P548" s="125"/>
      <c r="Q548" s="125"/>
    </row>
    <row r="549" spans="1:17" x14ac:dyDescent="0.2">
      <c r="A549" s="125"/>
      <c r="B549" s="125"/>
      <c r="C549" s="126"/>
      <c r="D549" s="126"/>
      <c r="E549" s="126"/>
      <c r="F549" s="229"/>
      <c r="G549" s="227"/>
      <c r="H549" s="131">
        <v>75417007.74000001</v>
      </c>
      <c r="I549" s="126"/>
      <c r="J549" s="126"/>
      <c r="K549" s="126"/>
      <c r="L549" s="137"/>
      <c r="M549" s="137"/>
      <c r="N549" s="137"/>
      <c r="O549" s="137"/>
      <c r="P549" s="125"/>
      <c r="Q549" s="125"/>
    </row>
    <row r="550" spans="1:17" x14ac:dyDescent="0.2">
      <c r="A550" s="125"/>
      <c r="B550" s="125"/>
      <c r="C550" s="126"/>
      <c r="D550" s="126"/>
      <c r="E550" s="126"/>
      <c r="F550" s="229">
        <v>44998</v>
      </c>
      <c r="G550" s="227" t="s">
        <v>352</v>
      </c>
      <c r="H550" s="135">
        <f>H551-H549</f>
        <v>485387.75</v>
      </c>
      <c r="I550" s="126"/>
      <c r="J550" s="126"/>
      <c r="K550" s="126"/>
      <c r="L550" s="137"/>
      <c r="M550" s="137"/>
      <c r="N550" s="137"/>
      <c r="O550" s="137"/>
      <c r="P550" s="125"/>
      <c r="Q550" s="125"/>
    </row>
    <row r="551" spans="1:17" x14ac:dyDescent="0.2">
      <c r="A551" s="125"/>
      <c r="B551" s="125"/>
      <c r="C551" s="126"/>
      <c r="D551" s="126"/>
      <c r="E551" s="126"/>
      <c r="F551" s="229"/>
      <c r="G551" s="227"/>
      <c r="H551" s="131">
        <v>75902395.49000001</v>
      </c>
      <c r="I551" s="126"/>
      <c r="J551" s="126"/>
      <c r="K551" s="126"/>
      <c r="L551" s="137"/>
      <c r="M551" s="137"/>
      <c r="N551" s="137"/>
      <c r="O551" s="137"/>
      <c r="P551" s="125"/>
      <c r="Q551" s="125"/>
    </row>
    <row r="552" spans="1:17" x14ac:dyDescent="0.2">
      <c r="A552" s="125"/>
      <c r="B552" s="125"/>
      <c r="C552" s="126"/>
      <c r="D552" s="126"/>
      <c r="E552" s="126"/>
      <c r="F552" s="229">
        <v>45002</v>
      </c>
      <c r="G552" s="227" t="s">
        <v>353</v>
      </c>
      <c r="H552" s="135">
        <f>H553-H551</f>
        <v>32475.95000000298</v>
      </c>
      <c r="I552" s="126"/>
      <c r="J552" s="126"/>
      <c r="K552" s="126"/>
      <c r="L552" s="137"/>
      <c r="M552" s="137"/>
      <c r="N552" s="137"/>
      <c r="O552" s="137"/>
      <c r="P552" s="125"/>
      <c r="Q552" s="125"/>
    </row>
    <row r="553" spans="1:17" x14ac:dyDescent="0.2">
      <c r="A553" s="125"/>
      <c r="B553" s="125"/>
      <c r="C553" s="126"/>
      <c r="D553" s="126"/>
      <c r="E553" s="126"/>
      <c r="F553" s="229"/>
      <c r="G553" s="227"/>
      <c r="H553" s="131">
        <v>75934871.440000013</v>
      </c>
      <c r="I553" s="126"/>
      <c r="J553" s="126"/>
      <c r="K553" s="126"/>
      <c r="L553" s="137"/>
      <c r="M553" s="137"/>
      <c r="N553" s="137"/>
      <c r="O553" s="137"/>
      <c r="P553" s="125"/>
      <c r="Q553" s="125"/>
    </row>
    <row r="554" spans="1:17" x14ac:dyDescent="0.2">
      <c r="A554" s="125"/>
      <c r="B554" s="125"/>
      <c r="C554" s="126"/>
      <c r="D554" s="126"/>
      <c r="E554" s="126"/>
      <c r="F554" s="229">
        <v>45012</v>
      </c>
      <c r="G554" s="227" t="s">
        <v>354</v>
      </c>
      <c r="H554" s="135">
        <f>H555-H553</f>
        <v>1046761.7499999851</v>
      </c>
      <c r="I554" s="126"/>
      <c r="J554" s="126"/>
      <c r="K554" s="126"/>
      <c r="L554" s="137"/>
      <c r="M554" s="137"/>
      <c r="N554" s="137"/>
      <c r="O554" s="137"/>
      <c r="P554" s="125"/>
      <c r="Q554" s="125"/>
    </row>
    <row r="555" spans="1:17" x14ac:dyDescent="0.2">
      <c r="A555" s="125"/>
      <c r="B555" s="125"/>
      <c r="C555" s="126"/>
      <c r="D555" s="126"/>
      <c r="E555" s="126"/>
      <c r="F555" s="229"/>
      <c r="G555" s="227"/>
      <c r="H555" s="131">
        <v>76981633.189999998</v>
      </c>
      <c r="I555" s="126"/>
      <c r="J555" s="126"/>
      <c r="K555" s="126"/>
      <c r="L555" s="137"/>
      <c r="M555" s="137"/>
      <c r="N555" s="137"/>
      <c r="O555" s="137"/>
      <c r="P555" s="125"/>
      <c r="Q555" s="125"/>
    </row>
    <row r="556" spans="1:17" x14ac:dyDescent="0.2">
      <c r="A556" s="125"/>
      <c r="B556" s="125"/>
      <c r="C556" s="126"/>
      <c r="D556" s="126"/>
      <c r="E556" s="126"/>
      <c r="F556" s="229">
        <v>45036</v>
      </c>
      <c r="G556" s="227" t="s">
        <v>355</v>
      </c>
      <c r="H556" s="135">
        <f>H557-H555</f>
        <v>104233.43000000715</v>
      </c>
      <c r="I556" s="126"/>
      <c r="J556" s="126"/>
      <c r="K556" s="126"/>
      <c r="L556" s="137"/>
      <c r="M556" s="137"/>
      <c r="N556" s="137"/>
      <c r="O556" s="137"/>
      <c r="P556" s="125"/>
      <c r="Q556" s="125"/>
    </row>
    <row r="557" spans="1:17" x14ac:dyDescent="0.2">
      <c r="A557" s="125"/>
      <c r="B557" s="125"/>
      <c r="C557" s="126"/>
      <c r="D557" s="126"/>
      <c r="E557" s="126"/>
      <c r="F557" s="137"/>
      <c r="G557" s="232"/>
      <c r="H557" s="131">
        <v>77085866.620000005</v>
      </c>
      <c r="I557" s="126"/>
      <c r="J557" s="126"/>
      <c r="K557" s="126"/>
      <c r="L557" s="137"/>
      <c r="M557" s="137"/>
      <c r="N557" s="137"/>
      <c r="O557" s="137"/>
      <c r="P557" s="125"/>
      <c r="Q557" s="125"/>
    </row>
    <row r="558" spans="1:17" x14ac:dyDescent="0.2">
      <c r="A558" s="125"/>
      <c r="B558" s="125"/>
      <c r="C558" s="126"/>
      <c r="D558" s="126"/>
      <c r="E558" s="126"/>
      <c r="F558" s="229">
        <v>45064</v>
      </c>
      <c r="G558" s="227" t="s">
        <v>356</v>
      </c>
      <c r="H558" s="135">
        <f>H559-H557</f>
        <v>1287764.2600000054</v>
      </c>
      <c r="I558" s="126"/>
      <c r="J558" s="126"/>
      <c r="K558" s="135"/>
      <c r="L558" s="216"/>
      <c r="M558" s="216"/>
      <c r="N558" s="216"/>
      <c r="O558" s="137"/>
      <c r="P558" s="125"/>
      <c r="Q558" s="125"/>
    </row>
    <row r="559" spans="1:17" x14ac:dyDescent="0.2">
      <c r="A559" s="125"/>
      <c r="B559" s="125"/>
      <c r="C559" s="126"/>
      <c r="D559" s="126"/>
      <c r="E559" s="126"/>
      <c r="F559" s="137"/>
      <c r="G559" s="125"/>
      <c r="H559" s="130">
        <v>78373630.88000001</v>
      </c>
      <c r="I559" s="132"/>
      <c r="J559" s="132"/>
      <c r="K559" s="132"/>
      <c r="L559" s="137"/>
      <c r="M559" s="137"/>
      <c r="N559" s="137"/>
      <c r="O559" s="137"/>
      <c r="P559" s="125"/>
      <c r="Q559" s="125"/>
    </row>
    <row r="560" spans="1:17" x14ac:dyDescent="0.2">
      <c r="A560" s="125"/>
      <c r="B560" s="125"/>
      <c r="C560" s="126"/>
      <c r="D560" s="126"/>
      <c r="E560" s="126"/>
      <c r="F560" s="229">
        <v>45071</v>
      </c>
      <c r="G560" s="227" t="s">
        <v>357</v>
      </c>
      <c r="H560" s="135">
        <f>H561-H559</f>
        <v>51221.820000007749</v>
      </c>
      <c r="I560" s="132"/>
      <c r="J560" s="132"/>
      <c r="K560" s="135"/>
      <c r="L560" s="216"/>
      <c r="M560" s="216"/>
      <c r="N560" s="216"/>
      <c r="O560" s="137"/>
      <c r="P560" s="125"/>
      <c r="Q560" s="125"/>
    </row>
    <row r="561" spans="1:17" x14ac:dyDescent="0.2">
      <c r="A561" s="125"/>
      <c r="B561" s="125"/>
      <c r="C561" s="126"/>
      <c r="D561" s="126"/>
      <c r="E561" s="126"/>
      <c r="F561" s="137"/>
      <c r="G561" s="137"/>
      <c r="H561" s="233">
        <v>78424852.700000018</v>
      </c>
      <c r="I561" s="132"/>
      <c r="J561" s="132"/>
      <c r="K561" s="132"/>
      <c r="L561" s="137"/>
      <c r="M561" s="137"/>
      <c r="N561" s="137"/>
      <c r="O561" s="137"/>
      <c r="P561" s="125"/>
      <c r="Q561" s="125"/>
    </row>
    <row r="562" spans="1:17" x14ac:dyDescent="0.2">
      <c r="A562" s="125"/>
      <c r="B562" s="125"/>
      <c r="C562" s="126"/>
      <c r="D562" s="126"/>
      <c r="E562" s="126"/>
      <c r="F562" s="229">
        <v>45083</v>
      </c>
      <c r="G562" s="227" t="s">
        <v>358</v>
      </c>
      <c r="H562" s="135">
        <f>H563-H561</f>
        <v>3261405.4099999964</v>
      </c>
      <c r="I562" s="126"/>
      <c r="J562" s="126"/>
      <c r="K562" s="135"/>
      <c r="L562" s="216"/>
      <c r="M562" s="216"/>
      <c r="N562" s="216"/>
      <c r="O562" s="137"/>
      <c r="P562" s="125"/>
      <c r="Q562" s="125"/>
    </row>
    <row r="563" spans="1:17" x14ac:dyDescent="0.2">
      <c r="A563" s="125"/>
      <c r="B563" s="125"/>
      <c r="C563" s="126"/>
      <c r="D563" s="126"/>
      <c r="E563" s="126"/>
      <c r="F563" s="137"/>
      <c r="G563" s="234"/>
      <c r="H563" s="135">
        <v>81686258.110000014</v>
      </c>
      <c r="I563" s="126"/>
      <c r="J563" s="126"/>
      <c r="K563" s="126"/>
      <c r="L563" s="137"/>
      <c r="M563" s="137"/>
      <c r="N563" s="137"/>
      <c r="O563" s="137"/>
      <c r="P563" s="125"/>
      <c r="Q563" s="125"/>
    </row>
    <row r="564" spans="1:17" x14ac:dyDescent="0.2">
      <c r="A564" s="125"/>
      <c r="B564" s="125"/>
      <c r="C564" s="126"/>
      <c r="D564" s="126"/>
      <c r="E564" s="126"/>
      <c r="F564" s="229">
        <v>45089</v>
      </c>
      <c r="G564" s="227" t="s">
        <v>359</v>
      </c>
      <c r="H564" s="135">
        <f>H565-H563</f>
        <v>2023124.599999994</v>
      </c>
      <c r="I564" s="126"/>
      <c r="J564" s="126"/>
      <c r="K564" s="126"/>
      <c r="L564" s="137"/>
      <c r="M564" s="137"/>
      <c r="N564" s="137"/>
      <c r="O564" s="137"/>
      <c r="P564" s="125"/>
      <c r="Q564" s="125"/>
    </row>
    <row r="565" spans="1:17" x14ac:dyDescent="0.2">
      <c r="A565" s="125"/>
      <c r="B565" s="125"/>
      <c r="C565" s="126"/>
      <c r="D565" s="126"/>
      <c r="E565" s="126"/>
      <c r="F565" s="137"/>
      <c r="G565" s="234"/>
      <c r="H565" s="135">
        <v>83709382.710000008</v>
      </c>
      <c r="I565" s="126"/>
      <c r="J565" s="126"/>
      <c r="K565" s="126"/>
      <c r="L565" s="137"/>
      <c r="M565" s="137"/>
      <c r="N565" s="137"/>
      <c r="O565" s="137"/>
      <c r="P565" s="125"/>
      <c r="Q565" s="125"/>
    </row>
    <row r="566" spans="1:17" x14ac:dyDescent="0.2">
      <c r="A566" s="125"/>
      <c r="B566" s="125"/>
      <c r="C566" s="126"/>
      <c r="D566" s="126"/>
      <c r="E566" s="126"/>
      <c r="F566" s="229">
        <v>45099</v>
      </c>
      <c r="G566" s="227" t="s">
        <v>360</v>
      </c>
      <c r="H566" s="135">
        <f>H567-H565</f>
        <v>1487245.1300000101</v>
      </c>
      <c r="I566" s="126"/>
      <c r="J566" s="126"/>
      <c r="K566" s="126"/>
      <c r="L566" s="137"/>
      <c r="M566" s="137"/>
      <c r="N566" s="137"/>
      <c r="O566" s="137"/>
      <c r="P566" s="125"/>
      <c r="Q566" s="125"/>
    </row>
    <row r="567" spans="1:17" x14ac:dyDescent="0.2">
      <c r="A567" s="125"/>
      <c r="B567" s="125"/>
      <c r="C567" s="126"/>
      <c r="D567" s="126"/>
      <c r="E567" s="126"/>
      <c r="F567" s="137"/>
      <c r="G567" s="234"/>
      <c r="H567" s="135">
        <v>85196627.840000018</v>
      </c>
      <c r="I567" s="126"/>
      <c r="J567" s="126"/>
      <c r="K567" s="126"/>
      <c r="L567" s="137"/>
      <c r="M567" s="137"/>
      <c r="N567" s="137"/>
      <c r="O567" s="137"/>
      <c r="P567" s="125"/>
      <c r="Q567" s="125"/>
    </row>
    <row r="568" spans="1:17" x14ac:dyDescent="0.2">
      <c r="A568" s="125"/>
      <c r="B568" s="125"/>
      <c r="C568" s="126"/>
      <c r="D568" s="126"/>
      <c r="E568" s="126"/>
      <c r="F568" s="229">
        <v>45114</v>
      </c>
      <c r="G568" s="227" t="s">
        <v>361</v>
      </c>
      <c r="H568" s="135">
        <f>H569-H567</f>
        <v>1327161.0199999958</v>
      </c>
      <c r="I568" s="126"/>
      <c r="J568" s="126"/>
      <c r="K568" s="126"/>
      <c r="L568" s="137"/>
      <c r="M568" s="137"/>
      <c r="N568" s="137"/>
      <c r="O568" s="137"/>
      <c r="P568" s="125"/>
      <c r="Q568" s="125"/>
    </row>
    <row r="569" spans="1:17" x14ac:dyDescent="0.2">
      <c r="A569" s="125"/>
      <c r="B569" s="125"/>
      <c r="C569" s="126"/>
      <c r="D569" s="126"/>
      <c r="E569" s="126"/>
      <c r="F569" s="137"/>
      <c r="G569" s="234"/>
      <c r="H569" s="135">
        <v>86523788.860000014</v>
      </c>
      <c r="I569" s="126"/>
      <c r="J569" s="126"/>
      <c r="K569" s="126"/>
      <c r="L569" s="137"/>
      <c r="M569" s="137"/>
      <c r="N569" s="137"/>
      <c r="O569" s="137"/>
      <c r="P569" s="125"/>
      <c r="Q569" s="125"/>
    </row>
    <row r="570" spans="1:17" x14ac:dyDescent="0.2">
      <c r="A570" s="125"/>
      <c r="B570" s="125"/>
      <c r="C570" s="126"/>
      <c r="D570" s="126"/>
      <c r="E570" s="126"/>
      <c r="F570" s="229">
        <v>45125</v>
      </c>
      <c r="G570" s="234" t="s">
        <v>362</v>
      </c>
      <c r="H570" s="135">
        <f>H571-H569</f>
        <v>950516.68000000715</v>
      </c>
      <c r="I570" s="126"/>
      <c r="J570" s="126"/>
      <c r="K570" s="126"/>
      <c r="L570" s="137"/>
      <c r="M570" s="137"/>
      <c r="N570" s="137"/>
      <c r="O570" s="137"/>
      <c r="P570" s="125"/>
      <c r="Q570" s="125"/>
    </row>
    <row r="571" spans="1:17" x14ac:dyDescent="0.2">
      <c r="A571" s="125"/>
      <c r="B571" s="125"/>
      <c r="C571" s="126"/>
      <c r="D571" s="126"/>
      <c r="E571" s="126"/>
      <c r="F571" s="137"/>
      <c r="G571" s="235"/>
      <c r="H571" s="126">
        <v>87474305.540000021</v>
      </c>
      <c r="I571" s="126"/>
      <c r="J571" s="126"/>
      <c r="K571" s="135"/>
      <c r="L571" s="216"/>
      <c r="M571" s="216"/>
      <c r="N571" s="216"/>
      <c r="O571" s="137"/>
      <c r="P571" s="125"/>
      <c r="Q571" s="125"/>
    </row>
    <row r="572" spans="1:17" x14ac:dyDescent="0.2">
      <c r="A572" s="125"/>
      <c r="B572" s="125"/>
      <c r="C572" s="126"/>
      <c r="D572" s="126"/>
      <c r="E572" s="126"/>
      <c r="F572" s="229">
        <v>45127</v>
      </c>
      <c r="G572" s="234" t="s">
        <v>363</v>
      </c>
      <c r="H572" s="135">
        <f>H573-H571</f>
        <v>25155.279999986291</v>
      </c>
      <c r="I572" s="126"/>
      <c r="J572" s="236"/>
      <c r="K572" s="135"/>
      <c r="L572" s="216"/>
      <c r="M572" s="216"/>
      <c r="N572" s="216"/>
      <c r="O572" s="137"/>
      <c r="P572" s="125"/>
      <c r="Q572" s="125"/>
    </row>
    <row r="573" spans="1:17" x14ac:dyDescent="0.2">
      <c r="A573" s="125"/>
      <c r="B573" s="125"/>
      <c r="C573" s="126"/>
      <c r="D573" s="126"/>
      <c r="E573" s="126"/>
      <c r="F573" s="137"/>
      <c r="G573" s="235"/>
      <c r="H573" s="237">
        <v>87499460.820000008</v>
      </c>
      <c r="I573" s="126"/>
      <c r="J573" s="237"/>
      <c r="K573" s="135"/>
      <c r="L573" s="216"/>
      <c r="M573" s="216"/>
      <c r="N573" s="216"/>
      <c r="O573" s="137"/>
      <c r="P573" s="125"/>
      <c r="Q573" s="125"/>
    </row>
    <row r="574" spans="1:17" x14ac:dyDescent="0.2">
      <c r="A574" s="125"/>
      <c r="B574" s="125"/>
      <c r="C574" s="126"/>
      <c r="D574" s="126"/>
      <c r="E574" s="126"/>
      <c r="F574" s="229">
        <v>45142</v>
      </c>
      <c r="G574" s="234" t="s">
        <v>377</v>
      </c>
      <c r="H574" s="135">
        <f>H575-H573</f>
        <v>2177558.8700000048</v>
      </c>
      <c r="I574" s="126"/>
      <c r="J574" s="238"/>
      <c r="K574" s="135"/>
      <c r="L574" s="216"/>
      <c r="M574" s="216"/>
      <c r="N574" s="216"/>
      <c r="O574" s="137"/>
      <c r="P574" s="125"/>
      <c r="Q574" s="125"/>
    </row>
    <row r="575" spans="1:17" x14ac:dyDescent="0.2">
      <c r="A575" s="125"/>
      <c r="B575" s="125"/>
      <c r="C575" s="126"/>
      <c r="D575" s="126"/>
      <c r="E575" s="126"/>
      <c r="F575" s="137"/>
      <c r="G575" s="235"/>
      <c r="H575" s="135">
        <v>89677019.690000013</v>
      </c>
      <c r="I575" s="126"/>
      <c r="J575" s="126"/>
      <c r="K575" s="135"/>
      <c r="L575" s="216"/>
      <c r="M575" s="216"/>
      <c r="N575" s="216"/>
      <c r="O575" s="137"/>
      <c r="P575" s="125"/>
      <c r="Q575" s="125"/>
    </row>
    <row r="576" spans="1:17" x14ac:dyDescent="0.2">
      <c r="A576" s="125"/>
      <c r="B576" s="125"/>
      <c r="C576" s="126"/>
      <c r="D576" s="126"/>
      <c r="E576" s="126"/>
      <c r="F576" s="229">
        <v>45149</v>
      </c>
      <c r="G576" s="255" t="s">
        <v>378</v>
      </c>
      <c r="H576" s="135">
        <f>H577-H575</f>
        <v>-32989.34999999404</v>
      </c>
      <c r="I576" s="126"/>
      <c r="J576" s="127" t="s">
        <v>388</v>
      </c>
      <c r="K576" s="135"/>
      <c r="L576" s="216"/>
      <c r="M576" s="216"/>
      <c r="N576" s="216"/>
      <c r="O576" s="137"/>
      <c r="P576" s="125"/>
      <c r="Q576" s="125"/>
    </row>
    <row r="577" spans="1:17" x14ac:dyDescent="0.2">
      <c r="A577" s="125"/>
      <c r="B577" s="125"/>
      <c r="C577" s="126"/>
      <c r="D577" s="126"/>
      <c r="E577" s="126"/>
      <c r="F577" s="137"/>
      <c r="G577" s="235"/>
      <c r="H577" s="126">
        <v>89644030.340000018</v>
      </c>
      <c r="I577" s="126"/>
      <c r="J577" s="126"/>
      <c r="K577" s="135"/>
      <c r="L577" s="216"/>
      <c r="M577" s="216"/>
      <c r="N577" s="216"/>
      <c r="O577" s="137"/>
      <c r="P577" s="125"/>
      <c r="Q577" s="125"/>
    </row>
    <row r="578" spans="1:17" x14ac:dyDescent="0.2">
      <c r="A578" s="125"/>
      <c r="B578" s="125"/>
      <c r="C578" s="126"/>
      <c r="D578" s="126"/>
      <c r="E578" s="126"/>
      <c r="F578" s="229">
        <v>45152</v>
      </c>
      <c r="G578" s="234" t="s">
        <v>380</v>
      </c>
      <c r="H578" s="135">
        <f>H579-H577</f>
        <v>32989.34999999404</v>
      </c>
      <c r="I578" s="126"/>
      <c r="J578" s="126" t="s">
        <v>389</v>
      </c>
      <c r="K578" s="126"/>
      <c r="L578" s="137"/>
      <c r="M578" s="137"/>
      <c r="N578" s="137"/>
      <c r="O578" s="137"/>
      <c r="P578" s="125"/>
      <c r="Q578" s="125"/>
    </row>
    <row r="579" spans="1:17" x14ac:dyDescent="0.2">
      <c r="A579" s="125"/>
      <c r="B579" s="125"/>
      <c r="C579" s="126"/>
      <c r="D579" s="126"/>
      <c r="E579" s="126"/>
      <c r="F579" s="137"/>
      <c r="G579" s="137"/>
      <c r="H579" s="127">
        <v>89677019.690000013</v>
      </c>
      <c r="I579" s="126"/>
      <c r="J579" s="126"/>
      <c r="K579" s="135"/>
      <c r="L579" s="216"/>
      <c r="M579" s="216"/>
      <c r="N579" s="216"/>
      <c r="O579" s="137"/>
      <c r="P579" s="125"/>
      <c r="Q579" s="125"/>
    </row>
    <row r="580" spans="1:17" x14ac:dyDescent="0.2">
      <c r="A580" s="125"/>
      <c r="B580" s="125"/>
      <c r="C580" s="126"/>
      <c r="D580" s="126"/>
      <c r="E580" s="126"/>
      <c r="F580" s="229">
        <v>45152</v>
      </c>
      <c r="G580" s="234" t="s">
        <v>382</v>
      </c>
      <c r="H580" s="135">
        <f>H581-H579</f>
        <v>806749.12000000477</v>
      </c>
      <c r="I580" s="126"/>
      <c r="J580" s="126"/>
      <c r="K580" s="126"/>
      <c r="L580" s="137"/>
      <c r="M580" s="137"/>
      <c r="N580" s="137"/>
      <c r="O580" s="137"/>
      <c r="P580" s="125"/>
      <c r="Q580" s="125"/>
    </row>
    <row r="581" spans="1:17" x14ac:dyDescent="0.2">
      <c r="A581" s="125"/>
      <c r="B581" s="125"/>
      <c r="C581" s="126"/>
      <c r="D581" s="126"/>
      <c r="E581" s="126"/>
      <c r="F581" s="137"/>
      <c r="G581" s="137"/>
      <c r="H581" s="127">
        <v>90483768.810000017</v>
      </c>
      <c r="I581" s="126"/>
      <c r="J581" s="126"/>
      <c r="K581" s="135"/>
      <c r="L581" s="228"/>
      <c r="M581" s="228"/>
      <c r="N581" s="228"/>
      <c r="O581" s="137"/>
      <c r="P581" s="125"/>
      <c r="Q581" s="125"/>
    </row>
    <row r="582" spans="1:17" x14ac:dyDescent="0.2">
      <c r="A582" s="125"/>
      <c r="B582" s="125"/>
      <c r="C582" s="126"/>
      <c r="D582" s="126"/>
      <c r="E582" s="126"/>
      <c r="F582" s="229">
        <v>45159</v>
      </c>
      <c r="G582" s="234" t="s">
        <v>390</v>
      </c>
      <c r="H582" s="127">
        <f>H583-H581</f>
        <v>1156164.3799999952</v>
      </c>
      <c r="I582" s="126"/>
      <c r="J582" s="126"/>
      <c r="K582" s="126"/>
      <c r="L582" s="137"/>
      <c r="M582" s="137"/>
      <c r="N582" s="137"/>
      <c r="O582" s="137"/>
      <c r="P582" s="125"/>
      <c r="Q582" s="125"/>
    </row>
    <row r="583" spans="1:17" x14ac:dyDescent="0.2">
      <c r="A583" s="125"/>
      <c r="B583" s="125"/>
      <c r="C583" s="126"/>
      <c r="D583" s="126"/>
      <c r="E583" s="126"/>
      <c r="F583" s="137"/>
      <c r="G583" s="137"/>
      <c r="H583" s="127">
        <v>91639933.190000013</v>
      </c>
      <c r="I583" s="126"/>
      <c r="J583" s="126"/>
      <c r="K583" s="135"/>
      <c r="L583" s="216"/>
      <c r="M583" s="216"/>
      <c r="N583" s="216"/>
      <c r="O583" s="137"/>
      <c r="P583" s="125"/>
      <c r="Q583" s="125"/>
    </row>
    <row r="584" spans="1:17" x14ac:dyDescent="0.2">
      <c r="A584" s="125"/>
      <c r="B584" s="125"/>
      <c r="C584" s="126"/>
      <c r="D584" s="126"/>
      <c r="E584" s="126"/>
      <c r="F584" s="229">
        <v>45163</v>
      </c>
      <c r="G584" s="234" t="s">
        <v>391</v>
      </c>
      <c r="H584" s="127">
        <f>H585-H583</f>
        <v>148935.10000000894</v>
      </c>
      <c r="I584" s="126"/>
      <c r="J584" s="126"/>
      <c r="K584" s="135"/>
      <c r="L584" s="216"/>
      <c r="M584" s="216"/>
      <c r="N584" s="216"/>
      <c r="O584" s="137"/>
      <c r="P584" s="125"/>
      <c r="Q584" s="125"/>
    </row>
    <row r="585" spans="1:17" x14ac:dyDescent="0.2">
      <c r="A585" s="125"/>
      <c r="B585" s="125"/>
      <c r="C585" s="126"/>
      <c r="D585" s="126"/>
      <c r="E585" s="126"/>
      <c r="F585" s="137"/>
      <c r="G585" s="137"/>
      <c r="H585" s="127">
        <v>91788868.290000021</v>
      </c>
      <c r="I585" s="126"/>
      <c r="J585" s="126"/>
      <c r="K585" s="135"/>
      <c r="L585" s="216"/>
      <c r="M585" s="216"/>
      <c r="N585" s="216"/>
      <c r="O585" s="137"/>
      <c r="P585" s="125"/>
      <c r="Q585" s="125"/>
    </row>
    <row r="586" spans="1:17" x14ac:dyDescent="0.2">
      <c r="A586" s="125"/>
      <c r="B586" s="125"/>
      <c r="C586" s="126"/>
      <c r="D586" s="126"/>
      <c r="E586" s="126"/>
      <c r="F586" s="229">
        <v>45168</v>
      </c>
      <c r="G586" s="234" t="s">
        <v>392</v>
      </c>
      <c r="H586" s="127">
        <f>H587-H585</f>
        <v>84368</v>
      </c>
      <c r="I586" s="126"/>
      <c r="J586" s="126"/>
      <c r="K586" s="135"/>
      <c r="L586" s="216"/>
      <c r="M586" s="216"/>
      <c r="N586" s="216"/>
      <c r="O586" s="137"/>
      <c r="P586" s="125"/>
      <c r="Q586" s="125"/>
    </row>
    <row r="587" spans="1:17" x14ac:dyDescent="0.2">
      <c r="A587" s="125"/>
      <c r="B587" s="125"/>
      <c r="C587" s="126"/>
      <c r="D587" s="126"/>
      <c r="E587" s="126"/>
      <c r="F587" s="137"/>
      <c r="G587" s="137"/>
      <c r="H587" s="127">
        <v>91873236.290000021</v>
      </c>
      <c r="I587" s="126"/>
      <c r="J587" s="126"/>
      <c r="K587" s="135"/>
      <c r="L587" s="216"/>
      <c r="M587" s="216"/>
      <c r="N587" s="216"/>
      <c r="O587" s="137"/>
      <c r="P587" s="125"/>
      <c r="Q587" s="125"/>
    </row>
    <row r="588" spans="1:17" x14ac:dyDescent="0.2">
      <c r="A588" s="125"/>
      <c r="B588" s="125"/>
      <c r="C588" s="126"/>
      <c r="D588" s="126"/>
      <c r="E588" s="126"/>
      <c r="F588" s="229">
        <v>45169</v>
      </c>
      <c r="G588" s="234" t="s">
        <v>393</v>
      </c>
      <c r="H588" s="127">
        <f>H589-H587</f>
        <v>953872.83999998868</v>
      </c>
      <c r="I588" s="126"/>
      <c r="J588" s="126"/>
      <c r="K588" s="135"/>
      <c r="L588" s="216"/>
      <c r="M588" s="216"/>
      <c r="N588" s="216"/>
      <c r="O588" s="137"/>
      <c r="P588" s="125"/>
      <c r="Q588" s="125"/>
    </row>
    <row r="589" spans="1:17" x14ac:dyDescent="0.2">
      <c r="A589" s="125"/>
      <c r="B589" s="125"/>
      <c r="C589" s="126"/>
      <c r="D589" s="126"/>
      <c r="E589" s="126"/>
      <c r="F589" s="137"/>
      <c r="G589" s="137"/>
      <c r="H589" s="127">
        <v>92827109.13000001</v>
      </c>
      <c r="I589" s="126"/>
      <c r="J589" s="126"/>
      <c r="K589" s="135"/>
      <c r="L589" s="216"/>
      <c r="M589" s="216"/>
      <c r="N589" s="216"/>
      <c r="O589" s="137"/>
      <c r="P589" s="125"/>
      <c r="Q589" s="125"/>
    </row>
    <row r="590" spans="1:17" x14ac:dyDescent="0.2">
      <c r="A590" s="125"/>
      <c r="B590" s="125"/>
      <c r="C590" s="126"/>
      <c r="D590" s="126"/>
      <c r="E590" s="126"/>
      <c r="F590" s="229">
        <v>45176</v>
      </c>
      <c r="G590" s="234" t="s">
        <v>394</v>
      </c>
      <c r="H590" s="127">
        <f>H591-H589</f>
        <v>962969.28000000119</v>
      </c>
      <c r="I590" s="126"/>
      <c r="J590" s="126"/>
      <c r="K590" s="135"/>
      <c r="L590" s="216"/>
      <c r="M590" s="216"/>
      <c r="N590" s="216"/>
      <c r="O590" s="137"/>
      <c r="P590" s="125"/>
      <c r="Q590" s="125"/>
    </row>
    <row r="591" spans="1:17" x14ac:dyDescent="0.2">
      <c r="A591" s="125"/>
      <c r="B591" s="125"/>
      <c r="C591" s="126"/>
      <c r="D591" s="126"/>
      <c r="E591" s="126"/>
      <c r="F591" s="137"/>
      <c r="G591" s="137"/>
      <c r="H591" s="127">
        <v>93790078.410000011</v>
      </c>
      <c r="I591" s="126"/>
      <c r="J591" s="126"/>
      <c r="K591" s="135"/>
      <c r="L591" s="216"/>
      <c r="M591" s="216"/>
      <c r="N591" s="216"/>
      <c r="O591" s="137"/>
      <c r="P591" s="125"/>
      <c r="Q591" s="125"/>
    </row>
    <row r="592" spans="1:17" x14ac:dyDescent="0.2">
      <c r="A592" s="125"/>
      <c r="B592" s="125"/>
      <c r="C592" s="126"/>
      <c r="D592" s="126"/>
      <c r="E592" s="126"/>
      <c r="F592" s="229">
        <v>45184</v>
      </c>
      <c r="G592" s="234" t="s">
        <v>395</v>
      </c>
      <c r="H592" s="127">
        <f>H593-H591</f>
        <v>488689.38000001013</v>
      </c>
      <c r="I592" s="126"/>
      <c r="J592" s="126"/>
      <c r="K592" s="135"/>
      <c r="L592" s="216"/>
      <c r="M592" s="216"/>
      <c r="N592" s="216"/>
      <c r="O592" s="137"/>
      <c r="P592" s="125"/>
      <c r="Q592" s="125"/>
    </row>
    <row r="593" spans="1:17" x14ac:dyDescent="0.2">
      <c r="A593" s="125"/>
      <c r="B593" s="125"/>
      <c r="C593" s="126"/>
      <c r="D593" s="126"/>
      <c r="E593" s="126"/>
      <c r="F593" s="137"/>
      <c r="G593" s="137"/>
      <c r="H593" s="166">
        <v>94278767.790000021</v>
      </c>
      <c r="I593" s="126"/>
      <c r="J593" s="126"/>
      <c r="K593" s="135"/>
      <c r="L593" s="216"/>
      <c r="M593" s="216"/>
      <c r="N593" s="216"/>
      <c r="O593" s="137"/>
      <c r="P593" s="125"/>
      <c r="Q593" s="125"/>
    </row>
    <row r="594" spans="1:17" x14ac:dyDescent="0.2">
      <c r="A594" s="125"/>
      <c r="B594" s="125"/>
      <c r="C594" s="126"/>
      <c r="D594" s="126"/>
      <c r="E594" s="126"/>
      <c r="F594" s="229">
        <v>45191</v>
      </c>
      <c r="G594" s="234" t="s">
        <v>396</v>
      </c>
      <c r="H594" s="127">
        <f>H595-H593</f>
        <v>1435749.6499999911</v>
      </c>
      <c r="I594" s="126"/>
      <c r="J594" s="126"/>
      <c r="K594" s="135"/>
      <c r="L594" s="216"/>
      <c r="M594" s="216"/>
      <c r="N594" s="216"/>
      <c r="O594" s="137"/>
      <c r="P594" s="125"/>
      <c r="Q594" s="125"/>
    </row>
    <row r="595" spans="1:17" x14ac:dyDescent="0.2">
      <c r="A595" s="125"/>
      <c r="B595" s="125"/>
      <c r="C595" s="126"/>
      <c r="D595" s="126"/>
      <c r="E595" s="126"/>
      <c r="F595" s="137"/>
      <c r="G595" s="137"/>
      <c r="H595" s="127">
        <v>95714517.440000013</v>
      </c>
      <c r="I595" s="126"/>
      <c r="J595" s="126"/>
      <c r="K595" s="135"/>
      <c r="L595" s="216"/>
      <c r="M595" s="216"/>
      <c r="N595" s="216"/>
      <c r="O595" s="137"/>
      <c r="P595" s="125"/>
      <c r="Q595" s="125"/>
    </row>
    <row r="596" spans="1:17" x14ac:dyDescent="0.2">
      <c r="A596" s="125"/>
      <c r="B596" s="125"/>
      <c r="C596" s="126"/>
      <c r="D596" s="126"/>
      <c r="E596" s="126"/>
      <c r="F596" s="229">
        <v>45195</v>
      </c>
      <c r="G596" s="217" t="s">
        <v>330</v>
      </c>
      <c r="H596" s="127">
        <f>H597-H595</f>
        <v>-67293.250000014901</v>
      </c>
      <c r="I596" s="126"/>
      <c r="J596" s="126" t="s">
        <v>397</v>
      </c>
      <c r="K596" s="135"/>
      <c r="L596" s="216"/>
      <c r="M596" s="216"/>
      <c r="N596" s="216"/>
      <c r="O596" s="137"/>
      <c r="P596" s="125"/>
      <c r="Q596" s="125"/>
    </row>
    <row r="597" spans="1:17" x14ac:dyDescent="0.2">
      <c r="A597" s="125"/>
      <c r="B597" s="125"/>
      <c r="C597" s="126"/>
      <c r="D597" s="126"/>
      <c r="E597" s="126"/>
      <c r="F597" s="137"/>
      <c r="G597" s="137"/>
      <c r="H597" s="127">
        <v>95647224.189999998</v>
      </c>
      <c r="I597" s="126"/>
      <c r="J597" s="126"/>
      <c r="K597" s="135"/>
      <c r="L597" s="216"/>
      <c r="M597" s="216"/>
      <c r="N597" s="216"/>
      <c r="O597" s="137"/>
      <c r="P597" s="125"/>
      <c r="Q597" s="125"/>
    </row>
    <row r="598" spans="1:17" x14ac:dyDescent="0.2">
      <c r="A598" s="125"/>
      <c r="B598" s="125"/>
      <c r="C598" s="126"/>
      <c r="D598" s="126"/>
      <c r="E598" s="126"/>
      <c r="F598" s="229">
        <v>45198</v>
      </c>
      <c r="G598" s="234" t="s">
        <v>398</v>
      </c>
      <c r="H598" s="127">
        <f>H599-H597</f>
        <v>577097.71000000834</v>
      </c>
      <c r="I598" s="126"/>
      <c r="J598" s="126"/>
      <c r="K598" s="135"/>
      <c r="L598" s="216"/>
      <c r="M598" s="216"/>
      <c r="N598" s="216"/>
      <c r="O598" s="137"/>
      <c r="P598" s="125"/>
      <c r="Q598" s="125"/>
    </row>
    <row r="599" spans="1:17" x14ac:dyDescent="0.2">
      <c r="A599" s="125"/>
      <c r="B599" s="125"/>
      <c r="C599" s="126"/>
      <c r="D599" s="126"/>
      <c r="E599" s="126"/>
      <c r="F599" s="240"/>
      <c r="G599" s="217"/>
      <c r="H599" s="264">
        <v>96224321.900000006</v>
      </c>
      <c r="I599" s="126"/>
      <c r="J599" s="126"/>
      <c r="K599" s="126"/>
      <c r="L599" s="137"/>
      <c r="M599" s="137"/>
      <c r="N599" s="137"/>
      <c r="O599" s="137"/>
      <c r="P599" s="125"/>
      <c r="Q599" s="125"/>
    </row>
    <row r="600" spans="1:17" hidden="1" x14ac:dyDescent="0.2">
      <c r="A600" s="125"/>
      <c r="B600" s="241" t="s">
        <v>368</v>
      </c>
      <c r="C600" s="242"/>
      <c r="D600" s="126"/>
      <c r="E600" s="126"/>
      <c r="F600" s="240"/>
      <c r="G600" s="217"/>
      <c r="H600" s="127"/>
      <c r="I600" s="126"/>
      <c r="J600" s="126"/>
      <c r="K600" s="135"/>
      <c r="L600" s="216"/>
      <c r="M600" s="216"/>
      <c r="N600" s="216"/>
      <c r="O600" s="137"/>
      <c r="P600" s="125"/>
      <c r="Q600" s="125"/>
    </row>
    <row r="601" spans="1:17" hidden="1" x14ac:dyDescent="0.2">
      <c r="A601" s="125"/>
      <c r="B601" s="243" t="s">
        <v>369</v>
      </c>
      <c r="C601" s="244">
        <f>L440</f>
        <v>135468481.39699996</v>
      </c>
      <c r="D601" s="126"/>
      <c r="E601" s="126"/>
      <c r="F601" s="240"/>
      <c r="G601" s="217"/>
      <c r="H601" s="127"/>
      <c r="I601" s="126"/>
      <c r="J601" s="126"/>
      <c r="K601" s="126"/>
      <c r="L601" s="137"/>
      <c r="M601" s="137"/>
      <c r="N601" s="137"/>
      <c r="O601" s="137"/>
      <c r="P601" s="125"/>
      <c r="Q601" s="125"/>
    </row>
    <row r="602" spans="1:17" hidden="1" x14ac:dyDescent="0.2">
      <c r="A602" s="125"/>
      <c r="B602" s="243" t="s">
        <v>370</v>
      </c>
      <c r="C602" s="245">
        <v>222960077.53999999</v>
      </c>
      <c r="D602" s="126"/>
      <c r="E602" s="126"/>
      <c r="F602" s="137"/>
      <c r="G602" s="217"/>
      <c r="H602" s="127"/>
      <c r="I602" s="126"/>
      <c r="J602" s="126"/>
      <c r="K602" s="135"/>
      <c r="L602" s="216"/>
      <c r="M602" s="216"/>
      <c r="N602" s="216"/>
      <c r="O602" s="137"/>
      <c r="P602" s="125"/>
      <c r="Q602" s="125"/>
    </row>
    <row r="603" spans="1:17" hidden="1" x14ac:dyDescent="0.2">
      <c r="A603" s="125"/>
      <c r="B603" s="243" t="s">
        <v>371</v>
      </c>
      <c r="C603" s="246">
        <f>H558+H560</f>
        <v>1338986.0800000131</v>
      </c>
      <c r="D603" s="126"/>
      <c r="E603" s="126"/>
      <c r="F603" s="137"/>
      <c r="G603" s="217"/>
      <c r="H603" s="127"/>
      <c r="I603" s="126"/>
      <c r="J603" s="126"/>
      <c r="K603" s="126"/>
      <c r="L603" s="137"/>
      <c r="M603" s="137"/>
      <c r="N603" s="137"/>
      <c r="O603" s="137"/>
      <c r="P603" s="125"/>
      <c r="Q603" s="125"/>
    </row>
    <row r="604" spans="1:17" hidden="1" x14ac:dyDescent="0.2">
      <c r="A604" s="125"/>
      <c r="B604" s="243" t="s">
        <v>372</v>
      </c>
      <c r="C604" s="126">
        <f>C602-C603-C601</f>
        <v>86152610.063000023</v>
      </c>
      <c r="D604" s="126"/>
      <c r="E604" s="126"/>
      <c r="F604" s="137"/>
      <c r="G604" s="217"/>
      <c r="H604" s="127"/>
      <c r="I604" s="126"/>
      <c r="J604" s="126"/>
      <c r="K604" s="135"/>
      <c r="L604" s="216"/>
      <c r="M604" s="216"/>
      <c r="N604" s="216"/>
      <c r="O604" s="137"/>
      <c r="P604" s="125"/>
      <c r="Q604" s="125"/>
    </row>
    <row r="605" spans="1:17" hidden="1" x14ac:dyDescent="0.2">
      <c r="A605" s="125"/>
      <c r="B605" s="247"/>
      <c r="C605" s="248"/>
      <c r="D605" s="126"/>
      <c r="E605" s="126"/>
      <c r="F605" s="137"/>
      <c r="G605" s="217"/>
      <c r="H605" s="127"/>
      <c r="I605" s="126"/>
      <c r="J605" s="126"/>
      <c r="K605" s="166"/>
      <c r="L605" s="137"/>
      <c r="M605" s="137"/>
      <c r="N605" s="137"/>
      <c r="O605" s="137"/>
      <c r="P605" s="125"/>
      <c r="Q605" s="125"/>
    </row>
    <row r="606" spans="1:17" hidden="1" x14ac:dyDescent="0.2">
      <c r="A606" s="125"/>
      <c r="B606" s="247"/>
      <c r="C606" s="246"/>
      <c r="D606" s="126"/>
      <c r="E606" s="126"/>
      <c r="F606" s="137"/>
      <c r="G606" s="217"/>
      <c r="H606" s="127"/>
      <c r="I606" s="126"/>
      <c r="J606" s="126"/>
      <c r="K606" s="135"/>
      <c r="L606" s="216"/>
      <c r="M606" s="216"/>
      <c r="N606" s="216"/>
      <c r="O606" s="137"/>
      <c r="P606" s="125"/>
      <c r="Q606" s="125"/>
    </row>
    <row r="607" spans="1:17" hidden="1" x14ac:dyDescent="0.2">
      <c r="A607" s="125"/>
      <c r="B607" s="247"/>
      <c r="C607" s="246"/>
      <c r="D607" s="126"/>
      <c r="E607" s="126"/>
      <c r="F607" s="137"/>
      <c r="G607" s="137"/>
      <c r="H607" s="127"/>
      <c r="I607" s="126"/>
      <c r="J607" s="126"/>
      <c r="K607" s="126"/>
      <c r="L607" s="228"/>
      <c r="M607" s="228"/>
      <c r="N607" s="228"/>
      <c r="O607" s="137"/>
      <c r="P607" s="125"/>
      <c r="Q607" s="125"/>
    </row>
    <row r="608" spans="1:17" hidden="1" x14ac:dyDescent="0.2">
      <c r="A608" s="125"/>
      <c r="B608" s="247" t="s">
        <v>373</v>
      </c>
      <c r="C608" s="246">
        <f>78424852.7-324504.25</f>
        <v>78100348.450000003</v>
      </c>
      <c r="D608" s="126"/>
      <c r="E608" s="126"/>
      <c r="F608" s="137"/>
      <c r="G608" s="137"/>
      <c r="H608" s="127"/>
      <c r="I608" s="126"/>
      <c r="J608" s="126"/>
      <c r="K608" s="135"/>
      <c r="L608" s="216"/>
      <c r="M608" s="216"/>
      <c r="N608" s="216"/>
      <c r="O608" s="137"/>
      <c r="P608" s="125"/>
      <c r="Q608" s="125"/>
    </row>
    <row r="609" spans="1:17" hidden="1" x14ac:dyDescent="0.2">
      <c r="A609" s="125"/>
      <c r="B609" s="247" t="s">
        <v>374</v>
      </c>
      <c r="C609" s="246">
        <f>34060851.92+42700510.45</f>
        <v>76761362.370000005</v>
      </c>
      <c r="D609" s="126"/>
      <c r="E609" s="126"/>
      <c r="F609" s="137"/>
      <c r="G609" s="137"/>
      <c r="H609" s="127"/>
      <c r="I609" s="126"/>
      <c r="J609" s="126"/>
      <c r="K609" s="126"/>
      <c r="L609" s="228"/>
      <c r="M609" s="228"/>
      <c r="N609" s="228"/>
      <c r="O609" s="137"/>
      <c r="P609" s="125"/>
      <c r="Q609" s="125"/>
    </row>
    <row r="610" spans="1:17" hidden="1" x14ac:dyDescent="0.2">
      <c r="A610" s="125"/>
      <c r="B610" s="247" t="s">
        <v>375</v>
      </c>
      <c r="C610" s="246">
        <f>C608-C609</f>
        <v>1338986.0799999982</v>
      </c>
      <c r="D610" s="126"/>
      <c r="E610" s="126"/>
      <c r="F610" s="137"/>
      <c r="G610" s="137"/>
      <c r="H610" s="127"/>
      <c r="I610" s="126"/>
      <c r="J610" s="126"/>
      <c r="K610" s="135"/>
      <c r="L610" s="216"/>
      <c r="M610" s="216"/>
      <c r="N610" s="216"/>
      <c r="O610" s="137"/>
      <c r="P610" s="125"/>
      <c r="Q610" s="125"/>
    </row>
    <row r="611" spans="1:17" ht="13.5" hidden="1" thickBot="1" x14ac:dyDescent="0.25">
      <c r="A611" s="125"/>
      <c r="B611" s="249" t="s">
        <v>376</v>
      </c>
      <c r="C611" s="250">
        <f>C610-C603</f>
        <v>-1.4901161193847656E-8</v>
      </c>
      <c r="D611" s="126"/>
      <c r="E611" s="126"/>
      <c r="F611" s="137"/>
      <c r="G611" s="137"/>
      <c r="H611" s="127"/>
      <c r="I611" s="126"/>
      <c r="J611" s="126"/>
      <c r="K611" s="126"/>
      <c r="L611" s="228"/>
      <c r="M611" s="228"/>
      <c r="N611" s="228"/>
      <c r="O611" s="137"/>
      <c r="P611" s="125"/>
      <c r="Q611" s="125"/>
    </row>
    <row r="612" spans="1:17" x14ac:dyDescent="0.2">
      <c r="A612" s="125"/>
      <c r="B612" s="125"/>
      <c r="C612" s="222"/>
      <c r="D612" s="126"/>
      <c r="E612" s="126"/>
      <c r="F612" s="229">
        <v>45204</v>
      </c>
      <c r="G612" s="234" t="s">
        <v>399</v>
      </c>
      <c r="H612" s="127">
        <f>H613-H599</f>
        <v>1120261.4399999976</v>
      </c>
      <c r="I612" s="126"/>
      <c r="J612" s="126"/>
      <c r="K612" s="126"/>
      <c r="L612" s="228"/>
      <c r="M612" s="228"/>
      <c r="N612" s="228"/>
      <c r="O612" s="137"/>
      <c r="P612" s="125"/>
      <c r="Q612" s="125"/>
    </row>
    <row r="613" spans="1:17" x14ac:dyDescent="0.2">
      <c r="A613" s="125"/>
      <c r="B613" s="125"/>
      <c r="C613" s="222"/>
      <c r="D613" s="126"/>
      <c r="E613" s="126"/>
      <c r="F613" s="137"/>
      <c r="G613" s="137"/>
      <c r="H613" s="264">
        <v>97344583.340000004</v>
      </c>
      <c r="I613" s="126"/>
      <c r="J613" s="127" t="s">
        <v>400</v>
      </c>
      <c r="K613" s="126"/>
      <c r="L613" s="228"/>
      <c r="M613" s="228"/>
      <c r="N613" s="228"/>
      <c r="O613" s="137"/>
      <c r="P613" s="125"/>
      <c r="Q613" s="125"/>
    </row>
    <row r="614" spans="1:17" x14ac:dyDescent="0.2">
      <c r="A614" s="125"/>
      <c r="B614" s="125"/>
      <c r="C614" s="222"/>
      <c r="D614" s="126"/>
      <c r="E614" s="126"/>
      <c r="F614" s="229">
        <v>45211</v>
      </c>
      <c r="G614" s="227" t="s">
        <v>401</v>
      </c>
      <c r="H614" s="127">
        <f>H615-H613</f>
        <v>467351.49000000954</v>
      </c>
      <c r="I614" s="126"/>
      <c r="J614" s="126"/>
      <c r="K614" s="126"/>
      <c r="L614" s="228"/>
      <c r="M614" s="228"/>
      <c r="N614" s="228"/>
      <c r="O614" s="137"/>
      <c r="P614" s="125"/>
      <c r="Q614" s="125"/>
    </row>
    <row r="615" spans="1:17" x14ac:dyDescent="0.2">
      <c r="A615" s="125"/>
      <c r="B615" s="125"/>
      <c r="C615" s="222"/>
      <c r="D615" s="126"/>
      <c r="E615" s="126"/>
      <c r="F615" s="137"/>
      <c r="G615" s="137"/>
      <c r="H615" s="264">
        <v>97811934.830000013</v>
      </c>
      <c r="I615" s="126"/>
      <c r="J615" s="126"/>
      <c r="K615" s="126"/>
      <c r="L615" s="228"/>
      <c r="M615" s="228"/>
      <c r="N615" s="228"/>
      <c r="O615" s="137"/>
      <c r="P615" s="125"/>
      <c r="Q615" s="125"/>
    </row>
    <row r="616" spans="1:17" x14ac:dyDescent="0.2">
      <c r="A616" s="125"/>
      <c r="B616" s="125"/>
      <c r="C616" s="222"/>
      <c r="D616" s="126"/>
      <c r="E616" s="126"/>
      <c r="F616" s="229">
        <v>45217</v>
      </c>
      <c r="G616" s="227" t="s">
        <v>402</v>
      </c>
      <c r="H616" s="127">
        <f>H617-H615</f>
        <v>372531.25999999046</v>
      </c>
      <c r="I616" s="126"/>
      <c r="J616" s="126"/>
      <c r="K616" s="126"/>
      <c r="L616" s="228"/>
      <c r="M616" s="228"/>
      <c r="N616" s="228"/>
      <c r="O616" s="137"/>
      <c r="P616" s="125"/>
      <c r="Q616" s="125"/>
    </row>
    <row r="617" spans="1:17" x14ac:dyDescent="0.2">
      <c r="A617" s="125"/>
      <c r="B617" s="125"/>
      <c r="C617" s="222"/>
      <c r="D617" s="126"/>
      <c r="E617" s="126"/>
      <c r="F617" s="137"/>
      <c r="G617" s="137"/>
      <c r="H617" s="264">
        <v>98184466.090000004</v>
      </c>
      <c r="I617" s="126"/>
      <c r="J617" s="126"/>
      <c r="K617" s="126"/>
      <c r="L617" s="228"/>
      <c r="M617" s="228"/>
      <c r="N617" s="228"/>
      <c r="O617" s="137"/>
      <c r="P617" s="125"/>
      <c r="Q617" s="125"/>
    </row>
    <row r="618" spans="1:17" x14ac:dyDescent="0.2">
      <c r="A618" s="125"/>
      <c r="B618" s="125"/>
      <c r="C618" s="222"/>
      <c r="D618" s="126"/>
      <c r="E618" s="126"/>
      <c r="F618" s="229">
        <v>45225</v>
      </c>
      <c r="G618" s="227" t="s">
        <v>403</v>
      </c>
      <c r="H618" s="127">
        <f>H619-H617</f>
        <v>2160978.9399999976</v>
      </c>
      <c r="I618" s="126"/>
      <c r="J618" s="126"/>
      <c r="K618" s="126"/>
      <c r="L618" s="228"/>
      <c r="M618" s="228"/>
      <c r="N618" s="228"/>
      <c r="O618" s="137"/>
      <c r="P618" s="125"/>
      <c r="Q618" s="125"/>
    </row>
    <row r="619" spans="1:17" x14ac:dyDescent="0.2">
      <c r="A619" s="125"/>
      <c r="B619" s="125"/>
      <c r="C619" s="222"/>
      <c r="D619" s="126"/>
      <c r="E619" s="126"/>
      <c r="F619" s="137"/>
      <c r="G619" s="137"/>
      <c r="H619" s="264">
        <v>100345445.03</v>
      </c>
      <c r="I619" s="126"/>
      <c r="J619" s="126"/>
      <c r="K619" s="126"/>
      <c r="L619" s="228"/>
      <c r="M619" s="228"/>
      <c r="N619" s="228"/>
      <c r="O619" s="137"/>
      <c r="P619" s="125"/>
      <c r="Q619" s="125"/>
    </row>
    <row r="620" spans="1:17" x14ac:dyDescent="0.2">
      <c r="A620" s="125"/>
      <c r="B620" s="125"/>
      <c r="C620" s="222"/>
      <c r="D620" s="126"/>
      <c r="E620" s="126"/>
      <c r="F620" s="229">
        <v>45232</v>
      </c>
      <c r="G620" s="227" t="s">
        <v>404</v>
      </c>
      <c r="H620" s="127">
        <f>H621-H619</f>
        <v>159766.51000002027</v>
      </c>
      <c r="I620" s="126"/>
      <c r="J620" s="126"/>
      <c r="K620" s="126"/>
      <c r="L620" s="228"/>
      <c r="M620" s="228"/>
      <c r="N620" s="228"/>
      <c r="O620" s="137"/>
      <c r="P620" s="125"/>
      <c r="Q620" s="125"/>
    </row>
    <row r="621" spans="1:17" x14ac:dyDescent="0.2">
      <c r="A621" s="125"/>
      <c r="B621" s="125"/>
      <c r="C621" s="222"/>
      <c r="D621" s="126"/>
      <c r="E621" s="126"/>
      <c r="F621" s="137"/>
      <c r="G621" s="137"/>
      <c r="H621" s="264">
        <v>100505211.54000002</v>
      </c>
      <c r="I621" s="126"/>
      <c r="J621" s="126"/>
      <c r="K621" s="126"/>
      <c r="L621" s="228"/>
      <c r="M621" s="228"/>
      <c r="N621" s="228"/>
      <c r="O621" s="137"/>
      <c r="P621" s="125"/>
      <c r="Q621" s="125"/>
    </row>
    <row r="622" spans="1:17" x14ac:dyDescent="0.2">
      <c r="A622" s="125"/>
      <c r="B622" s="125"/>
      <c r="C622" s="222"/>
      <c r="D622" s="126"/>
      <c r="E622" s="126"/>
      <c r="F622" s="229">
        <v>45238</v>
      </c>
      <c r="G622" s="227" t="s">
        <v>405</v>
      </c>
      <c r="H622" s="264">
        <f>H623-H621</f>
        <v>1492704.0599999875</v>
      </c>
      <c r="I622" s="126"/>
      <c r="J622" s="126"/>
      <c r="K622" s="126"/>
      <c r="L622" s="228"/>
      <c r="M622" s="228"/>
      <c r="N622" s="228"/>
      <c r="O622" s="137"/>
      <c r="P622" s="125"/>
      <c r="Q622" s="125"/>
    </row>
    <row r="623" spans="1:17" x14ac:dyDescent="0.2">
      <c r="A623" s="125"/>
      <c r="B623" s="125"/>
      <c r="C623" s="222"/>
      <c r="D623" s="126"/>
      <c r="E623" s="126"/>
      <c r="F623" s="137"/>
      <c r="G623" s="137"/>
      <c r="H623" s="166">
        <v>101997915.60000001</v>
      </c>
      <c r="I623" s="126"/>
      <c r="J623" s="126"/>
      <c r="K623" s="126"/>
      <c r="L623" s="137"/>
      <c r="M623" s="137"/>
      <c r="N623" s="166"/>
      <c r="O623" s="126"/>
      <c r="P623" s="125"/>
      <c r="Q623" s="125"/>
    </row>
    <row r="624" spans="1:17" x14ac:dyDescent="0.2">
      <c r="A624" s="125"/>
      <c r="B624" s="125"/>
      <c r="C624" s="222"/>
      <c r="D624" s="126"/>
      <c r="E624" s="126"/>
      <c r="F624" s="229">
        <v>45245</v>
      </c>
      <c r="G624" s="227" t="s">
        <v>406</v>
      </c>
      <c r="H624" s="127">
        <f>H625-H623</f>
        <v>826615.79999999702</v>
      </c>
      <c r="I624" s="126"/>
      <c r="J624" s="126"/>
      <c r="K624" s="126"/>
      <c r="L624" s="229"/>
      <c r="M624" s="227"/>
      <c r="N624" s="131"/>
      <c r="O624" s="126"/>
      <c r="P624" s="125"/>
      <c r="Q624" s="125"/>
    </row>
    <row r="625" spans="1:17" x14ac:dyDescent="0.2">
      <c r="A625" s="125"/>
      <c r="B625" s="125"/>
      <c r="C625" s="222"/>
      <c r="D625" s="126"/>
      <c r="E625" s="126"/>
      <c r="F625" s="137"/>
      <c r="G625" s="137"/>
      <c r="H625" s="127">
        <v>102824531.40000001</v>
      </c>
      <c r="I625" s="126"/>
      <c r="J625" s="126"/>
      <c r="K625" s="126"/>
      <c r="L625" s="137"/>
      <c r="M625" s="137"/>
      <c r="N625" s="131"/>
      <c r="O625" s="126"/>
      <c r="P625" s="125"/>
      <c r="Q625" s="125"/>
    </row>
    <row r="626" spans="1:17" x14ac:dyDescent="0.2">
      <c r="A626" s="125"/>
      <c r="B626" s="125"/>
      <c r="C626" s="222"/>
      <c r="D626" s="126"/>
      <c r="E626" s="126"/>
      <c r="F626" s="229">
        <v>45244</v>
      </c>
      <c r="G626" s="217" t="s">
        <v>407</v>
      </c>
      <c r="H626" s="127">
        <f>H627-H625</f>
        <v>-293864.98999999464</v>
      </c>
      <c r="I626" s="126"/>
      <c r="J626" s="126" t="s">
        <v>408</v>
      </c>
      <c r="K626" s="126"/>
      <c r="L626" s="229"/>
      <c r="M626" s="217"/>
      <c r="N626" s="131"/>
      <c r="O626" s="126"/>
      <c r="P626" s="125"/>
      <c r="Q626" s="125"/>
    </row>
    <row r="627" spans="1:17" x14ac:dyDescent="0.2">
      <c r="A627" s="125"/>
      <c r="B627" s="125"/>
      <c r="C627" s="126"/>
      <c r="D627" s="126"/>
      <c r="E627" s="126"/>
      <c r="F627" s="137"/>
      <c r="G627" s="137"/>
      <c r="H627" s="127">
        <v>102530666.41000001</v>
      </c>
      <c r="I627" s="126"/>
      <c r="J627" s="126"/>
      <c r="K627" s="135"/>
      <c r="L627" s="137"/>
      <c r="M627" s="137"/>
      <c r="N627" s="131"/>
      <c r="O627" s="126"/>
      <c r="P627" s="125"/>
      <c r="Q627" s="125"/>
    </row>
    <row r="628" spans="1:17" x14ac:dyDescent="0.2">
      <c r="A628" s="125"/>
      <c r="B628" s="125"/>
      <c r="C628" s="126"/>
      <c r="D628" s="126"/>
      <c r="E628" s="126"/>
      <c r="F628" s="229">
        <v>45244</v>
      </c>
      <c r="G628" s="217" t="s">
        <v>407</v>
      </c>
      <c r="H628" s="127">
        <f>H629-H627</f>
        <v>-855</v>
      </c>
      <c r="I628" s="126"/>
      <c r="J628" s="127" t="s">
        <v>409</v>
      </c>
      <c r="K628" s="135"/>
      <c r="L628" s="229"/>
      <c r="M628" s="217"/>
      <c r="N628" s="131"/>
      <c r="O628" s="126"/>
      <c r="P628" s="125"/>
      <c r="Q628" s="125"/>
    </row>
    <row r="629" spans="1:17" x14ac:dyDescent="0.2">
      <c r="A629" s="125"/>
      <c r="B629" s="125"/>
      <c r="C629" s="126"/>
      <c r="D629" s="126"/>
      <c r="E629" s="126"/>
      <c r="F629" s="137"/>
      <c r="G629" s="137"/>
      <c r="H629" s="127">
        <v>102529811.41000001</v>
      </c>
      <c r="I629" s="126"/>
      <c r="J629" s="126"/>
      <c r="K629" s="135"/>
      <c r="L629" s="137"/>
      <c r="M629" s="137"/>
      <c r="N629" s="131"/>
      <c r="O629" s="126"/>
      <c r="P629" s="125"/>
      <c r="Q629" s="125"/>
    </row>
    <row r="630" spans="1:17" x14ac:dyDescent="0.2">
      <c r="A630" s="125"/>
      <c r="B630" s="125"/>
      <c r="C630" s="126"/>
      <c r="D630" s="126"/>
      <c r="E630" s="126"/>
      <c r="F630" s="229">
        <v>45251</v>
      </c>
      <c r="G630" s="227" t="s">
        <v>410</v>
      </c>
      <c r="H630" s="127">
        <f>H631-H629</f>
        <v>1839664.6299999952</v>
      </c>
      <c r="I630" s="126"/>
      <c r="J630" s="126"/>
      <c r="K630" s="126"/>
      <c r="L630" s="229"/>
      <c r="M630" s="227"/>
      <c r="N630" s="131"/>
      <c r="O630" s="126"/>
      <c r="P630" s="125"/>
      <c r="Q630" s="125"/>
    </row>
    <row r="631" spans="1:17" x14ac:dyDescent="0.2">
      <c r="A631" s="125"/>
      <c r="B631" s="125"/>
      <c r="C631" s="126"/>
      <c r="D631" s="126"/>
      <c r="E631" s="126"/>
      <c r="F631" s="137"/>
      <c r="G631" s="137"/>
      <c r="H631" s="127">
        <v>104369476.04000001</v>
      </c>
      <c r="I631" s="126"/>
      <c r="J631" s="126"/>
      <c r="K631" s="126"/>
      <c r="L631" s="137"/>
      <c r="M631" s="137"/>
      <c r="N631" s="131"/>
      <c r="O631" s="126"/>
      <c r="P631" s="125"/>
      <c r="Q631" s="125"/>
    </row>
    <row r="632" spans="1:17" x14ac:dyDescent="0.2">
      <c r="A632" s="125"/>
      <c r="B632" s="125"/>
      <c r="C632" s="126"/>
      <c r="D632" s="126"/>
      <c r="E632" s="126"/>
      <c r="F632" s="229">
        <v>45259</v>
      </c>
      <c r="G632" s="227" t="s">
        <v>411</v>
      </c>
      <c r="H632" s="127">
        <f>H633-H631</f>
        <v>49081.579999998212</v>
      </c>
      <c r="I632" s="126"/>
      <c r="J632" s="126"/>
      <c r="K632" s="126"/>
      <c r="L632" s="229"/>
      <c r="M632" s="227"/>
      <c r="N632" s="131"/>
      <c r="O632" s="126"/>
      <c r="P632" s="125"/>
      <c r="Q632" s="125"/>
    </row>
    <row r="633" spans="1:17" x14ac:dyDescent="0.2">
      <c r="A633" s="125"/>
      <c r="B633" s="125"/>
      <c r="C633" s="126"/>
      <c r="D633" s="126"/>
      <c r="E633" s="126"/>
      <c r="F633" s="137"/>
      <c r="G633" s="137"/>
      <c r="H633" s="127">
        <v>104418557.62</v>
      </c>
      <c r="I633" s="126"/>
      <c r="J633" s="126"/>
      <c r="K633" s="126"/>
      <c r="L633" s="137"/>
      <c r="M633" s="137"/>
      <c r="N633" s="127"/>
      <c r="O633" s="126"/>
      <c r="P633" s="125"/>
      <c r="Q633" s="125"/>
    </row>
    <row r="634" spans="1:17" x14ac:dyDescent="0.2">
      <c r="A634" s="125"/>
      <c r="B634" s="125"/>
      <c r="C634" s="126"/>
      <c r="D634" s="126"/>
      <c r="E634" s="126"/>
      <c r="F634" s="229">
        <v>45259</v>
      </c>
      <c r="G634" s="137" t="s">
        <v>412</v>
      </c>
      <c r="H634" s="127">
        <f>H635-H633</f>
        <v>-36252.560000002384</v>
      </c>
      <c r="I634" s="126"/>
      <c r="J634" s="126"/>
      <c r="K634" s="126"/>
      <c r="L634" s="137"/>
      <c r="M634" s="137"/>
      <c r="N634" s="137"/>
      <c r="O634" s="229"/>
      <c r="P634" s="125"/>
      <c r="Q634" s="125"/>
    </row>
    <row r="635" spans="1:17" x14ac:dyDescent="0.2">
      <c r="A635" s="125"/>
      <c r="B635" s="125"/>
      <c r="C635" s="126"/>
      <c r="D635" s="126"/>
      <c r="E635" s="126"/>
      <c r="F635" s="229"/>
      <c r="G635" s="137"/>
      <c r="H635" s="127">
        <v>104382305.06</v>
      </c>
      <c r="I635" s="126"/>
      <c r="J635" s="126"/>
      <c r="K635" s="126"/>
      <c r="L635" s="137"/>
      <c r="M635" s="137"/>
      <c r="N635" s="137"/>
      <c r="O635" s="137"/>
      <c r="P635" s="125"/>
      <c r="Q635" s="125"/>
    </row>
    <row r="636" spans="1:17" x14ac:dyDescent="0.2">
      <c r="A636" s="125"/>
      <c r="B636" s="125"/>
      <c r="C636" s="126"/>
      <c r="D636" s="126"/>
      <c r="E636" s="126"/>
      <c r="F636" s="229">
        <v>45266</v>
      </c>
      <c r="G636" s="227" t="s">
        <v>413</v>
      </c>
      <c r="H636" s="127">
        <f>H637-H635</f>
        <v>675631.36000001431</v>
      </c>
      <c r="I636" s="126"/>
      <c r="J636" s="126"/>
      <c r="K636" s="126"/>
      <c r="L636" s="229"/>
      <c r="M636" s="137"/>
      <c r="N636" s="127"/>
      <c r="O636" s="126"/>
      <c r="P636" s="125"/>
      <c r="Q636" s="125"/>
    </row>
    <row r="637" spans="1:17" x14ac:dyDescent="0.2">
      <c r="A637" s="125"/>
      <c r="B637" s="125"/>
      <c r="C637" s="126"/>
      <c r="D637" s="126"/>
      <c r="E637" s="126"/>
      <c r="F637" s="137"/>
      <c r="G637" s="137"/>
      <c r="H637" s="127">
        <v>105057936.42000002</v>
      </c>
      <c r="I637" s="126"/>
      <c r="J637" s="126"/>
      <c r="K637" s="126"/>
      <c r="L637" s="229"/>
      <c r="M637" s="137"/>
      <c r="N637" s="127"/>
      <c r="O637" s="126"/>
      <c r="P637" s="125"/>
      <c r="Q637" s="125"/>
    </row>
    <row r="638" spans="1:17" x14ac:dyDescent="0.2">
      <c r="A638" s="125"/>
      <c r="B638" s="125"/>
      <c r="C638" s="126"/>
      <c r="D638" s="126"/>
      <c r="E638" s="126"/>
      <c r="F638" s="229">
        <v>45267</v>
      </c>
      <c r="G638" s="137" t="s">
        <v>412</v>
      </c>
      <c r="H638" s="127">
        <f>H639-H637</f>
        <v>-69833.360000014305</v>
      </c>
      <c r="I638" s="126"/>
      <c r="J638" s="126"/>
      <c r="K638" s="126"/>
      <c r="L638" s="229"/>
      <c r="M638" s="137"/>
      <c r="N638" s="127"/>
      <c r="O638" s="126"/>
      <c r="P638" s="125"/>
      <c r="Q638" s="125"/>
    </row>
    <row r="639" spans="1:17" x14ac:dyDescent="0.2">
      <c r="A639" s="125"/>
      <c r="B639" s="125"/>
      <c r="C639" s="126"/>
      <c r="D639" s="126"/>
      <c r="E639" s="126"/>
      <c r="F639" s="137"/>
      <c r="G639" s="137"/>
      <c r="H639" s="127">
        <v>104988103.06</v>
      </c>
      <c r="I639" s="126"/>
      <c r="J639" s="126"/>
      <c r="K639" s="126"/>
      <c r="L639" s="229"/>
      <c r="M639" s="137"/>
      <c r="N639" s="127"/>
      <c r="O639" s="126"/>
      <c r="P639" s="125"/>
      <c r="Q639" s="125"/>
    </row>
    <row r="640" spans="1:17" x14ac:dyDescent="0.2">
      <c r="A640" s="125"/>
      <c r="B640" s="125"/>
      <c r="C640" s="126"/>
      <c r="D640" s="126"/>
      <c r="E640" s="126"/>
      <c r="F640" s="229">
        <v>45267</v>
      </c>
      <c r="G640" s="227" t="s">
        <v>414</v>
      </c>
      <c r="H640" s="127">
        <f>H641-H639</f>
        <v>69833.360000014305</v>
      </c>
      <c r="I640" s="126"/>
      <c r="J640" s="126"/>
      <c r="K640" s="126"/>
      <c r="L640" s="228"/>
      <c r="M640" s="228"/>
      <c r="N640" s="228"/>
      <c r="O640" s="137"/>
      <c r="P640" s="125"/>
      <c r="Q640" s="125"/>
    </row>
    <row r="641" spans="1:17" x14ac:dyDescent="0.2">
      <c r="A641" s="125"/>
      <c r="B641" s="125"/>
      <c r="C641" s="126"/>
      <c r="D641" s="126"/>
      <c r="E641" s="126"/>
      <c r="F641" s="137"/>
      <c r="G641" s="137"/>
      <c r="H641" s="127">
        <v>105057936.42000002</v>
      </c>
      <c r="I641" s="126"/>
      <c r="J641" s="126"/>
      <c r="K641" s="126"/>
      <c r="L641" s="228"/>
      <c r="M641" s="228"/>
      <c r="N641" s="228"/>
      <c r="O641" s="137"/>
      <c r="P641" s="125"/>
      <c r="Q641" s="125"/>
    </row>
    <row r="642" spans="1:17" x14ac:dyDescent="0.2">
      <c r="A642" s="125"/>
      <c r="B642" s="125"/>
      <c r="C642" s="126"/>
      <c r="D642" s="126"/>
      <c r="E642" s="126"/>
      <c r="F642" s="229">
        <v>45273</v>
      </c>
      <c r="G642" s="227" t="s">
        <v>415</v>
      </c>
      <c r="H642" s="127">
        <f>H643-H641</f>
        <v>454944.54999999702</v>
      </c>
      <c r="I642" s="126"/>
      <c r="J642" s="126"/>
      <c r="K642" s="126"/>
      <c r="L642" s="228"/>
      <c r="M642" s="228"/>
      <c r="N642" s="228"/>
      <c r="O642" s="137"/>
      <c r="P642" s="125"/>
      <c r="Q642" s="125"/>
    </row>
    <row r="643" spans="1:17" x14ac:dyDescent="0.2">
      <c r="A643" s="125"/>
      <c r="B643" s="125"/>
      <c r="C643" s="126"/>
      <c r="D643" s="126"/>
      <c r="E643" s="126"/>
      <c r="F643" s="137"/>
      <c r="G643" s="137"/>
      <c r="H643" s="127">
        <v>105512880.97000001</v>
      </c>
      <c r="I643" s="126"/>
      <c r="J643" s="126"/>
      <c r="K643" s="126"/>
      <c r="L643" s="228"/>
      <c r="M643" s="228"/>
      <c r="N643" s="228"/>
      <c r="O643" s="137"/>
      <c r="P643" s="125"/>
      <c r="Q643" s="125"/>
    </row>
    <row r="644" spans="1:17" x14ac:dyDescent="0.2">
      <c r="A644" s="125"/>
      <c r="B644" s="125"/>
      <c r="C644" s="126"/>
      <c r="D644" s="126"/>
      <c r="E644" s="126"/>
      <c r="F644" s="137"/>
      <c r="G644" s="217" t="s">
        <v>416</v>
      </c>
      <c r="H644" s="127">
        <f>H645-H643</f>
        <v>-820349.2500000149</v>
      </c>
      <c r="I644" s="126"/>
      <c r="J644" s="126"/>
      <c r="K644" s="126"/>
      <c r="L644" s="228"/>
      <c r="M644" s="228"/>
      <c r="N644" s="228"/>
      <c r="O644" s="137"/>
      <c r="P644" s="125"/>
      <c r="Q644" s="125"/>
    </row>
    <row r="645" spans="1:17" x14ac:dyDescent="0.2">
      <c r="A645" s="125"/>
      <c r="B645" s="125"/>
      <c r="C645" s="126"/>
      <c r="D645" s="126"/>
      <c r="E645" s="126"/>
      <c r="F645" s="137"/>
      <c r="G645" s="137"/>
      <c r="H645" s="127">
        <v>104692531.72</v>
      </c>
      <c r="I645" s="126"/>
      <c r="J645" s="126"/>
      <c r="K645" s="126"/>
      <c r="L645" s="228"/>
      <c r="M645" s="228"/>
      <c r="N645" s="228"/>
      <c r="O645" s="137"/>
      <c r="P645" s="125"/>
      <c r="Q645" s="125"/>
    </row>
    <row r="646" spans="1:17" x14ac:dyDescent="0.2">
      <c r="A646" s="125"/>
      <c r="B646" s="125"/>
      <c r="C646" s="126"/>
      <c r="D646" s="126"/>
      <c r="E646" s="126"/>
      <c r="F646" s="229">
        <v>45275</v>
      </c>
      <c r="G646" s="227" t="s">
        <v>417</v>
      </c>
      <c r="H646" s="127">
        <f>H647-H645</f>
        <v>3101904.5500000119</v>
      </c>
      <c r="I646" s="126"/>
      <c r="J646" s="126"/>
      <c r="K646" s="126"/>
      <c r="L646" s="228"/>
      <c r="M646" s="228"/>
      <c r="N646" s="228"/>
      <c r="O646" s="137"/>
      <c r="P646" s="125"/>
      <c r="Q646" s="125"/>
    </row>
    <row r="647" spans="1:17" x14ac:dyDescent="0.2">
      <c r="A647" s="125"/>
      <c r="B647" s="125"/>
      <c r="C647" s="126"/>
      <c r="D647" s="126"/>
      <c r="E647" s="126"/>
      <c r="F647" s="137"/>
      <c r="G647" s="137"/>
      <c r="H647" s="127">
        <v>107794436.27000001</v>
      </c>
      <c r="I647" s="126"/>
      <c r="J647" s="126"/>
      <c r="K647" s="126"/>
      <c r="L647" s="228"/>
      <c r="M647" s="228"/>
      <c r="N647" s="228"/>
      <c r="O647" s="137"/>
      <c r="P647" s="125"/>
      <c r="Q647" s="125"/>
    </row>
    <row r="648" spans="1:17" x14ac:dyDescent="0.2">
      <c r="A648" s="125"/>
      <c r="B648" s="125"/>
      <c r="C648" s="126"/>
      <c r="D648" s="126"/>
      <c r="E648" s="126"/>
      <c r="F648" s="229">
        <v>45295</v>
      </c>
      <c r="G648" s="227" t="s">
        <v>418</v>
      </c>
      <c r="H648" s="127">
        <f>H649-H647</f>
        <v>1000616.7700000107</v>
      </c>
      <c r="I648" s="126"/>
      <c r="J648" s="126"/>
      <c r="K648" s="126"/>
      <c r="L648" s="228"/>
      <c r="M648" s="228"/>
      <c r="N648" s="228"/>
      <c r="O648" s="137"/>
      <c r="P648" s="125"/>
      <c r="Q648" s="125"/>
    </row>
    <row r="649" spans="1:17" x14ac:dyDescent="0.2">
      <c r="A649" s="125"/>
      <c r="B649" s="125"/>
      <c r="C649" s="126"/>
      <c r="D649" s="126"/>
      <c r="E649" s="126"/>
      <c r="F649" s="137"/>
      <c r="G649" s="137"/>
      <c r="H649" s="127">
        <v>108795053.04000002</v>
      </c>
      <c r="I649" s="126"/>
      <c r="J649" s="126"/>
      <c r="K649" s="126"/>
      <c r="L649" s="228"/>
      <c r="M649" s="228"/>
      <c r="N649" s="228"/>
      <c r="O649" s="137"/>
      <c r="P649" s="125"/>
      <c r="Q649" s="125"/>
    </row>
    <row r="650" spans="1:17" x14ac:dyDescent="0.2">
      <c r="A650" s="125"/>
      <c r="B650" s="125"/>
      <c r="C650" s="126"/>
      <c r="D650" s="126"/>
      <c r="E650" s="126"/>
      <c r="F650" s="229">
        <v>45302</v>
      </c>
      <c r="G650" s="227" t="s">
        <v>419</v>
      </c>
      <c r="H650" s="127">
        <f>H651-H649</f>
        <v>203555.62999999523</v>
      </c>
      <c r="I650" s="126"/>
      <c r="J650" s="126"/>
      <c r="K650" s="126"/>
      <c r="L650" s="228"/>
      <c r="M650" s="228"/>
      <c r="N650" s="228"/>
      <c r="O650" s="137"/>
      <c r="P650" s="125"/>
      <c r="Q650" s="125"/>
    </row>
    <row r="651" spans="1:17" x14ac:dyDescent="0.2">
      <c r="A651" s="125"/>
      <c r="B651" s="125"/>
      <c r="C651" s="126"/>
      <c r="D651" s="126"/>
      <c r="E651" s="126"/>
      <c r="F651" s="137"/>
      <c r="G651" s="137"/>
      <c r="H651" s="127">
        <v>108998608.67000002</v>
      </c>
      <c r="I651" s="126"/>
      <c r="J651" s="126"/>
      <c r="K651" s="126"/>
      <c r="L651" s="228"/>
      <c r="M651" s="228"/>
      <c r="N651" s="228"/>
      <c r="O651" s="137"/>
      <c r="P651" s="125"/>
      <c r="Q651" s="125"/>
    </row>
    <row r="652" spans="1:17" x14ac:dyDescent="0.2">
      <c r="A652" s="125"/>
      <c r="B652" s="125"/>
      <c r="C652" s="126"/>
      <c r="D652" s="126"/>
      <c r="E652" s="126"/>
      <c r="F652" s="229">
        <v>45302</v>
      </c>
      <c r="G652" s="137" t="s">
        <v>412</v>
      </c>
      <c r="H652" s="127">
        <f>H653-H651</f>
        <v>-17286.469999998808</v>
      </c>
      <c r="I652" s="126"/>
      <c r="J652" s="126"/>
      <c r="K652" s="126"/>
      <c r="L652" s="228"/>
      <c r="M652" s="228"/>
      <c r="N652" s="228"/>
      <c r="O652" s="137"/>
      <c r="P652" s="125"/>
      <c r="Q652" s="125"/>
    </row>
    <row r="653" spans="1:17" x14ac:dyDescent="0.2">
      <c r="A653" s="125"/>
      <c r="B653" s="125"/>
      <c r="C653" s="126"/>
      <c r="D653" s="126"/>
      <c r="E653" s="126"/>
      <c r="F653" s="137"/>
      <c r="G653" s="137"/>
      <c r="H653" s="127">
        <v>108981322.20000002</v>
      </c>
      <c r="I653" s="126"/>
      <c r="J653" s="126"/>
      <c r="K653" s="126"/>
      <c r="L653" s="228"/>
      <c r="M653" s="228"/>
      <c r="N653" s="228"/>
      <c r="O653" s="137"/>
      <c r="P653" s="125"/>
      <c r="Q653" s="125"/>
    </row>
    <row r="654" spans="1:17" x14ac:dyDescent="0.2">
      <c r="A654" s="125"/>
      <c r="B654" s="125"/>
      <c r="C654" s="126"/>
      <c r="D654" s="126"/>
      <c r="E654" s="126"/>
      <c r="F654" s="229">
        <v>45303</v>
      </c>
      <c r="G654" s="227" t="s">
        <v>420</v>
      </c>
      <c r="H654" s="127">
        <f>H655-H653</f>
        <v>911887.82999998331</v>
      </c>
      <c r="I654" s="126"/>
      <c r="J654" s="126"/>
      <c r="K654" s="126"/>
      <c r="L654" s="228"/>
      <c r="M654" s="228"/>
      <c r="N654" s="228"/>
      <c r="O654" s="137"/>
      <c r="P654" s="125"/>
      <c r="Q654" s="125"/>
    </row>
    <row r="655" spans="1:17" x14ac:dyDescent="0.2">
      <c r="A655" s="125"/>
      <c r="B655" s="125"/>
      <c r="C655" s="126"/>
      <c r="D655" s="126"/>
      <c r="E655" s="126"/>
      <c r="F655" s="137"/>
      <c r="G655" s="137"/>
      <c r="H655" s="127">
        <v>109893210.03</v>
      </c>
      <c r="I655" s="126"/>
      <c r="J655" s="126"/>
      <c r="K655" s="126"/>
      <c r="L655" s="228"/>
      <c r="M655" s="228"/>
      <c r="N655" s="228"/>
      <c r="O655" s="137"/>
      <c r="P655" s="125"/>
      <c r="Q655" s="125"/>
    </row>
    <row r="656" spans="1:17" x14ac:dyDescent="0.2">
      <c r="A656" s="125"/>
      <c r="B656" s="125"/>
      <c r="C656" s="222"/>
      <c r="D656" s="126"/>
      <c r="E656" s="126"/>
      <c r="F656" s="229">
        <v>45309</v>
      </c>
      <c r="G656" s="227" t="s">
        <v>421</v>
      </c>
      <c r="H656" s="127">
        <f>H657-H655</f>
        <v>19211.810000002384</v>
      </c>
      <c r="I656" s="126"/>
      <c r="J656" s="126"/>
      <c r="K656" s="126"/>
      <c r="L656" s="228"/>
      <c r="M656" s="228"/>
      <c r="N656" s="228"/>
      <c r="O656" s="137"/>
      <c r="P656" s="125"/>
      <c r="Q656" s="125"/>
    </row>
    <row r="657" spans="1:17" x14ac:dyDescent="0.2">
      <c r="A657" s="125"/>
      <c r="B657" s="125"/>
      <c r="C657" s="222"/>
      <c r="D657" s="126"/>
      <c r="E657" s="126"/>
      <c r="F657" s="137"/>
      <c r="G657" s="137"/>
      <c r="H657" s="127">
        <v>109912421.84</v>
      </c>
      <c r="I657" s="126"/>
      <c r="J657" s="126"/>
      <c r="K657" s="126"/>
      <c r="L657" s="228"/>
      <c r="M657" s="228"/>
      <c r="N657" s="228"/>
      <c r="O657" s="137"/>
      <c r="P657" s="125"/>
      <c r="Q657" s="125"/>
    </row>
    <row r="658" spans="1:17" x14ac:dyDescent="0.2">
      <c r="A658" s="125"/>
      <c r="B658" s="125"/>
      <c r="C658" s="222"/>
      <c r="D658" s="126"/>
      <c r="E658" s="126"/>
      <c r="F658" s="229">
        <v>45316</v>
      </c>
      <c r="G658" s="227" t="s">
        <v>422</v>
      </c>
      <c r="H658" s="127">
        <f>H659-H657</f>
        <v>213093.65999999642</v>
      </c>
      <c r="I658" s="126"/>
      <c r="J658" s="126"/>
      <c r="K658" s="126"/>
      <c r="L658" s="228"/>
      <c r="M658" s="228"/>
      <c r="N658" s="228"/>
      <c r="O658" s="137"/>
      <c r="P658" s="125"/>
      <c r="Q658" s="125"/>
    </row>
    <row r="659" spans="1:17" x14ac:dyDescent="0.2">
      <c r="A659" s="125"/>
      <c r="B659" s="125"/>
      <c r="C659" s="222"/>
      <c r="D659" s="126"/>
      <c r="E659" s="126"/>
      <c r="F659" s="137"/>
      <c r="G659" s="137"/>
      <c r="H659" s="127">
        <v>110125515.5</v>
      </c>
      <c r="I659" s="126"/>
      <c r="J659" s="126"/>
      <c r="K659" s="126"/>
      <c r="L659" s="228"/>
      <c r="M659" s="228"/>
      <c r="N659" s="228"/>
      <c r="O659" s="137"/>
      <c r="P659" s="125"/>
      <c r="Q659" s="125"/>
    </row>
    <row r="660" spans="1:17" x14ac:dyDescent="0.2">
      <c r="A660" s="125"/>
      <c r="B660" s="125"/>
      <c r="C660" s="222"/>
      <c r="D660" s="126"/>
      <c r="E660" s="126"/>
      <c r="F660" s="229">
        <v>45321</v>
      </c>
      <c r="G660" s="227" t="s">
        <v>423</v>
      </c>
      <c r="H660" s="127">
        <f>H661-H659</f>
        <v>92727.530000001192</v>
      </c>
      <c r="I660" s="126"/>
      <c r="J660" s="126"/>
      <c r="K660" s="126"/>
      <c r="L660" s="228"/>
      <c r="M660" s="228"/>
      <c r="N660" s="228"/>
      <c r="O660" s="137"/>
      <c r="P660" s="125"/>
      <c r="Q660" s="125"/>
    </row>
    <row r="661" spans="1:17" x14ac:dyDescent="0.2">
      <c r="A661" s="125"/>
      <c r="B661" s="125"/>
      <c r="C661" s="222"/>
      <c r="D661" s="126"/>
      <c r="E661" s="126"/>
      <c r="F661" s="137"/>
      <c r="G661" s="137"/>
      <c r="H661" s="127">
        <v>110218243.03</v>
      </c>
      <c r="I661" s="126"/>
      <c r="J661" s="126"/>
      <c r="K661" s="126"/>
      <c r="L661" s="228"/>
      <c r="M661" s="228"/>
      <c r="N661" s="228"/>
      <c r="O661" s="137"/>
      <c r="P661" s="125"/>
      <c r="Q661" s="125"/>
    </row>
    <row r="662" spans="1:17" x14ac:dyDescent="0.2">
      <c r="A662" s="125"/>
      <c r="B662" s="125"/>
      <c r="C662" s="222"/>
      <c r="D662" s="126"/>
      <c r="E662" s="126"/>
      <c r="F662" s="229">
        <v>45324</v>
      </c>
      <c r="G662" s="227" t="s">
        <v>424</v>
      </c>
      <c r="H662" s="127">
        <f>H663-H661</f>
        <v>31445</v>
      </c>
      <c r="I662" s="126"/>
      <c r="J662" s="126"/>
      <c r="K662" s="126"/>
      <c r="L662" s="228"/>
      <c r="M662" s="228"/>
      <c r="N662" s="228"/>
      <c r="O662" s="137"/>
      <c r="P662" s="125"/>
      <c r="Q662" s="125"/>
    </row>
    <row r="663" spans="1:17" x14ac:dyDescent="0.2">
      <c r="A663" s="125"/>
      <c r="B663" s="125"/>
      <c r="C663" s="126"/>
      <c r="D663" s="126"/>
      <c r="E663" s="126"/>
      <c r="F663" s="137"/>
      <c r="G663" s="137"/>
      <c r="H663" s="127">
        <v>110249688.03</v>
      </c>
      <c r="I663" s="126"/>
      <c r="J663" s="126"/>
      <c r="K663" s="126"/>
      <c r="L663" s="228"/>
      <c r="M663" s="228"/>
      <c r="N663" s="228"/>
      <c r="O663" s="137"/>
      <c r="P663" s="125"/>
      <c r="Q663" s="125"/>
    </row>
    <row r="664" spans="1:17" x14ac:dyDescent="0.2">
      <c r="A664" s="125"/>
      <c r="B664" s="125"/>
      <c r="C664" s="126"/>
      <c r="D664" s="126"/>
      <c r="E664" s="126"/>
      <c r="F664" s="229">
        <v>45328</v>
      </c>
      <c r="G664" s="227" t="s">
        <v>425</v>
      </c>
      <c r="H664" s="127">
        <f>H665-H663</f>
        <v>851166.95000001788</v>
      </c>
      <c r="I664" s="126"/>
      <c r="J664" s="126"/>
      <c r="K664" s="126"/>
      <c r="L664" s="228"/>
      <c r="M664" s="228"/>
      <c r="N664" s="228"/>
      <c r="O664" s="137"/>
      <c r="P664" s="125"/>
      <c r="Q664" s="125"/>
    </row>
    <row r="665" spans="1:17" x14ac:dyDescent="0.2">
      <c r="A665" s="125"/>
      <c r="B665" s="125"/>
      <c r="C665" s="126"/>
      <c r="D665" s="126"/>
      <c r="E665" s="126"/>
      <c r="F665" s="137"/>
      <c r="G665" s="137"/>
      <c r="H665" s="127">
        <v>111100854.98000002</v>
      </c>
      <c r="I665" s="126"/>
      <c r="J665" s="126"/>
      <c r="K665" s="126"/>
      <c r="L665" s="228"/>
      <c r="M665" s="228"/>
      <c r="N665" s="228"/>
      <c r="O665" s="137"/>
      <c r="P665" s="125"/>
      <c r="Q665" s="125"/>
    </row>
    <row r="666" spans="1:17" x14ac:dyDescent="0.2">
      <c r="A666" s="125"/>
      <c r="B666" s="125"/>
      <c r="C666" s="126"/>
      <c r="D666" s="126"/>
      <c r="E666" s="126"/>
      <c r="F666" s="229">
        <v>45330</v>
      </c>
      <c r="G666" s="227" t="s">
        <v>426</v>
      </c>
      <c r="H666" s="127">
        <f>H667-H665</f>
        <v>118855.42999997735</v>
      </c>
      <c r="I666" s="126"/>
      <c r="J666" s="126"/>
      <c r="K666" s="126"/>
      <c r="L666" s="228"/>
      <c r="M666" s="228"/>
      <c r="N666" s="228"/>
      <c r="O666" s="137"/>
      <c r="P666" s="125"/>
      <c r="Q666" s="125"/>
    </row>
    <row r="667" spans="1:17" x14ac:dyDescent="0.2">
      <c r="A667" s="125"/>
      <c r="B667" s="125"/>
      <c r="C667" s="126"/>
      <c r="D667" s="126"/>
      <c r="E667" s="126"/>
      <c r="F667" s="137"/>
      <c r="G667" s="137"/>
      <c r="H667" s="127">
        <v>111219710.41</v>
      </c>
      <c r="I667" s="126"/>
      <c r="J667" s="126"/>
      <c r="K667" s="126"/>
      <c r="L667" s="228"/>
      <c r="M667" s="228"/>
      <c r="N667" s="228"/>
      <c r="O667" s="137"/>
      <c r="P667" s="125"/>
      <c r="Q667" s="125"/>
    </row>
    <row r="668" spans="1:17" x14ac:dyDescent="0.2">
      <c r="A668" s="125"/>
      <c r="B668" s="125"/>
      <c r="C668" s="126"/>
      <c r="D668" s="126"/>
      <c r="E668" s="126"/>
      <c r="F668" s="229">
        <v>45331</v>
      </c>
      <c r="G668" s="227" t="s">
        <v>427</v>
      </c>
      <c r="H668" s="127">
        <f>H669-H667</f>
        <v>391104.73000001907</v>
      </c>
      <c r="I668" s="126"/>
      <c r="J668" s="126"/>
      <c r="K668" s="126"/>
      <c r="L668" s="228"/>
      <c r="M668" s="228"/>
      <c r="N668" s="228"/>
      <c r="O668" s="137"/>
      <c r="P668" s="125"/>
      <c r="Q668" s="125"/>
    </row>
    <row r="669" spans="1:17" x14ac:dyDescent="0.2">
      <c r="A669" s="125"/>
      <c r="B669" s="125"/>
      <c r="C669" s="126"/>
      <c r="D669" s="126"/>
      <c r="E669" s="126"/>
      <c r="F669" s="137"/>
      <c r="G669" s="137"/>
      <c r="H669" s="127">
        <v>111610815.14000002</v>
      </c>
      <c r="I669" s="126"/>
      <c r="J669" s="126"/>
      <c r="K669" s="126"/>
      <c r="L669" s="228"/>
      <c r="M669" s="228"/>
      <c r="N669" s="228"/>
      <c r="O669" s="137"/>
      <c r="P669" s="125"/>
      <c r="Q669" s="125"/>
    </row>
    <row r="670" spans="1:17" x14ac:dyDescent="0.2">
      <c r="A670" s="125"/>
      <c r="B670" s="125"/>
      <c r="C670" s="126"/>
      <c r="D670" s="126"/>
      <c r="E670" s="126"/>
      <c r="F670" s="229">
        <v>45335</v>
      </c>
      <c r="G670" s="274" t="s">
        <v>428</v>
      </c>
      <c r="H670" s="275">
        <f>H671-H669</f>
        <v>1012389.1299999952</v>
      </c>
      <c r="I670" s="126"/>
      <c r="J670" s="126"/>
      <c r="K670" s="126"/>
      <c r="L670" s="228"/>
      <c r="M670" s="228"/>
      <c r="N670" s="228"/>
      <c r="O670" s="137"/>
      <c r="P670" s="125"/>
      <c r="Q670" s="125"/>
    </row>
    <row r="671" spans="1:17" x14ac:dyDescent="0.2">
      <c r="A671" s="125"/>
      <c r="B671" s="125"/>
      <c r="C671" s="126"/>
      <c r="D671" s="126"/>
      <c r="E671" s="126"/>
      <c r="F671" s="137"/>
      <c r="G671" s="137"/>
      <c r="H671" s="127">
        <v>112623204.27000001</v>
      </c>
      <c r="I671" s="126"/>
      <c r="J671" s="126"/>
      <c r="K671" s="126"/>
      <c r="L671" s="228"/>
      <c r="M671" s="228"/>
      <c r="N671" s="228"/>
      <c r="O671" s="137"/>
      <c r="P671" s="125"/>
      <c r="Q671" s="125"/>
    </row>
    <row r="672" spans="1:17" x14ac:dyDescent="0.2">
      <c r="A672" s="125"/>
      <c r="B672" s="125"/>
      <c r="C672" s="126"/>
      <c r="D672" s="126"/>
      <c r="E672" s="126"/>
      <c r="F672" s="229">
        <v>45338</v>
      </c>
      <c r="G672" s="227" t="s">
        <v>468</v>
      </c>
      <c r="H672" s="127">
        <f>H673-H671</f>
        <v>815751.99000000954</v>
      </c>
      <c r="I672" s="126"/>
      <c r="J672" s="126"/>
      <c r="K672" s="126"/>
      <c r="L672" s="228"/>
      <c r="M672" s="228"/>
      <c r="N672" s="228"/>
      <c r="O672" s="137"/>
      <c r="P672" s="125"/>
      <c r="Q672" s="125"/>
    </row>
    <row r="673" spans="1:17" x14ac:dyDescent="0.2">
      <c r="A673" s="125"/>
      <c r="B673" s="125"/>
      <c r="C673" s="126"/>
      <c r="D673" s="126"/>
      <c r="E673" s="126"/>
      <c r="F673" s="137"/>
      <c r="G673" s="137"/>
      <c r="H673" s="127">
        <v>113438956.26000002</v>
      </c>
      <c r="I673" s="126"/>
      <c r="J673" s="126"/>
      <c r="K673" s="126"/>
      <c r="L673" s="228"/>
      <c r="M673" s="228"/>
      <c r="N673" s="228"/>
      <c r="O673" s="137"/>
      <c r="P673" s="125"/>
      <c r="Q673" s="125"/>
    </row>
    <row r="674" spans="1:17" x14ac:dyDescent="0.2">
      <c r="A674" s="125"/>
      <c r="B674" s="125"/>
      <c r="C674" s="126"/>
      <c r="D674" s="126"/>
      <c r="E674" s="126"/>
      <c r="F674" s="229">
        <v>45345</v>
      </c>
      <c r="G674" s="227" t="s">
        <v>469</v>
      </c>
      <c r="H674" s="127">
        <f>H675-H673</f>
        <v>116722.59000000358</v>
      </c>
      <c r="I674" s="126"/>
      <c r="J674" s="126"/>
      <c r="K674" s="126"/>
      <c r="L674" s="228"/>
      <c r="M674" s="228"/>
      <c r="N674" s="228"/>
      <c r="O674" s="137"/>
      <c r="P674" s="125"/>
      <c r="Q674" s="125"/>
    </row>
    <row r="675" spans="1:17" x14ac:dyDescent="0.2">
      <c r="A675" s="125"/>
      <c r="B675" s="125"/>
      <c r="C675" s="126"/>
      <c r="D675" s="126"/>
      <c r="E675" s="126"/>
      <c r="F675" s="137"/>
      <c r="G675" s="137"/>
      <c r="H675" s="166">
        <v>113555678.85000002</v>
      </c>
      <c r="I675" s="126"/>
      <c r="J675" s="126"/>
      <c r="K675" s="126"/>
      <c r="L675" s="228"/>
      <c r="M675" s="228"/>
      <c r="N675" s="228"/>
      <c r="O675" s="137"/>
      <c r="P675" s="125"/>
      <c r="Q675" s="125"/>
    </row>
    <row r="676" spans="1:17" x14ac:dyDescent="0.2">
      <c r="A676" s="125"/>
      <c r="B676" s="125"/>
      <c r="C676" s="126"/>
      <c r="D676" s="126"/>
      <c r="E676" s="126"/>
      <c r="F676" s="229">
        <v>45350</v>
      </c>
      <c r="G676" s="227" t="s">
        <v>470</v>
      </c>
      <c r="H676" s="127">
        <f>H677-H675</f>
        <v>415996.31999997795</v>
      </c>
      <c r="I676" s="126"/>
      <c r="J676" s="126"/>
      <c r="K676" s="126"/>
      <c r="L676" s="228"/>
      <c r="M676" s="228"/>
      <c r="N676" s="228"/>
      <c r="O676" s="137"/>
      <c r="P676" s="125"/>
      <c r="Q676" s="125"/>
    </row>
    <row r="677" spans="1:17" x14ac:dyDescent="0.2">
      <c r="A677" s="125"/>
      <c r="B677" s="125"/>
      <c r="C677" s="126"/>
      <c r="D677" s="126"/>
      <c r="E677" s="126"/>
      <c r="F677" s="137"/>
      <c r="G677" s="137"/>
      <c r="H677" s="127">
        <v>113971675.17</v>
      </c>
      <c r="I677" s="126"/>
      <c r="J677" s="126"/>
      <c r="K677" s="126"/>
      <c r="L677" s="228"/>
      <c r="M677" s="228"/>
      <c r="N677" s="228"/>
      <c r="O677" s="137"/>
      <c r="P677" s="125"/>
      <c r="Q677" s="125"/>
    </row>
    <row r="678" spans="1:17" x14ac:dyDescent="0.2">
      <c r="A678" s="125"/>
      <c r="B678" s="125"/>
      <c r="C678" s="126"/>
      <c r="D678" s="126"/>
      <c r="E678" s="126"/>
      <c r="F678" s="229">
        <v>45358</v>
      </c>
      <c r="G678" s="227" t="s">
        <v>471</v>
      </c>
      <c r="H678" s="127">
        <f>H679-H677</f>
        <v>477285.96000002325</v>
      </c>
      <c r="I678" s="126"/>
      <c r="J678" s="126"/>
      <c r="K678" s="126"/>
      <c r="L678" s="228"/>
      <c r="M678" s="228"/>
      <c r="N678" s="228"/>
      <c r="O678" s="137"/>
      <c r="P678" s="125"/>
      <c r="Q678" s="125"/>
    </row>
    <row r="679" spans="1:17" x14ac:dyDescent="0.2">
      <c r="A679" s="125"/>
      <c r="B679" s="125"/>
      <c r="C679" s="126"/>
      <c r="D679" s="126"/>
      <c r="E679" s="126"/>
      <c r="F679" s="137"/>
      <c r="G679" s="137"/>
      <c r="H679" s="127">
        <v>114448961.13000003</v>
      </c>
      <c r="I679" s="126"/>
      <c r="J679" s="126"/>
      <c r="K679" s="126"/>
      <c r="L679" s="228"/>
      <c r="M679" s="228"/>
      <c r="N679" s="228"/>
      <c r="O679" s="137"/>
      <c r="P679" s="125"/>
      <c r="Q679" s="125"/>
    </row>
    <row r="680" spans="1:17" x14ac:dyDescent="0.2">
      <c r="A680" s="125"/>
      <c r="B680" s="125"/>
      <c r="C680" s="126"/>
      <c r="D680" s="126"/>
      <c r="E680" s="126"/>
      <c r="F680" s="229">
        <v>45365</v>
      </c>
      <c r="G680" s="227" t="s">
        <v>472</v>
      </c>
      <c r="H680" s="127">
        <f>H681-H679</f>
        <v>591757.36999997497</v>
      </c>
      <c r="I680" s="126"/>
      <c r="J680" s="126"/>
      <c r="K680" s="126"/>
      <c r="L680" s="228"/>
      <c r="M680" s="228"/>
      <c r="N680" s="228"/>
      <c r="O680" s="137"/>
      <c r="P680" s="125"/>
      <c r="Q680" s="125"/>
    </row>
    <row r="681" spans="1:17" x14ac:dyDescent="0.2">
      <c r="A681" s="125"/>
      <c r="B681" s="125"/>
      <c r="C681" s="126"/>
      <c r="D681" s="126"/>
      <c r="E681" s="126"/>
      <c r="F681" s="137"/>
      <c r="G681" s="137"/>
      <c r="H681" s="127">
        <v>115040718.5</v>
      </c>
      <c r="I681" s="126"/>
      <c r="J681" s="126"/>
      <c r="K681" s="126"/>
      <c r="L681" s="228"/>
      <c r="M681" s="228"/>
      <c r="N681" s="228"/>
      <c r="O681" s="137"/>
      <c r="P681" s="125"/>
      <c r="Q681" s="125"/>
    </row>
    <row r="682" spans="1:17" x14ac:dyDescent="0.2">
      <c r="A682" s="125"/>
      <c r="B682" s="125"/>
      <c r="C682" s="126"/>
      <c r="D682" s="126"/>
      <c r="E682" s="126"/>
      <c r="F682" s="229">
        <v>45372</v>
      </c>
      <c r="G682" s="227" t="s">
        <v>473</v>
      </c>
      <c r="H682" s="127">
        <f>H683-H681</f>
        <v>489509.40000000596</v>
      </c>
      <c r="I682" s="126"/>
      <c r="J682" s="126"/>
      <c r="K682" s="126"/>
      <c r="L682" s="228"/>
      <c r="M682" s="228"/>
      <c r="N682" s="228"/>
      <c r="O682" s="137"/>
      <c r="P682" s="125"/>
      <c r="Q682" s="125"/>
    </row>
    <row r="683" spans="1:17" x14ac:dyDescent="0.2">
      <c r="A683" s="125"/>
      <c r="B683" s="125"/>
      <c r="C683" s="126"/>
      <c r="D683" s="126"/>
      <c r="E683" s="126"/>
      <c r="F683" s="137"/>
      <c r="G683" s="137"/>
      <c r="H683" s="127">
        <v>115530227.90000001</v>
      </c>
      <c r="I683" s="126"/>
      <c r="J683" s="126"/>
      <c r="K683" s="126"/>
      <c r="L683" s="228"/>
      <c r="M683" s="228"/>
      <c r="N683" s="228"/>
      <c r="O683" s="137"/>
      <c r="P683" s="125"/>
      <c r="Q683" s="125"/>
    </row>
  </sheetData>
  <conditionalFormatting sqref="A7:Q565">
    <cfRule type="expression" dxfId="86" priority="133">
      <formula>$L7&lt;0</formula>
    </cfRule>
  </conditionalFormatting>
  <conditionalFormatting sqref="H675">
    <cfRule type="expression" dxfId="85" priority="132">
      <formula>$L675&lt;0</formula>
    </cfRule>
  </conditionalFormatting>
  <conditionalFormatting sqref="L1:L683 A7:K7 M7:Q7">
    <cfRule type="cellIs" dxfId="84" priority="134" operator="lessThan">
      <formula>0</formula>
    </cfRule>
  </conditionalFormatting>
  <conditionalFormatting sqref="S9:T23">
    <cfRule type="cellIs" dxfId="83" priority="49" operator="lessThan">
      <formula>0</formula>
    </cfRule>
  </conditionalFormatting>
  <conditionalFormatting sqref="S31:T45">
    <cfRule type="cellIs" dxfId="82" priority="47" operator="lessThan">
      <formula>0</formula>
    </cfRule>
  </conditionalFormatting>
  <conditionalFormatting sqref="S52:T65">
    <cfRule type="cellIs" dxfId="81" priority="45" operator="lessThan">
      <formula>0</formula>
    </cfRule>
  </conditionalFormatting>
  <conditionalFormatting sqref="S70:T74">
    <cfRule type="cellIs" dxfId="80" priority="44" operator="lessThan">
      <formula>0</formula>
    </cfRule>
  </conditionalFormatting>
  <conditionalFormatting sqref="S83:T93">
    <cfRule type="cellIs" dxfId="79" priority="42" operator="lessThan">
      <formula>0</formula>
    </cfRule>
  </conditionalFormatting>
  <conditionalFormatting sqref="S104:T117">
    <cfRule type="cellIs" dxfId="78" priority="40" operator="lessThan">
      <formula>0</formula>
    </cfRule>
  </conditionalFormatting>
  <conditionalFormatting sqref="S125:T141">
    <cfRule type="cellIs" dxfId="77" priority="38" operator="lessThan">
      <formula>0</formula>
    </cfRule>
  </conditionalFormatting>
  <conditionalFormatting sqref="S150:T161">
    <cfRule type="cellIs" dxfId="76" priority="37" operator="lessThan">
      <formula>0</formula>
    </cfRule>
  </conditionalFormatting>
  <conditionalFormatting sqref="S168:T179">
    <cfRule type="cellIs" dxfId="75" priority="36" operator="lessThan">
      <formula>0</formula>
    </cfRule>
  </conditionalFormatting>
  <conditionalFormatting sqref="S188:T201">
    <cfRule type="cellIs" dxfId="74" priority="34" operator="lessThan">
      <formula>0</formula>
    </cfRule>
  </conditionalFormatting>
  <conditionalFormatting sqref="S210:T223">
    <cfRule type="cellIs" dxfId="73" priority="33" operator="lessThan">
      <formula>0</formula>
    </cfRule>
  </conditionalFormatting>
  <conditionalFormatting sqref="S232:T243">
    <cfRule type="cellIs" dxfId="72" priority="32" operator="lessThan">
      <formula>0</formula>
    </cfRule>
  </conditionalFormatting>
  <conditionalFormatting sqref="S252:T262">
    <cfRule type="cellIs" dxfId="71" priority="30" operator="lessThan">
      <formula>0</formula>
    </cfRule>
  </conditionalFormatting>
  <conditionalFormatting sqref="S269:T285">
    <cfRule type="cellIs" dxfId="70" priority="28" operator="lessThan">
      <formula>0</formula>
    </cfRule>
  </conditionalFormatting>
  <conditionalFormatting sqref="S293:T293">
    <cfRule type="cellIs" dxfId="69" priority="27" operator="lessThan">
      <formula>0</formula>
    </cfRule>
  </conditionalFormatting>
  <conditionalFormatting sqref="S315:T315">
    <cfRule type="cellIs" dxfId="68" priority="26" operator="lessThan">
      <formula>0</formula>
    </cfRule>
  </conditionalFormatting>
  <conditionalFormatting sqref="S28:U29">
    <cfRule type="cellIs" dxfId="67" priority="48" operator="lessThan">
      <formula>0</formula>
    </cfRule>
  </conditionalFormatting>
  <conditionalFormatting sqref="S50:U50">
    <cfRule type="cellIs" dxfId="66" priority="46" operator="lessThan">
      <formula>0</formula>
    </cfRule>
  </conditionalFormatting>
  <conditionalFormatting sqref="S79:U81">
    <cfRule type="cellIs" dxfId="65" priority="43" operator="lessThan">
      <formula>0</formula>
    </cfRule>
  </conditionalFormatting>
  <conditionalFormatting sqref="S98:U102">
    <cfRule type="cellIs" dxfId="64" priority="41" operator="lessThan">
      <formula>0</formula>
    </cfRule>
  </conditionalFormatting>
  <conditionalFormatting sqref="S122:U123">
    <cfRule type="cellIs" dxfId="63" priority="39" operator="lessThan">
      <formula>0</formula>
    </cfRule>
  </conditionalFormatting>
  <conditionalFormatting sqref="S184:U186">
    <cfRule type="cellIs" dxfId="62" priority="35" operator="lessThan">
      <formula>0</formula>
    </cfRule>
  </conditionalFormatting>
  <conditionalFormatting sqref="S248:U250">
    <cfRule type="cellIs" dxfId="61" priority="31" operator="lessThan">
      <formula>0</formula>
    </cfRule>
  </conditionalFormatting>
  <conditionalFormatting sqref="S267:U267">
    <cfRule type="cellIs" dxfId="60" priority="29" operator="lessThan">
      <formula>0</formula>
    </cfRule>
  </conditionalFormatting>
  <conditionalFormatting sqref="S7:V7">
    <cfRule type="cellIs" dxfId="59" priority="126" operator="lessThan">
      <formula>0</formula>
    </cfRule>
  </conditionalFormatting>
  <conditionalFormatting sqref="S7:W95">
    <cfRule type="expression" dxfId="58" priority="123">
      <formula>$L7&lt;0</formula>
    </cfRule>
  </conditionalFormatting>
  <conditionalFormatting sqref="S119:Z119">
    <cfRule type="expression" dxfId="57" priority="23">
      <formula>$L119&lt;0</formula>
    </cfRule>
  </conditionalFormatting>
  <conditionalFormatting sqref="S143:Z143">
    <cfRule type="expression" dxfId="56" priority="22">
      <formula>$L143&lt;0</formula>
    </cfRule>
  </conditionalFormatting>
  <conditionalFormatting sqref="S163:Z163">
    <cfRule type="expression" dxfId="55" priority="21">
      <formula>$L163&lt;0</formula>
    </cfRule>
  </conditionalFormatting>
  <conditionalFormatting sqref="S181:Z181">
    <cfRule type="expression" dxfId="54" priority="20">
      <formula>$L181&lt;0</formula>
    </cfRule>
  </conditionalFormatting>
  <conditionalFormatting sqref="S203:Z203">
    <cfRule type="expression" dxfId="53" priority="19">
      <formula>$L203&lt;0</formula>
    </cfRule>
  </conditionalFormatting>
  <conditionalFormatting sqref="S225:Z225">
    <cfRule type="expression" dxfId="52" priority="18">
      <formula>$L225&lt;0</formula>
    </cfRule>
  </conditionalFormatting>
  <conditionalFormatting sqref="S245:Z245">
    <cfRule type="expression" dxfId="51" priority="17">
      <formula>$L245&lt;0</formula>
    </cfRule>
  </conditionalFormatting>
  <conditionalFormatting sqref="S264:Z264">
    <cfRule type="expression" dxfId="50" priority="16">
      <formula>$L264&lt;0</formula>
    </cfRule>
  </conditionalFormatting>
  <conditionalFormatting sqref="S287:Z287">
    <cfRule type="expression" dxfId="49" priority="15">
      <formula>$L287&lt;0</formula>
    </cfRule>
  </conditionalFormatting>
  <conditionalFormatting sqref="S308:Z308">
    <cfRule type="expression" dxfId="48" priority="14">
      <formula>$L308&lt;0</formula>
    </cfRule>
  </conditionalFormatting>
  <conditionalFormatting sqref="S334:Z336">
    <cfRule type="expression" dxfId="47" priority="12">
      <formula>$L334&lt;0</formula>
    </cfRule>
  </conditionalFormatting>
  <conditionalFormatting sqref="S342:Z342">
    <cfRule type="expression" dxfId="46" priority="11">
      <formula>$L342&lt;0</formula>
    </cfRule>
  </conditionalFormatting>
  <conditionalFormatting sqref="S349:Z349">
    <cfRule type="expression" dxfId="45" priority="10">
      <formula>$L349&lt;0</formula>
    </cfRule>
  </conditionalFormatting>
  <conditionalFormatting sqref="S355:Z355">
    <cfRule type="expression" dxfId="44" priority="9">
      <formula>$L355&lt;0</formula>
    </cfRule>
  </conditionalFormatting>
  <conditionalFormatting sqref="S362:Z362">
    <cfRule type="expression" dxfId="43" priority="8">
      <formula>$L362&lt;0</formula>
    </cfRule>
  </conditionalFormatting>
  <conditionalFormatting sqref="S368:Z368">
    <cfRule type="expression" dxfId="42" priority="7">
      <formula>$L368&lt;0</formula>
    </cfRule>
  </conditionalFormatting>
  <conditionalFormatting sqref="S377:Z377">
    <cfRule type="expression" dxfId="41" priority="6">
      <formula>$L377&lt;0</formula>
    </cfRule>
  </conditionalFormatting>
  <conditionalFormatting sqref="S383:Z383">
    <cfRule type="expression" dxfId="40" priority="5">
      <formula>$L383&lt;0</formula>
    </cfRule>
  </conditionalFormatting>
  <conditionalFormatting sqref="S395:Z395">
    <cfRule type="expression" dxfId="39" priority="4">
      <formula>$L395&lt;0</formula>
    </cfRule>
  </conditionalFormatting>
  <conditionalFormatting sqref="S404:Z404">
    <cfRule type="expression" dxfId="38" priority="3">
      <formula>$L404&lt;0</formula>
    </cfRule>
  </conditionalFormatting>
  <conditionalFormatting sqref="S415:Z415">
    <cfRule type="expression" dxfId="37" priority="2">
      <formula>$L415&lt;0</formula>
    </cfRule>
  </conditionalFormatting>
  <conditionalFormatting sqref="S423:Z423">
    <cfRule type="expression" dxfId="36" priority="1">
      <formula>$L423&lt;0</formula>
    </cfRule>
  </conditionalFormatting>
  <conditionalFormatting sqref="U70:U73">
    <cfRule type="cellIs" dxfId="35" priority="83" operator="lessThan">
      <formula>0</formula>
    </cfRule>
  </conditionalFormatting>
  <conditionalFormatting sqref="V9:V23">
    <cfRule type="cellIs" dxfId="34" priority="124" operator="lessThan">
      <formula>0</formula>
    </cfRule>
  </conditionalFormatting>
  <conditionalFormatting sqref="W7:Z7 Z8:Z23">
    <cfRule type="cellIs" dxfId="33" priority="129" operator="lessThan">
      <formula>0</formula>
    </cfRule>
  </conditionalFormatting>
  <conditionalFormatting sqref="X9:Y23">
    <cfRule type="cellIs" dxfId="32" priority="121" operator="lessThan">
      <formula>0</formula>
    </cfRule>
  </conditionalFormatting>
  <conditionalFormatting sqref="X28:Y45">
    <cfRule type="cellIs" dxfId="31" priority="116" operator="lessThan">
      <formula>0</formula>
    </cfRule>
  </conditionalFormatting>
  <conditionalFormatting sqref="X50:Y65">
    <cfRule type="cellIs" dxfId="30" priority="76" operator="lessThan">
      <formula>0</formula>
    </cfRule>
  </conditionalFormatting>
  <conditionalFormatting sqref="X70:Y74">
    <cfRule type="cellIs" dxfId="29" priority="75" operator="lessThan">
      <formula>0</formula>
    </cfRule>
  </conditionalFormatting>
  <conditionalFormatting sqref="X79:Y93">
    <cfRule type="cellIs" dxfId="28" priority="74" operator="lessThan">
      <formula>0</formula>
    </cfRule>
  </conditionalFormatting>
  <conditionalFormatting sqref="X98:Y117">
    <cfRule type="cellIs" dxfId="27" priority="73" operator="lessThan">
      <formula>0</formula>
    </cfRule>
  </conditionalFormatting>
  <conditionalFormatting sqref="X122:Y141">
    <cfRule type="cellIs" dxfId="26" priority="72" operator="lessThan">
      <formula>0</formula>
    </cfRule>
  </conditionalFormatting>
  <conditionalFormatting sqref="X148:Y161">
    <cfRule type="cellIs" dxfId="25" priority="71" operator="lessThan">
      <formula>0</formula>
    </cfRule>
  </conditionalFormatting>
  <conditionalFormatting sqref="X167:Y179">
    <cfRule type="cellIs" dxfId="24" priority="70" operator="lessThan">
      <formula>0</formula>
    </cfRule>
  </conditionalFormatting>
  <conditionalFormatting sqref="X184:Y201">
    <cfRule type="cellIs" dxfId="23" priority="69" operator="lessThan">
      <formula>0</formula>
    </cfRule>
  </conditionalFormatting>
  <conditionalFormatting sqref="X208:Y223">
    <cfRule type="cellIs" dxfId="22" priority="68" operator="lessThan">
      <formula>0</formula>
    </cfRule>
  </conditionalFormatting>
  <conditionalFormatting sqref="X232:Y243">
    <cfRule type="cellIs" dxfId="21" priority="67" operator="lessThan">
      <formula>0</formula>
    </cfRule>
  </conditionalFormatting>
  <conditionalFormatting sqref="X248:Y262">
    <cfRule type="cellIs" dxfId="20" priority="66" operator="lessThan">
      <formula>0</formula>
    </cfRule>
  </conditionalFormatting>
  <conditionalFormatting sqref="X267:Y285">
    <cfRule type="cellIs" dxfId="19" priority="65" operator="lessThan">
      <formula>0</formula>
    </cfRule>
  </conditionalFormatting>
  <conditionalFormatting sqref="X293:Y293">
    <cfRule type="cellIs" dxfId="18" priority="64" operator="lessThan">
      <formula>0</formula>
    </cfRule>
  </conditionalFormatting>
  <conditionalFormatting sqref="X315:Y315">
    <cfRule type="cellIs" dxfId="17" priority="63" operator="lessThan">
      <formula>0</formula>
    </cfRule>
    <cfRule type="colorScale" priority="62">
      <colorScale>
        <cfvo type="min"/>
        <cfvo type="percentile" val="50"/>
        <cfvo type="max"/>
        <color rgb="FFF8696B"/>
        <color rgb="FFFCFCFF"/>
        <color rgb="FF63BE7B"/>
      </colorScale>
    </cfRule>
  </conditionalFormatting>
  <conditionalFormatting sqref="X339:Y340">
    <cfRule type="cellIs" dxfId="16" priority="61" operator="lessThan">
      <formula>0</formula>
    </cfRule>
  </conditionalFormatting>
  <conditionalFormatting sqref="X345:Y347">
    <cfRule type="cellIs" dxfId="15" priority="60" operator="lessThan">
      <formula>0</formula>
    </cfRule>
  </conditionalFormatting>
  <conditionalFormatting sqref="X352:Y353">
    <cfRule type="cellIs" dxfId="14" priority="59" operator="lessThan">
      <formula>0</formula>
    </cfRule>
  </conditionalFormatting>
  <conditionalFormatting sqref="X358:Y360">
    <cfRule type="cellIs" dxfId="13" priority="58" operator="lessThan">
      <formula>0</formula>
    </cfRule>
  </conditionalFormatting>
  <conditionalFormatting sqref="X365:Y366">
    <cfRule type="cellIs" dxfId="12" priority="57" operator="lessThan">
      <formula>0</formula>
    </cfRule>
  </conditionalFormatting>
  <conditionalFormatting sqref="X371:Y375">
    <cfRule type="cellIs" dxfId="11" priority="56" operator="lessThan">
      <formula>0</formula>
    </cfRule>
  </conditionalFormatting>
  <conditionalFormatting sqref="X380:Y381">
    <cfRule type="cellIs" dxfId="10" priority="55" operator="lessThan">
      <formula>0</formula>
    </cfRule>
  </conditionalFormatting>
  <conditionalFormatting sqref="X386:Y393">
    <cfRule type="cellIs" dxfId="9" priority="54" operator="lessThan">
      <formula>0</formula>
    </cfRule>
  </conditionalFormatting>
  <conditionalFormatting sqref="X400:Y402">
    <cfRule type="cellIs" dxfId="8" priority="53" operator="lessThan">
      <formula>0</formula>
    </cfRule>
  </conditionalFormatting>
  <conditionalFormatting sqref="X410:Y412">
    <cfRule type="cellIs" dxfId="7" priority="52" operator="lessThan">
      <formula>0</formula>
    </cfRule>
  </conditionalFormatting>
  <conditionalFormatting sqref="X418:Y421">
    <cfRule type="cellIs" dxfId="6" priority="51" operator="lessThan">
      <formula>0</formula>
    </cfRule>
  </conditionalFormatting>
  <conditionalFormatting sqref="X426:Y426">
    <cfRule type="cellIs" dxfId="5" priority="25" operator="lessThan">
      <formula>0</formula>
    </cfRule>
  </conditionalFormatting>
  <conditionalFormatting sqref="X428:Y430">
    <cfRule type="cellIs" dxfId="4" priority="50" operator="lessThan">
      <formula>0</formula>
    </cfRule>
  </conditionalFormatting>
  <conditionalFormatting sqref="X7:Z94 S96:Z118 S120:Z142 S144:Z162 S164:Z180 S182:Z202 S204:Z224 S226:Z244 S246:Z263 S265:Z286 S288:Z307 S309:Z333 S337:Z341 S343:Z348 S350:Z354 S356:Z361 S363:Z367 S369:Z376 S378:Z382 S384:Z394 S396:Z403 S405:Z414 S416:Z422 S424:Z565">
    <cfRule type="expression" dxfId="3" priority="128">
      <formula>$L7&lt;0</formula>
    </cfRule>
  </conditionalFormatting>
  <conditionalFormatting sqref="X95:Z95">
    <cfRule type="expression" dxfId="2" priority="24">
      <formula>$L95&lt;0</formula>
    </cfRule>
  </conditionalFormatting>
  <conditionalFormatting sqref="AA7:AC7">
    <cfRule type="cellIs" dxfId="1" priority="131" operator="lessThan">
      <formula>0</formula>
    </cfRule>
  </conditionalFormatting>
  <conditionalFormatting sqref="AA7:AC565">
    <cfRule type="expression" dxfId="0" priority="130">
      <formula>$L7&lt;0</formula>
    </cfRule>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aab5a46-2bc3-4c92-a271-448cca1da9dc">
      <Terms xmlns="http://schemas.microsoft.com/office/infopath/2007/PartnerControls"/>
    </lcf76f155ced4ddcb4097134ff3c332f>
    <TaxCatchAll xmlns="176cbe70-41d0-4d0d-93d7-b7bb590be22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C7D2513532D204BBD7C710C64FBE324" ma:contentTypeVersion="18" ma:contentTypeDescription="Create a new document." ma:contentTypeScope="" ma:versionID="2d85b38a99a10e11226745378b9c71b2">
  <xsd:schema xmlns:xsd="http://www.w3.org/2001/XMLSchema" xmlns:xs="http://www.w3.org/2001/XMLSchema" xmlns:p="http://schemas.microsoft.com/office/2006/metadata/properties" xmlns:ns2="176cbe70-41d0-4d0d-93d7-b7bb590be226" xmlns:ns3="1aab5a46-2bc3-4c92-a271-448cca1da9dc" targetNamespace="http://schemas.microsoft.com/office/2006/metadata/properties" ma:root="true" ma:fieldsID="810463d24ea8c039e23e6c8f38e32527" ns2:_="" ns3:_="">
    <xsd:import namespace="176cbe70-41d0-4d0d-93d7-b7bb590be226"/>
    <xsd:import namespace="1aab5a46-2bc3-4c92-a271-448cca1da9d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cbe70-41d0-4d0d-93d7-b7bb590be226"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4c798f33-3d80-4f62-8d00-3bced575e494}" ma:internalName="TaxCatchAll" ma:showField="CatchAllData" ma:web="176cbe70-41d0-4d0d-93d7-b7bb590be22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aab5a46-2bc3-4c92-a271-448cca1da9dc"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68de63f-17c9-4549-bd0e-40c937605a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B71886-8CD2-4113-BC04-A59CBD4FACCD}">
  <ds:schemaRefs>
    <ds:schemaRef ds:uri="http://www.w3.org/XML/1998/namespace"/>
    <ds:schemaRef ds:uri="http://purl.org/dc/dcmitype/"/>
    <ds:schemaRef ds:uri="fb01b7f1-02f8-40dd-82e7-c2f3d510b46c"/>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0c8ef2fa-e185-4145-9060-da5e913317f5"/>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9B175585-1652-4F4F-BC77-408AF667F743}"/>
</file>

<file path=customXml/itemProps3.xml><?xml version="1.0" encoding="utf-8"?>
<ds:datastoreItem xmlns:ds="http://schemas.openxmlformats.org/officeDocument/2006/customXml" ds:itemID="{F60A015F-F234-4431-87C5-EE4882CDF61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2022A Revised</vt:lpstr>
      <vt:lpstr>Adjustment-42nd Amendment</vt:lpstr>
      <vt:lpstr>summary 8-14-23</vt:lpstr>
      <vt:lpstr>summary 2-14-24</vt:lpstr>
      <vt:lpstr>summary Final 4-19-24</vt:lpstr>
      <vt:lpstr>'2022A Revised'!Print_Area</vt:lpstr>
      <vt:lpstr>'2022A Revised'!Print_Titles</vt:lpstr>
    </vt:vector>
  </TitlesOfParts>
  <Company>University System of Maryland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2022A DS Final</dc:title>
  <dc:creator>Mei-Chin Yang</dc:creator>
  <cp:lastModifiedBy>Cindy Lui</cp:lastModifiedBy>
  <cp:lastPrinted>2024-05-21T20:19:46Z</cp:lastPrinted>
  <dcterms:created xsi:type="dcterms:W3CDTF">2011-02-21T16:49:07Z</dcterms:created>
  <dcterms:modified xsi:type="dcterms:W3CDTF">2026-04-20T20:16:38Z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0x0101001C7D2513532D204BBD7C710C64FBE324</vt:lpwstr>
  </property>
  <property fmtid="{D5CDD505-2E9C-101B-9397-08002B2CF9AE}" pid="3" name="MediaServiceImageTags">
    <vt:lpwstr/>
  </property>
</Properties>
</file>