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65416" windowWidth="7680" windowHeight="8715" tabRatio="832" activeTab="0"/>
  </bookViews>
  <sheets>
    <sheet name="2008A" sheetId="1" r:id="rId1"/>
    <sheet name="Academic Project" sheetId="2" r:id="rId2"/>
    <sheet name="Percentage - Final" sheetId="3" r:id="rId3"/>
  </sheets>
  <definedNames>
    <definedName name="_xlnm.Print_Titles" localSheetId="0">'2008A'!$A:$A</definedName>
    <definedName name="_xlnm.Print_Titles" localSheetId="1">'Academic Project'!$A:$A</definedName>
  </definedNames>
  <calcPr fullCalcOnLoad="1"/>
</workbook>
</file>

<file path=xl/sharedStrings.xml><?xml version="1.0" encoding="utf-8"?>
<sst xmlns="http://schemas.openxmlformats.org/spreadsheetml/2006/main" count="491" uniqueCount="130">
  <si>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</si>
  <si>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</si>
  <si>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</si>
  <si>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</si>
  <si>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</si>
  <si>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</si>
  <si>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</si>
  <si>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</si>
  <si>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</si>
  <si>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</si>
  <si>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</si>
  <si>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</si>
  <si>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</si>
  <si>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</si>
  <si>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</si>
  <si>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Debt Svc from Earnings and Accrued Interest</t>
  </si>
  <si>
    <t>UMB</t>
  </si>
  <si>
    <t>22th Acad</t>
  </si>
  <si>
    <t>UMES</t>
  </si>
  <si>
    <t>Utilities Upgrade/Site Improve</t>
  </si>
  <si>
    <t>Facilities Renewal</t>
  </si>
  <si>
    <t>UMBC</t>
  </si>
  <si>
    <t>BSU</t>
  </si>
  <si>
    <t>FSU</t>
  </si>
  <si>
    <t>TU</t>
  </si>
  <si>
    <t>UB</t>
  </si>
  <si>
    <t>Health/Human Service Bldg</t>
  </si>
  <si>
    <t>Resident Hall Renovations</t>
  </si>
  <si>
    <t>USMO</t>
  </si>
  <si>
    <t>New Recreation &amp; Athletic Fac</t>
  </si>
  <si>
    <t xml:space="preserve">        UMES Utilities Upgrade (Academic)</t>
  </si>
  <si>
    <t>24th Aux</t>
  </si>
  <si>
    <t xml:space="preserve">        BSU Facilities Renewal (Academic)</t>
  </si>
  <si>
    <t xml:space="preserve">   CSU Health/Human Service Bldg (Academic)</t>
  </si>
  <si>
    <t xml:space="preserve">        FSU Facilities Renewal (Academic)</t>
  </si>
  <si>
    <t>New Campus Center</t>
  </si>
  <si>
    <t xml:space="preserve">           UMB Facilities Renewal (Academic)</t>
  </si>
  <si>
    <t xml:space="preserve">        UMB New Campus Center (Auxiliary)</t>
  </si>
  <si>
    <t xml:space="preserve">   UMBC Resident Hall Renovation (Auxiliary)</t>
  </si>
  <si>
    <t xml:space="preserve">    UMBC New Recreation &amp; Athletic (Auxiliary)</t>
  </si>
  <si>
    <t xml:space="preserve">    USMO Shady Grove Parking Lot 2 (Auxiliary)</t>
  </si>
  <si>
    <t xml:space="preserve"> </t>
  </si>
  <si>
    <t>Towsontown Garage Expansion</t>
  </si>
  <si>
    <t>Towson Center Arena Improvement</t>
  </si>
  <si>
    <t xml:space="preserve">         TU Towsontown Garage (Auxiliary)</t>
  </si>
  <si>
    <t xml:space="preserve">      TU Towson Center Arena (Auxiliary)</t>
  </si>
  <si>
    <t>22nd Acad</t>
  </si>
  <si>
    <t>UMBI</t>
  </si>
  <si>
    <t>26th Aux</t>
  </si>
  <si>
    <t>West Village Infrastructure &amp; Site Improvement</t>
  </si>
  <si>
    <t xml:space="preserve">    TU West Village Infrastructure (Auxiliary)</t>
  </si>
  <si>
    <t>26,27th Acad</t>
  </si>
  <si>
    <t>20th Acad</t>
  </si>
  <si>
    <t>27th Aux</t>
  </si>
  <si>
    <t>Fraternity/Sorority Houses Renovation</t>
  </si>
  <si>
    <t>Golf Course Improvements</t>
  </si>
  <si>
    <t>SCUB Utilities Facility</t>
  </si>
  <si>
    <t>CSU</t>
  </si>
  <si>
    <t>Parking Garage</t>
  </si>
  <si>
    <t>SU</t>
  </si>
  <si>
    <t>Lane Center Renovation/Addition</t>
  </si>
  <si>
    <t>Holmes Hall &amp; Tubman Hall Renovation</t>
  </si>
  <si>
    <t xml:space="preserve">   UMCP Fraternity/Sorority Houses (Auxiliary)</t>
  </si>
  <si>
    <t xml:space="preserve">    BSU Holmes Hall &amp; Tubman Hall (Auxiliary)</t>
  </si>
  <si>
    <t xml:space="preserve">           CSU Parking Garage (Auxiliary)</t>
  </si>
  <si>
    <t xml:space="preserve">       FSU Lane Center Renovation (Auxiliary)</t>
  </si>
  <si>
    <t xml:space="preserve">           SU New Parking Garage (Auxiliary)</t>
  </si>
  <si>
    <t xml:space="preserve">      UMCP SCUB Utilities Facility (Auxiliary)</t>
  </si>
  <si>
    <t>28th Acad</t>
  </si>
  <si>
    <t>25th Acad</t>
  </si>
  <si>
    <t>Shady Grove Education Center III</t>
  </si>
  <si>
    <t>24th Acad</t>
  </si>
  <si>
    <t>West Village Dining Commons</t>
  </si>
  <si>
    <t>26,27th Aux</t>
  </si>
  <si>
    <t>Wicomico Hall Renovation</t>
  </si>
  <si>
    <t xml:space="preserve">   UMES Wicomico Hall Renovation (Auxiliary)</t>
  </si>
  <si>
    <t xml:space="preserve">    TU West Village Dining Commons (Auxiliary)</t>
  </si>
  <si>
    <t>Byrd Stadium Expansion</t>
  </si>
  <si>
    <t xml:space="preserve">        CSU Facilities Renewal (Academic)</t>
  </si>
  <si>
    <t xml:space="preserve">      Total Debt Services - 2008 Series A</t>
  </si>
  <si>
    <t xml:space="preserve">           Total Academic Projects - 2008A</t>
  </si>
  <si>
    <t>2008 Series A Bond Funded Projects</t>
  </si>
  <si>
    <t xml:space="preserve">           Total Auxiliary Projects - 2008A</t>
  </si>
  <si>
    <t>27th Acad</t>
  </si>
  <si>
    <t>Emergency Projects</t>
  </si>
  <si>
    <t>Athletic Practice Fields</t>
  </si>
  <si>
    <t>27,28th Aux</t>
  </si>
  <si>
    <t>Shady Grove Center Parking Garage</t>
  </si>
  <si>
    <t>Dormitory Renovations, Campus-Wide</t>
  </si>
  <si>
    <t>New Parking Garage &amp; Property Acquisition</t>
  </si>
  <si>
    <t>2008 Series A Bonds</t>
  </si>
  <si>
    <t xml:space="preserve">           UMBI Facilities Renewal (Academic)</t>
  </si>
  <si>
    <t xml:space="preserve">         UMBC Facilities Renewal (Academic)</t>
  </si>
  <si>
    <t xml:space="preserve">  USMO Shady Grove Education III (Academic)</t>
  </si>
  <si>
    <t xml:space="preserve">        BSU Emergency Projects (Academic)</t>
  </si>
  <si>
    <t xml:space="preserve">        FSU Emergency Projects (Academic)</t>
  </si>
  <si>
    <t xml:space="preserve">          SU Facilities Renewal (Academic)</t>
  </si>
  <si>
    <t xml:space="preserve">          TU Facilities Renewal (Academic)</t>
  </si>
  <si>
    <t xml:space="preserve">         TU Emergency Projects (Academic)</t>
  </si>
  <si>
    <t xml:space="preserve">          UB Facilities Renewal (Academic)</t>
  </si>
  <si>
    <t xml:space="preserve">         UB Emergency Projects (Academic)</t>
  </si>
  <si>
    <t xml:space="preserve">    UMCP Byrd Stadium Expansion (Auxiliary)</t>
  </si>
  <si>
    <t xml:space="preserve">              UMCP Golf Course (Auxiliary)</t>
  </si>
  <si>
    <t xml:space="preserve">     UMBC Athletic Practice Fields (Auxiliary)</t>
  </si>
  <si>
    <t xml:space="preserve">       SU Dormitory Renovations (Auxiliary)</t>
  </si>
  <si>
    <t>24,25,26,28,29th Acad</t>
  </si>
  <si>
    <t>New Journalism Building</t>
  </si>
  <si>
    <t>Pharmacy Hall Addition and Renovation</t>
  </si>
  <si>
    <t>26,27,28th Acad</t>
  </si>
  <si>
    <t>21,22,24,25,26,27,28th Acad</t>
  </si>
  <si>
    <t>CEES</t>
  </si>
  <si>
    <t>25,26,27,28th Acad</t>
  </si>
  <si>
    <t>24,25,26,27th Acad</t>
  </si>
  <si>
    <t>24,25th Acad</t>
  </si>
  <si>
    <t>21,24,28th Acad</t>
  </si>
  <si>
    <t>21,22nd Acad</t>
  </si>
  <si>
    <t>28th Aux</t>
  </si>
  <si>
    <t>New Student Center</t>
  </si>
  <si>
    <t>26,27,28th Aux</t>
  </si>
  <si>
    <t>Dining Hall: Upgrades</t>
  </si>
  <si>
    <t>21,25,26,27th Aux</t>
  </si>
  <si>
    <t xml:space="preserve"> UMCP New Journalism Building (Academic)</t>
  </si>
  <si>
    <t>UMB Pharmacy Hall Add &amp; Renov (Academic)</t>
  </si>
  <si>
    <t xml:space="preserve">      UMBI Emergency Projects (Academic)</t>
  </si>
  <si>
    <t xml:space="preserve">      UMES Facilities Renewal (Academic)</t>
  </si>
  <si>
    <t xml:space="preserve">         CEES Facilities Renewal (Academic)</t>
  </si>
  <si>
    <t xml:space="preserve">     UMBC Dining Hall Upgrades (Auxiliary)</t>
  </si>
  <si>
    <t xml:space="preserve">       BSU New Student Center (Auxiliary)</t>
  </si>
  <si>
    <t>Amort of</t>
  </si>
  <si>
    <t>Premium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</si>
</sst>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0_);[Red]\(0\)"/>
    <numFmt numFmtId="167" formatCode="0.000%"/>
    <numFmt numFmtId="168" formatCode="#,##0.0_);[Red]\(#,##0.0\)"/>
    <numFmt numFmtId="169" formatCode="0.00000_);[Red]\(0.00000\)"/>
    <numFmt numFmtId="170" formatCode="0.000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 horizontal="right"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65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9" xfId="0" applyNumberFormat="1" applyBorder="1" applyAlignment="1">
      <alignment horizontal="center"/>
    </xf>
    <xf numFmtId="164" fontId="0" fillId="0" borderId="16" xfId="0" applyNumberFormat="1" applyBorder="1" applyAlignment="1">
      <alignment/>
    </xf>
    <xf numFmtId="38" fontId="0" fillId="33" borderId="10" xfId="0" applyNumberFormat="1" applyFill="1" applyBorder="1" applyAlignment="1" quotePrefix="1">
      <alignment horizontal="left"/>
    </xf>
    <xf numFmtId="38" fontId="0" fillId="33" borderId="15" xfId="0" applyNumberFormat="1" applyFill="1" applyBorder="1" applyAlignment="1">
      <alignment horizontal="right"/>
    </xf>
    <xf numFmtId="38" fontId="0" fillId="33" borderId="16" xfId="0" applyNumberFormat="1" applyFill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64" fontId="0" fillId="0" borderId="14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20" xfId="0" applyNumberFormat="1" applyBorder="1" applyAlignment="1">
      <alignment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164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164" fontId="0" fillId="0" borderId="22" xfId="0" applyNumberFormat="1" applyBorder="1" applyAlignment="1">
      <alignment horizontal="right"/>
    </xf>
    <xf numFmtId="164" fontId="0" fillId="0" borderId="22" xfId="0" applyNumberFormat="1" applyBorder="1" applyAlignment="1">
      <alignment/>
    </xf>
    <xf numFmtId="38" fontId="0" fillId="0" borderId="21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164" fontId="0" fillId="0" borderId="10" xfId="0" applyNumberFormat="1" applyBorder="1" applyAlignment="1" quotePrefix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38" fontId="0" fillId="0" borderId="23" xfId="0" applyNumberFormat="1" applyBorder="1" applyAlignment="1">
      <alignment horizontal="right"/>
    </xf>
    <xf numFmtId="40" fontId="0" fillId="0" borderId="0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8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8" sqref="I8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5" customWidth="1"/>
    <col min="7" max="7" width="3.7109375" style="33" customWidth="1"/>
    <col min="8" max="11" width="13.7109375" style="33" customWidth="1"/>
    <col min="12" max="12" width="3.7109375" style="33" customWidth="1"/>
    <col min="13" max="16" width="13.7109375" style="0" customWidth="1"/>
    <col min="17" max="17" width="3.7109375" style="33" customWidth="1"/>
    <col min="18" max="21" width="13.7109375" style="0" customWidth="1"/>
    <col min="22" max="22" width="3.7109375" style="33" customWidth="1"/>
    <col min="23" max="26" width="13.7109375" style="0" customWidth="1"/>
    <col min="27" max="27" width="3.7109375" style="33" customWidth="1"/>
    <col min="28" max="31" width="13.7109375" style="33" customWidth="1"/>
    <col min="32" max="32" width="3.7109375" style="33" customWidth="1"/>
    <col min="33" max="36" width="13.7109375" style="0" customWidth="1"/>
    <col min="37" max="37" width="3.7109375" style="33" customWidth="1"/>
    <col min="38" max="41" width="13.7109375" style="0" customWidth="1"/>
    <col min="42" max="42" width="3.7109375" style="20" customWidth="1"/>
    <col min="43" max="46" width="13.7109375" style="0" customWidth="1"/>
    <col min="47" max="47" width="3.7109375" style="20" customWidth="1"/>
    <col min="48" max="51" width="13.7109375" style="20" customWidth="1"/>
    <col min="52" max="52" width="3.7109375" style="20" customWidth="1"/>
    <col min="53" max="56" width="12.7109375" style="20" customWidth="1"/>
    <col min="57" max="57" width="3.7109375" style="20" customWidth="1"/>
    <col min="58" max="61" width="13.7109375" style="20" customWidth="1"/>
    <col min="62" max="62" width="3.7109375" style="20" customWidth="1"/>
    <col min="63" max="66" width="13.7109375" style="20" customWidth="1"/>
    <col min="67" max="67" width="3.7109375" style="20" customWidth="1"/>
    <col min="68" max="71" width="13.7109375" style="20" customWidth="1"/>
    <col min="72" max="72" width="3.7109375" style="20" customWidth="1"/>
    <col min="73" max="76" width="13.7109375" style="20" customWidth="1"/>
    <col min="77" max="77" width="3.7109375" style="20" customWidth="1"/>
    <col min="78" max="81" width="12.7109375" style="20" customWidth="1"/>
    <col min="82" max="82" width="3.7109375" style="20" customWidth="1"/>
    <col min="83" max="86" width="13.7109375" style="20" customWidth="1"/>
    <col min="87" max="87" width="3.7109375" style="20" customWidth="1"/>
    <col min="88" max="91" width="13.7109375" style="20" customWidth="1"/>
    <col min="92" max="92" width="3.7109375" style="20" customWidth="1"/>
    <col min="93" max="96" width="13.7109375" style="20" customWidth="1"/>
    <col min="97" max="97" width="3.7109375" style="20" customWidth="1"/>
    <col min="98" max="101" width="13.7109375" style="20" customWidth="1"/>
    <col min="102" max="102" width="3.7109375" style="20" customWidth="1"/>
    <col min="103" max="106" width="13.7109375" style="20" customWidth="1"/>
    <col min="107" max="107" width="3.7109375" style="20" customWidth="1"/>
    <col min="108" max="111" width="13.7109375" style="20" customWidth="1"/>
    <col min="112" max="112" width="3.7109375" style="20" customWidth="1"/>
    <col min="113" max="116" width="13.7109375" style="20" customWidth="1"/>
    <col min="117" max="117" width="3.7109375" style="20" customWidth="1"/>
    <col min="118" max="121" width="13.7109375" style="20" customWidth="1"/>
    <col min="122" max="122" width="3.7109375" style="20" customWidth="1"/>
    <col min="123" max="125" width="13.7109375" style="20" customWidth="1"/>
    <col min="126" max="126" width="3.7109375" style="0" customWidth="1"/>
  </cols>
  <sheetData>
    <row r="1" spans="1:127" ht="12.75">
      <c r="A1" s="43"/>
      <c r="B1" s="30"/>
      <c r="D1" s="44"/>
      <c r="H1" s="44" t="s">
        <v>14</v>
      </c>
      <c r="M1" s="44"/>
      <c r="R1" s="44"/>
      <c r="W1" s="44" t="s">
        <v>14</v>
      </c>
      <c r="AG1" s="44"/>
      <c r="AL1" s="44" t="s">
        <v>14</v>
      </c>
      <c r="BA1" s="44" t="s">
        <v>14</v>
      </c>
      <c r="BP1" s="44" t="s">
        <v>14</v>
      </c>
      <c r="CE1" s="44" t="s">
        <v>14</v>
      </c>
      <c r="CT1" s="44" t="s">
        <v>14</v>
      </c>
      <c r="DI1" s="44" t="s">
        <v>14</v>
      </c>
      <c r="DN1" s="44"/>
      <c r="DW1" s="44" t="s">
        <v>14</v>
      </c>
    </row>
    <row r="2" spans="1:127" ht="12.75">
      <c r="A2" s="43"/>
      <c r="B2" s="30"/>
      <c r="D2" s="44"/>
      <c r="H2" s="44" t="s">
        <v>13</v>
      </c>
      <c r="M2" s="44"/>
      <c r="R2" s="44"/>
      <c r="W2" s="44" t="s">
        <v>13</v>
      </c>
      <c r="AG2" s="44"/>
      <c r="AL2" s="44" t="s">
        <v>13</v>
      </c>
      <c r="BA2" s="44" t="s">
        <v>13</v>
      </c>
      <c r="BP2" s="44" t="s">
        <v>13</v>
      </c>
      <c r="CE2" s="44" t="s">
        <v>13</v>
      </c>
      <c r="CT2" s="44" t="s">
        <v>13</v>
      </c>
      <c r="DI2" s="44" t="s">
        <v>13</v>
      </c>
      <c r="DN2" s="44"/>
      <c r="DW2" s="44" t="s">
        <v>13</v>
      </c>
    </row>
    <row r="3" spans="1:127" ht="12.75">
      <c r="A3" s="43"/>
      <c r="B3" s="30"/>
      <c r="D3" s="42"/>
      <c r="H3" s="44" t="s">
        <v>81</v>
      </c>
      <c r="M3" s="44"/>
      <c r="N3" s="12"/>
      <c r="R3" s="44"/>
      <c r="W3" s="44" t="s">
        <v>81</v>
      </c>
      <c r="AG3" s="44"/>
      <c r="AL3" s="44" t="s">
        <v>81</v>
      </c>
      <c r="BA3" s="44" t="s">
        <v>81</v>
      </c>
      <c r="BP3" s="44" t="s">
        <v>81</v>
      </c>
      <c r="CE3" s="44" t="s">
        <v>81</v>
      </c>
      <c r="CT3" s="44" t="s">
        <v>81</v>
      </c>
      <c r="DI3" s="44" t="s">
        <v>81</v>
      </c>
      <c r="DN3" s="44"/>
      <c r="DW3" s="44" t="s">
        <v>81</v>
      </c>
    </row>
    <row r="4" spans="1:4" ht="12.75">
      <c r="A4" s="43"/>
      <c r="B4" s="30"/>
      <c r="C4" s="42"/>
      <c r="D4" s="44"/>
    </row>
    <row r="5" spans="1:125" ht="12.75">
      <c r="A5" s="21" t="s">
        <v>9</v>
      </c>
      <c r="C5" s="47" t="s">
        <v>79</v>
      </c>
      <c r="D5" s="48"/>
      <c r="E5" s="49"/>
      <c r="F5" s="49"/>
      <c r="H5" s="36" t="s">
        <v>80</v>
      </c>
      <c r="I5" s="70"/>
      <c r="J5" s="38"/>
      <c r="K5" s="38"/>
      <c r="M5" s="36" t="s">
        <v>82</v>
      </c>
      <c r="N5" s="37"/>
      <c r="O5" s="38"/>
      <c r="P5" s="38"/>
      <c r="R5" s="22" t="s">
        <v>101</v>
      </c>
      <c r="S5" s="23"/>
      <c r="T5" s="24"/>
      <c r="U5" s="38"/>
      <c r="W5" s="22" t="s">
        <v>62</v>
      </c>
      <c r="X5" s="23"/>
      <c r="Y5" s="24"/>
      <c r="Z5" s="38"/>
      <c r="AB5" s="22" t="s">
        <v>102</v>
      </c>
      <c r="AC5" s="23"/>
      <c r="AD5" s="24"/>
      <c r="AE5" s="38"/>
      <c r="AG5" s="22" t="s">
        <v>67</v>
      </c>
      <c r="AH5" s="23"/>
      <c r="AI5" s="24"/>
      <c r="AJ5" s="38"/>
      <c r="AL5" s="22" t="s">
        <v>37</v>
      </c>
      <c r="AM5" s="23"/>
      <c r="AN5" s="24"/>
      <c r="AO5" s="38"/>
      <c r="AQ5" s="22" t="s">
        <v>75</v>
      </c>
      <c r="AR5" s="23"/>
      <c r="AS5" s="24"/>
      <c r="AT5" s="38"/>
      <c r="AV5" s="22" t="s">
        <v>103</v>
      </c>
      <c r="AW5" s="23"/>
      <c r="AX5" s="24"/>
      <c r="AY5" s="38"/>
      <c r="BA5" s="22" t="s">
        <v>126</v>
      </c>
      <c r="BB5" s="23"/>
      <c r="BC5" s="24"/>
      <c r="BD5" s="38"/>
      <c r="BF5" s="22" t="s">
        <v>38</v>
      </c>
      <c r="BG5" s="23"/>
      <c r="BH5" s="24"/>
      <c r="BI5" s="38"/>
      <c r="BK5" s="22" t="s">
        <v>39</v>
      </c>
      <c r="BL5" s="23"/>
      <c r="BM5" s="24"/>
      <c r="BN5" s="38"/>
      <c r="BP5" s="22" t="s">
        <v>40</v>
      </c>
      <c r="BQ5" s="23"/>
      <c r="BR5" s="24"/>
      <c r="BS5" s="38"/>
      <c r="BU5" s="22" t="s">
        <v>63</v>
      </c>
      <c r="BV5" s="23"/>
      <c r="BW5" s="24"/>
      <c r="BX5" s="38"/>
      <c r="BZ5" s="22" t="s">
        <v>127</v>
      </c>
      <c r="CA5" s="23"/>
      <c r="CB5" s="24"/>
      <c r="CC5" s="38"/>
      <c r="CE5" s="22" t="s">
        <v>64</v>
      </c>
      <c r="CF5" s="23"/>
      <c r="CG5" s="24"/>
      <c r="CH5" s="38"/>
      <c r="CJ5" s="22" t="s">
        <v>65</v>
      </c>
      <c r="CK5" s="23"/>
      <c r="CL5" s="24"/>
      <c r="CM5" s="38"/>
      <c r="CO5" s="22" t="s">
        <v>104</v>
      </c>
      <c r="CP5" s="23"/>
      <c r="CQ5" s="24"/>
      <c r="CR5" s="38"/>
      <c r="CT5" s="22" t="s">
        <v>66</v>
      </c>
      <c r="CU5" s="23"/>
      <c r="CV5" s="24"/>
      <c r="CW5" s="38"/>
      <c r="CY5" s="22" t="s">
        <v>44</v>
      </c>
      <c r="CZ5" s="23"/>
      <c r="DA5" s="24"/>
      <c r="DB5" s="38"/>
      <c r="DD5" s="22" t="s">
        <v>45</v>
      </c>
      <c r="DE5" s="23"/>
      <c r="DF5" s="24"/>
      <c r="DG5" s="38"/>
      <c r="DH5" s="65"/>
      <c r="DI5" s="22" t="s">
        <v>76</v>
      </c>
      <c r="DJ5" s="23"/>
      <c r="DK5" s="24"/>
      <c r="DL5" s="38"/>
      <c r="DN5" s="22" t="s">
        <v>50</v>
      </c>
      <c r="DO5" s="23"/>
      <c r="DP5" s="24"/>
      <c r="DQ5" s="38"/>
      <c r="DS5" s="57" t="s">
        <v>15</v>
      </c>
      <c r="DT5" s="23"/>
      <c r="DU5" s="24"/>
    </row>
    <row r="6" spans="1:125" s="12" customFormat="1" ht="12.75">
      <c r="A6" s="45" t="s">
        <v>10</v>
      </c>
      <c r="C6" s="39"/>
      <c r="D6" s="37"/>
      <c r="E6" s="38"/>
      <c r="F6" s="40" t="s">
        <v>128</v>
      </c>
      <c r="G6" s="33"/>
      <c r="H6" s="69">
        <v>0.0322383</v>
      </c>
      <c r="I6" s="64">
        <v>0.1013186</v>
      </c>
      <c r="J6" s="74"/>
      <c r="K6" s="40" t="s">
        <v>128</v>
      </c>
      <c r="L6" s="33"/>
      <c r="M6" s="69">
        <v>0.9677615</v>
      </c>
      <c r="N6" s="73">
        <f>S6+X6+AC6+AH6+AM6+AR6+AW6+BB6+BG6+BL6+BQ6+BV6+CA6+CF6+CK6+CP6+CU6+CZ6+DE6+DJ6+DO6+DT6</f>
        <v>0.8986814</v>
      </c>
      <c r="O6" s="74"/>
      <c r="P6" s="40" t="s">
        <v>128</v>
      </c>
      <c r="Q6" s="33"/>
      <c r="R6" s="72">
        <v>0.1225135</v>
      </c>
      <c r="S6" s="32">
        <v>0.2503538</v>
      </c>
      <c r="T6" s="74"/>
      <c r="U6" s="40" t="s">
        <v>128</v>
      </c>
      <c r="V6" s="33"/>
      <c r="W6" s="72">
        <v>0.0064843</v>
      </c>
      <c r="X6" s="32">
        <v>0.019316</v>
      </c>
      <c r="Y6" s="74"/>
      <c r="Z6" s="40" t="s">
        <v>128</v>
      </c>
      <c r="AA6" s="33"/>
      <c r="AB6" s="72">
        <v>0.0200271</v>
      </c>
      <c r="AC6" s="32">
        <v>0.023925</v>
      </c>
      <c r="AD6" s="74"/>
      <c r="AE6" s="40" t="s">
        <v>128</v>
      </c>
      <c r="AF6" s="33"/>
      <c r="AG6" s="72">
        <v>8.79E-05</v>
      </c>
      <c r="AH6" s="32">
        <v>0.0118541</v>
      </c>
      <c r="AI6" s="74"/>
      <c r="AJ6" s="40" t="s">
        <v>128</v>
      </c>
      <c r="AK6" s="33"/>
      <c r="AL6" s="72">
        <v>0.1081593</v>
      </c>
      <c r="AM6" s="32">
        <v>0.2161132</v>
      </c>
      <c r="AN6" s="74"/>
      <c r="AO6" s="40" t="s">
        <v>128</v>
      </c>
      <c r="AQ6" s="72">
        <v>0.0013472</v>
      </c>
      <c r="AR6" s="32">
        <v>0.0284975</v>
      </c>
      <c r="AS6" s="74"/>
      <c r="AT6" s="40" t="s">
        <v>128</v>
      </c>
      <c r="AV6" s="72">
        <v>0.0044545</v>
      </c>
      <c r="AW6" s="32">
        <v>0.008453</v>
      </c>
      <c r="AX6" s="74"/>
      <c r="AY6" s="40" t="s">
        <v>128</v>
      </c>
      <c r="BA6" s="72">
        <v>0</v>
      </c>
      <c r="BB6" s="32">
        <v>0.0037175</v>
      </c>
      <c r="BC6" s="74"/>
      <c r="BD6" s="40" t="s">
        <v>128</v>
      </c>
      <c r="BF6" s="72">
        <v>0.0119935</v>
      </c>
      <c r="BG6" s="32">
        <v>0.0325791</v>
      </c>
      <c r="BH6" s="74"/>
      <c r="BI6" s="40" t="s">
        <v>128</v>
      </c>
      <c r="BK6" s="72">
        <v>0.0024732</v>
      </c>
      <c r="BL6" s="32">
        <v>0.002523</v>
      </c>
      <c r="BM6" s="74"/>
      <c r="BN6" s="40" t="s">
        <v>128</v>
      </c>
      <c r="BP6" s="72">
        <v>0.0484405</v>
      </c>
      <c r="BQ6" s="32">
        <v>0.1086592</v>
      </c>
      <c r="BR6" s="74"/>
      <c r="BS6" s="40" t="s">
        <v>128</v>
      </c>
      <c r="BU6" s="72">
        <v>0.0032041</v>
      </c>
      <c r="BV6" s="32">
        <v>0.0046146</v>
      </c>
      <c r="BW6" s="74"/>
      <c r="BX6" s="40" t="s">
        <v>128</v>
      </c>
      <c r="BZ6" s="72">
        <v>0</v>
      </c>
      <c r="CA6" s="32">
        <v>1.27E-05</v>
      </c>
      <c r="CB6" s="74"/>
      <c r="CC6" s="40" t="s">
        <v>128</v>
      </c>
      <c r="CE6" s="72">
        <v>0.0022696</v>
      </c>
      <c r="CF6" s="32">
        <v>0.0032049</v>
      </c>
      <c r="CG6" s="74"/>
      <c r="CH6" s="40" t="s">
        <v>128</v>
      </c>
      <c r="CJ6" s="72">
        <v>0.0035861</v>
      </c>
      <c r="CK6" s="32">
        <v>0.0081883</v>
      </c>
      <c r="CL6" s="74"/>
      <c r="CM6" s="40" t="s">
        <v>128</v>
      </c>
      <c r="CO6" s="72">
        <v>0.0042354</v>
      </c>
      <c r="CP6" s="32">
        <v>0.0138394</v>
      </c>
      <c r="CQ6" s="74"/>
      <c r="CR6" s="40" t="s">
        <v>128</v>
      </c>
      <c r="CT6" s="72">
        <v>0.0332708</v>
      </c>
      <c r="CU6" s="32">
        <v>0.1138442</v>
      </c>
      <c r="CV6" s="74"/>
      <c r="CW6" s="40" t="s">
        <v>128</v>
      </c>
      <c r="CY6" s="72">
        <v>9.93E-05</v>
      </c>
      <c r="CZ6" s="32">
        <v>0.0021375</v>
      </c>
      <c r="DA6" s="74"/>
      <c r="DB6" s="40" t="s">
        <v>128</v>
      </c>
      <c r="DD6" s="72">
        <v>0.0059412</v>
      </c>
      <c r="DE6" s="32">
        <v>0.0101868</v>
      </c>
      <c r="DF6" s="74"/>
      <c r="DG6" s="40" t="s">
        <v>128</v>
      </c>
      <c r="DH6" s="28"/>
      <c r="DI6" s="72">
        <v>0.0084518</v>
      </c>
      <c r="DJ6" s="32">
        <v>0.0183432</v>
      </c>
      <c r="DK6" s="74"/>
      <c r="DL6" s="40" t="s">
        <v>128</v>
      </c>
      <c r="DN6" s="72">
        <v>0.0101675</v>
      </c>
      <c r="DO6" s="32">
        <v>0.0183184</v>
      </c>
      <c r="DP6" s="74"/>
      <c r="DQ6" s="40" t="s">
        <v>128</v>
      </c>
      <c r="DS6" s="72">
        <v>0.5705547</v>
      </c>
      <c r="DT6" s="32"/>
      <c r="DU6" s="46"/>
    </row>
    <row r="7" spans="1:125" ht="12.75">
      <c r="A7" s="25"/>
      <c r="C7" s="40" t="s">
        <v>11</v>
      </c>
      <c r="D7" s="40" t="s">
        <v>12</v>
      </c>
      <c r="E7" s="40" t="s">
        <v>4</v>
      </c>
      <c r="F7" s="40" t="s">
        <v>129</v>
      </c>
      <c r="H7" s="40" t="s">
        <v>11</v>
      </c>
      <c r="I7" s="40" t="s">
        <v>12</v>
      </c>
      <c r="J7" s="40" t="s">
        <v>4</v>
      </c>
      <c r="K7" s="40" t="s">
        <v>129</v>
      </c>
      <c r="M7" s="40" t="s">
        <v>11</v>
      </c>
      <c r="N7" s="40" t="s">
        <v>12</v>
      </c>
      <c r="O7" s="40" t="s">
        <v>4</v>
      </c>
      <c r="P7" s="40" t="s">
        <v>129</v>
      </c>
      <c r="R7" s="26" t="s">
        <v>11</v>
      </c>
      <c r="S7" s="26" t="s">
        <v>12</v>
      </c>
      <c r="T7" s="26" t="s">
        <v>4</v>
      </c>
      <c r="U7" s="40" t="s">
        <v>129</v>
      </c>
      <c r="W7" s="26" t="s">
        <v>11</v>
      </c>
      <c r="X7" s="26" t="s">
        <v>12</v>
      </c>
      <c r="Y7" s="26" t="s">
        <v>4</v>
      </c>
      <c r="Z7" s="40" t="s">
        <v>129</v>
      </c>
      <c r="AB7" s="26" t="s">
        <v>11</v>
      </c>
      <c r="AC7" s="26" t="s">
        <v>12</v>
      </c>
      <c r="AD7" s="26" t="s">
        <v>4</v>
      </c>
      <c r="AE7" s="40" t="s">
        <v>129</v>
      </c>
      <c r="AG7" s="26" t="s">
        <v>11</v>
      </c>
      <c r="AH7" s="26" t="s">
        <v>12</v>
      </c>
      <c r="AI7" s="26" t="s">
        <v>4</v>
      </c>
      <c r="AJ7" s="40" t="s">
        <v>129</v>
      </c>
      <c r="AL7" s="26" t="s">
        <v>11</v>
      </c>
      <c r="AM7" s="26" t="s">
        <v>12</v>
      </c>
      <c r="AN7" s="26" t="s">
        <v>4</v>
      </c>
      <c r="AO7" s="40" t="s">
        <v>129</v>
      </c>
      <c r="AQ7" s="26" t="s">
        <v>11</v>
      </c>
      <c r="AR7" s="26" t="s">
        <v>12</v>
      </c>
      <c r="AS7" s="26" t="s">
        <v>4</v>
      </c>
      <c r="AT7" s="40" t="s">
        <v>129</v>
      </c>
      <c r="AV7" s="26" t="s">
        <v>11</v>
      </c>
      <c r="AW7" s="26" t="s">
        <v>12</v>
      </c>
      <c r="AX7" s="26" t="s">
        <v>4</v>
      </c>
      <c r="AY7" s="40" t="s">
        <v>129</v>
      </c>
      <c r="BA7" s="26" t="s">
        <v>11</v>
      </c>
      <c r="BB7" s="26" t="s">
        <v>12</v>
      </c>
      <c r="BC7" s="26" t="s">
        <v>4</v>
      </c>
      <c r="BD7" s="40" t="s">
        <v>129</v>
      </c>
      <c r="BF7" s="26" t="s">
        <v>11</v>
      </c>
      <c r="BG7" s="26" t="s">
        <v>12</v>
      </c>
      <c r="BH7" s="26" t="s">
        <v>4</v>
      </c>
      <c r="BI7" s="40" t="s">
        <v>129</v>
      </c>
      <c r="BK7" s="26" t="s">
        <v>11</v>
      </c>
      <c r="BL7" s="26" t="s">
        <v>12</v>
      </c>
      <c r="BM7" s="26" t="s">
        <v>4</v>
      </c>
      <c r="BN7" s="40" t="s">
        <v>129</v>
      </c>
      <c r="BP7" s="26" t="s">
        <v>11</v>
      </c>
      <c r="BQ7" s="26" t="s">
        <v>12</v>
      </c>
      <c r="BR7" s="26" t="s">
        <v>4</v>
      </c>
      <c r="BS7" s="40" t="s">
        <v>129</v>
      </c>
      <c r="BU7" s="26" t="s">
        <v>11</v>
      </c>
      <c r="BV7" s="26" t="s">
        <v>12</v>
      </c>
      <c r="BW7" s="26" t="s">
        <v>4</v>
      </c>
      <c r="BX7" s="40" t="s">
        <v>129</v>
      </c>
      <c r="BZ7" s="26" t="s">
        <v>11</v>
      </c>
      <c r="CA7" s="26" t="s">
        <v>12</v>
      </c>
      <c r="CB7" s="26" t="s">
        <v>4</v>
      </c>
      <c r="CC7" s="40" t="s">
        <v>129</v>
      </c>
      <c r="CE7" s="26" t="s">
        <v>11</v>
      </c>
      <c r="CF7" s="26" t="s">
        <v>12</v>
      </c>
      <c r="CG7" s="26" t="s">
        <v>4</v>
      </c>
      <c r="CH7" s="40" t="s">
        <v>129</v>
      </c>
      <c r="CJ7" s="26" t="s">
        <v>11</v>
      </c>
      <c r="CK7" s="26" t="s">
        <v>12</v>
      </c>
      <c r="CL7" s="26" t="s">
        <v>4</v>
      </c>
      <c r="CM7" s="40" t="s">
        <v>129</v>
      </c>
      <c r="CO7" s="26" t="s">
        <v>11</v>
      </c>
      <c r="CP7" s="26" t="s">
        <v>12</v>
      </c>
      <c r="CQ7" s="26" t="s">
        <v>4</v>
      </c>
      <c r="CR7" s="40" t="s">
        <v>129</v>
      </c>
      <c r="CT7" s="26" t="s">
        <v>11</v>
      </c>
      <c r="CU7" s="26" t="s">
        <v>12</v>
      </c>
      <c r="CV7" s="26" t="s">
        <v>4</v>
      </c>
      <c r="CW7" s="40" t="s">
        <v>129</v>
      </c>
      <c r="CY7" s="26" t="s">
        <v>11</v>
      </c>
      <c r="CZ7" s="26" t="s">
        <v>12</v>
      </c>
      <c r="DA7" s="26" t="s">
        <v>4</v>
      </c>
      <c r="DB7" s="40" t="s">
        <v>129</v>
      </c>
      <c r="DD7" s="26" t="s">
        <v>11</v>
      </c>
      <c r="DE7" s="26" t="s">
        <v>12</v>
      </c>
      <c r="DF7" s="26" t="s">
        <v>4</v>
      </c>
      <c r="DG7" s="40" t="s">
        <v>129</v>
      </c>
      <c r="DH7" s="66"/>
      <c r="DI7" s="26" t="s">
        <v>11</v>
      </c>
      <c r="DJ7" s="26" t="s">
        <v>12</v>
      </c>
      <c r="DK7" s="26" t="s">
        <v>4</v>
      </c>
      <c r="DL7" s="40" t="s">
        <v>129</v>
      </c>
      <c r="DN7" s="26" t="s">
        <v>11</v>
      </c>
      <c r="DO7" s="26" t="s">
        <v>12</v>
      </c>
      <c r="DP7" s="26" t="s">
        <v>4</v>
      </c>
      <c r="DQ7" s="40" t="s">
        <v>129</v>
      </c>
      <c r="DS7" s="26" t="s">
        <v>11</v>
      </c>
      <c r="DT7" s="26" t="s">
        <v>12</v>
      </c>
      <c r="DU7" s="26" t="s">
        <v>4</v>
      </c>
    </row>
    <row r="8" spans="1:125" ht="12.75">
      <c r="A8" s="19">
        <v>40087</v>
      </c>
      <c r="D8" s="35">
        <v>2008918</v>
      </c>
      <c r="E8" s="35">
        <f aca="true" t="shared" si="0" ref="E8:E45">C8+D8</f>
        <v>2008918</v>
      </c>
      <c r="F8" s="35">
        <v>58072</v>
      </c>
      <c r="H8" s="71"/>
      <c r="I8" s="51">
        <v>203541</v>
      </c>
      <c r="J8" s="51">
        <f>H8+I8</f>
        <v>203541</v>
      </c>
      <c r="K8" s="51">
        <v>5883.7737392</v>
      </c>
      <c r="M8" s="51">
        <f aca="true" t="shared" si="1" ref="M8:M45">R8+W8+AB8+AG8+AL8+AQ8++AV8+BA8+BF8+BK8+BP8+BU8+BZ8+CE8+CJ8+CO8+CT8+CY8+DD8+DI8+DN8+DS8</f>
        <v>0</v>
      </c>
      <c r="N8" s="41">
        <f aca="true" t="shared" si="2" ref="N8:P45">S8+X8+AC8+AH8+AM8+AR8+AW8+BB8+BG8+BL8+BQ8+BV8+CA8+CF8+CK8+CP8+CU8+CZ8+DE8+DJ8+DO8+DT8</f>
        <v>1805377.2407251995</v>
      </c>
      <c r="O8" s="51">
        <f aca="true" t="shared" si="3" ref="O8:O45">M8+N8</f>
        <v>1805377.2407251995</v>
      </c>
      <c r="P8" s="41">
        <f t="shared" si="2"/>
        <v>52188.22626080002</v>
      </c>
      <c r="R8" s="65"/>
      <c r="S8" s="65">
        <f>D8*25.03538/100</f>
        <v>502940.2551884</v>
      </c>
      <c r="T8" s="20">
        <f aca="true" t="shared" si="4" ref="T8:T45">R8+S8</f>
        <v>502940.2551884</v>
      </c>
      <c r="U8" s="20">
        <f>S$6*$F8</f>
        <v>14538.5458736</v>
      </c>
      <c r="W8" s="65"/>
      <c r="X8" s="65">
        <f>D8*1.9316/100</f>
        <v>38804.260088</v>
      </c>
      <c r="Y8" s="65">
        <f aca="true" t="shared" si="5" ref="Y8:Y45">W8+X8</f>
        <v>38804.260088</v>
      </c>
      <c r="Z8" s="20">
        <f>X$6*$F8</f>
        <v>1121.718752</v>
      </c>
      <c r="AC8" s="33">
        <f>D8*2.3925/100</f>
        <v>48063.363150000005</v>
      </c>
      <c r="AD8" s="33">
        <f>AB8+AC8</f>
        <v>48063.363150000005</v>
      </c>
      <c r="AE8" s="20">
        <f>AC$6*$F8</f>
        <v>1389.3726</v>
      </c>
      <c r="AG8" s="65"/>
      <c r="AH8" s="65">
        <f>D8*1.18541/100</f>
        <v>23813.9148638</v>
      </c>
      <c r="AI8" s="65">
        <f aca="true" t="shared" si="6" ref="AI8:AI45">AG8+AH8</f>
        <v>23813.9148638</v>
      </c>
      <c r="AJ8" s="20">
        <f>AH$6*$F8</f>
        <v>688.3912952</v>
      </c>
      <c r="AL8" s="65"/>
      <c r="AM8" s="65">
        <f>D8*21.61132/100</f>
        <v>434153.69751759997</v>
      </c>
      <c r="AN8" s="65">
        <f aca="true" t="shared" si="7" ref="AN8:AN45">AL8+AM8</f>
        <v>434153.69751759997</v>
      </c>
      <c r="AO8" s="20">
        <f>AM$6*$F8</f>
        <v>12550.1257504</v>
      </c>
      <c r="AP8" s="33"/>
      <c r="AQ8" s="65"/>
      <c r="AR8" s="65">
        <f>D8*2.84975/100</f>
        <v>57249.140705</v>
      </c>
      <c r="AS8" s="65">
        <f aca="true" t="shared" si="8" ref="AS8:AS45">AQ8+AR8</f>
        <v>57249.140705</v>
      </c>
      <c r="AT8" s="20">
        <f>AR$6*$F8</f>
        <v>1654.90682</v>
      </c>
      <c r="AU8" s="33"/>
      <c r="AV8" s="51"/>
      <c r="AW8" s="51">
        <f>D8*0.8453/100</f>
        <v>16981.383854</v>
      </c>
      <c r="AX8" s="51">
        <f aca="true" t="shared" si="9" ref="AX8:AX45">AV8+AW8</f>
        <v>16981.383854</v>
      </c>
      <c r="AY8" s="20">
        <f>AW$6*$F8</f>
        <v>490.88261600000004</v>
      </c>
      <c r="AZ8" s="33"/>
      <c r="BA8" s="33"/>
      <c r="BB8" s="33">
        <f>D8*0.37175/100</f>
        <v>7468.1526650000005</v>
      </c>
      <c r="BC8" s="33">
        <f>BA8+BB8</f>
        <v>7468.1526650000005</v>
      </c>
      <c r="BD8" s="20">
        <f>BB$6*$F8</f>
        <v>215.88266</v>
      </c>
      <c r="BE8" s="33"/>
      <c r="BF8" s="51"/>
      <c r="BG8" s="51">
        <f>D8*3.25791/100</f>
        <v>65448.74041379999</v>
      </c>
      <c r="BH8" s="51">
        <f aca="true" t="shared" si="10" ref="BH8:BH45">BF8+BG8</f>
        <v>65448.74041379999</v>
      </c>
      <c r="BI8" s="20">
        <f>BG$6*$F8</f>
        <v>1891.9334952</v>
      </c>
      <c r="BJ8" s="33"/>
      <c r="BK8" s="51"/>
      <c r="BL8" s="51">
        <f>D8*0.2523/100</f>
        <v>5068.500114</v>
      </c>
      <c r="BM8" s="51">
        <f aca="true" t="shared" si="11" ref="BM8:BM45">BK8+BL8</f>
        <v>5068.500114</v>
      </c>
      <c r="BN8" s="20">
        <f>BL$6*$F8</f>
        <v>146.515656</v>
      </c>
      <c r="BO8" s="33"/>
      <c r="BP8" s="51"/>
      <c r="BQ8" s="51">
        <f>D8*10.86592/100</f>
        <v>218287.42274559996</v>
      </c>
      <c r="BR8" s="51">
        <f aca="true" t="shared" si="12" ref="BR8:BR45">BP8+BQ8</f>
        <v>218287.42274559996</v>
      </c>
      <c r="BS8" s="20">
        <f>BQ$6*$F8</f>
        <v>6310.0570624</v>
      </c>
      <c r="BT8" s="33"/>
      <c r="BU8" s="51"/>
      <c r="BV8" s="51">
        <f>D8*0.46146/100</f>
        <v>9270.3530028</v>
      </c>
      <c r="BW8" s="51">
        <f aca="true" t="shared" si="13" ref="BW8:BW45">BU8+BV8</f>
        <v>9270.3530028</v>
      </c>
      <c r="BX8" s="20">
        <f>BV$6*$F8</f>
        <v>267.9790512</v>
      </c>
      <c r="BY8" s="33"/>
      <c r="BZ8" s="33"/>
      <c r="CA8" s="33">
        <f>D8*0.00127/100</f>
        <v>25.513258600000004</v>
      </c>
      <c r="CB8" s="33">
        <f>BZ8+CA8</f>
        <v>25.513258600000004</v>
      </c>
      <c r="CC8" s="20">
        <f>CA$6*$F8</f>
        <v>0.7375144</v>
      </c>
      <c r="CD8" s="33"/>
      <c r="CE8" s="51"/>
      <c r="CF8" s="51">
        <f>D8*0.32049/100</f>
        <v>6438.3812982</v>
      </c>
      <c r="CG8" s="51">
        <f aca="true" t="shared" si="14" ref="CG8:CG45">CE8+CF8</f>
        <v>6438.3812982</v>
      </c>
      <c r="CH8" s="20">
        <f>CF$6*$F8</f>
        <v>186.1149528</v>
      </c>
      <c r="CI8" s="33"/>
      <c r="CJ8" s="51"/>
      <c r="CK8" s="51">
        <f>D8*0.81883/100</f>
        <v>16449.6232594</v>
      </c>
      <c r="CL8" s="51">
        <f aca="true" t="shared" si="15" ref="CL8:CL45">CJ8+CK8</f>
        <v>16449.6232594</v>
      </c>
      <c r="CM8" s="20">
        <f>CK$6*$F8</f>
        <v>475.51095760000004</v>
      </c>
      <c r="CN8" s="33"/>
      <c r="CO8" s="51"/>
      <c r="CP8" s="51">
        <f>D8*1.38394/100</f>
        <v>27802.219769199997</v>
      </c>
      <c r="CQ8" s="51">
        <f aca="true" t="shared" si="16" ref="CQ8:CQ45">CO8+CP8</f>
        <v>27802.219769199997</v>
      </c>
      <c r="CR8" s="20">
        <f>CP$6*$F8</f>
        <v>803.6816368</v>
      </c>
      <c r="CS8" s="33"/>
      <c r="CT8" s="51"/>
      <c r="CU8" s="51">
        <f>D8*11.38442/100</f>
        <v>228703.6625756</v>
      </c>
      <c r="CV8" s="51">
        <f aca="true" t="shared" si="17" ref="CV8:CV45">CT8+CU8</f>
        <v>228703.6625756</v>
      </c>
      <c r="CW8" s="20">
        <f>CU$6*$F8</f>
        <v>6611.1603824</v>
      </c>
      <c r="CX8" s="33"/>
      <c r="CY8" s="51"/>
      <c r="CZ8" s="51">
        <f>D8*0.21375/100</f>
        <v>4294.062225</v>
      </c>
      <c r="DA8" s="51">
        <f aca="true" t="shared" si="18" ref="DA8:DA45">CY8+CZ8</f>
        <v>4294.062225</v>
      </c>
      <c r="DB8" s="20">
        <f>CZ$6*$F8</f>
        <v>124.1289</v>
      </c>
      <c r="DC8" s="33"/>
      <c r="DD8" s="51"/>
      <c r="DE8" s="51">
        <f>D8*1.01868/100</f>
        <v>20464.4458824</v>
      </c>
      <c r="DF8" s="51">
        <f aca="true" t="shared" si="19" ref="DF8:DF45">DD8+DE8</f>
        <v>20464.4458824</v>
      </c>
      <c r="DG8" s="20">
        <f>DE$6*$F8</f>
        <v>591.5678495999999</v>
      </c>
      <c r="DH8" s="51"/>
      <c r="DI8" s="33"/>
      <c r="DJ8" s="33">
        <f>D8*1.83432/100</f>
        <v>36849.9846576</v>
      </c>
      <c r="DK8" s="51">
        <f>DI8+DJ8</f>
        <v>36849.9846576</v>
      </c>
      <c r="DL8" s="20">
        <f>DJ$6*$F8</f>
        <v>1065.2263104</v>
      </c>
      <c r="DM8" s="33"/>
      <c r="DN8" s="51"/>
      <c r="DO8" s="51">
        <f>D8*1.83184/100</f>
        <v>36800.1634912</v>
      </c>
      <c r="DP8" s="51">
        <f aca="true" t="shared" si="20" ref="DP8:DP45">DN8+DO8</f>
        <v>36800.1634912</v>
      </c>
      <c r="DQ8" s="20">
        <f>DO$6*$F8</f>
        <v>1063.7861248</v>
      </c>
      <c r="DR8" s="33"/>
      <c r="DS8" s="33"/>
      <c r="DT8" s="33"/>
      <c r="DU8" s="51"/>
    </row>
    <row r="9" spans="1:125" ht="12.75">
      <c r="A9" s="19">
        <v>40269</v>
      </c>
      <c r="C9" s="35">
        <v>3000000</v>
      </c>
      <c r="D9" s="35">
        <v>2008918</v>
      </c>
      <c r="E9" s="35">
        <f t="shared" si="0"/>
        <v>5008918</v>
      </c>
      <c r="F9" s="35">
        <v>58072</v>
      </c>
      <c r="H9" s="51">
        <v>303956</v>
      </c>
      <c r="I9" s="51">
        <v>203541</v>
      </c>
      <c r="J9" s="51">
        <f>H9+I9</f>
        <v>507497</v>
      </c>
      <c r="K9" s="51">
        <v>5883.7737392</v>
      </c>
      <c r="M9" s="51">
        <f t="shared" si="1"/>
        <v>2696044.2000000007</v>
      </c>
      <c r="N9" s="41">
        <f t="shared" si="2"/>
        <v>1805377.2407251995</v>
      </c>
      <c r="O9" s="51">
        <f t="shared" si="3"/>
        <v>4501421.4407252</v>
      </c>
      <c r="P9" s="41">
        <f t="shared" si="2"/>
        <v>52188.22626080002</v>
      </c>
      <c r="R9" s="65">
        <f>C9*25.03538/100</f>
        <v>751061.4</v>
      </c>
      <c r="S9" s="65">
        <f>D9*25.03538/100</f>
        <v>502940.2551884</v>
      </c>
      <c r="T9" s="65">
        <f t="shared" si="4"/>
        <v>1254001.6551884</v>
      </c>
      <c r="U9" s="20">
        <f aca="true" t="shared" si="21" ref="U9:U45">S$6*$F9</f>
        <v>14538.5458736</v>
      </c>
      <c r="W9" s="65">
        <f>C9*1.9316/100</f>
        <v>57948</v>
      </c>
      <c r="X9" s="65">
        <f>D9*1.9316/100</f>
        <v>38804.260088</v>
      </c>
      <c r="Y9" s="65">
        <f t="shared" si="5"/>
        <v>96752.26008800001</v>
      </c>
      <c r="Z9" s="20">
        <f aca="true" t="shared" si="22" ref="Z9:Z45">X$6*$F9</f>
        <v>1121.718752</v>
      </c>
      <c r="AB9" s="33">
        <f>C9*2.3925/100</f>
        <v>71775</v>
      </c>
      <c r="AC9" s="33">
        <f>D9*2.3925/100</f>
        <v>48063.363150000005</v>
      </c>
      <c r="AD9" s="33">
        <f>AB9+AC9</f>
        <v>119838.36315</v>
      </c>
      <c r="AE9" s="20">
        <f aca="true" t="shared" si="23" ref="AE9:AE45">AC$6*$F9</f>
        <v>1389.3726</v>
      </c>
      <c r="AG9" s="65">
        <f>C9*1.18541/100</f>
        <v>35562.3</v>
      </c>
      <c r="AH9" s="65">
        <f>D9*1.18541/100</f>
        <v>23813.9148638</v>
      </c>
      <c r="AI9" s="65">
        <f t="shared" si="6"/>
        <v>59376.21486380001</v>
      </c>
      <c r="AJ9" s="20">
        <f aca="true" t="shared" si="24" ref="AJ9:AJ45">AH$6*$F9</f>
        <v>688.3912952</v>
      </c>
      <c r="AL9" s="65">
        <f>C9*21.61132/100</f>
        <v>648339.6</v>
      </c>
      <c r="AM9" s="65">
        <f>D9*21.61132/100</f>
        <v>434153.69751759997</v>
      </c>
      <c r="AN9" s="65">
        <f t="shared" si="7"/>
        <v>1082493.2975176</v>
      </c>
      <c r="AO9" s="20">
        <f aca="true" t="shared" si="25" ref="AO9:AO45">AM$6*$F9</f>
        <v>12550.1257504</v>
      </c>
      <c r="AP9" s="33"/>
      <c r="AQ9" s="65">
        <f>C9*2.84975/100</f>
        <v>85492.5</v>
      </c>
      <c r="AR9" s="65">
        <f>D9*2.84975/100</f>
        <v>57249.140705</v>
      </c>
      <c r="AS9" s="65">
        <f t="shared" si="8"/>
        <v>142741.640705</v>
      </c>
      <c r="AT9" s="20">
        <f aca="true" t="shared" si="26" ref="AT9:AT45">AR$6*$F9</f>
        <v>1654.90682</v>
      </c>
      <c r="AU9" s="33"/>
      <c r="AV9" s="51">
        <f>C9*0.8453/100</f>
        <v>25359</v>
      </c>
      <c r="AW9" s="51">
        <f>D9*0.8453/100</f>
        <v>16981.383854</v>
      </c>
      <c r="AX9" s="51">
        <f t="shared" si="9"/>
        <v>42340.383854</v>
      </c>
      <c r="AY9" s="20">
        <f aca="true" t="shared" si="27" ref="AY9:AY45">AW$6*$F9</f>
        <v>490.88261600000004</v>
      </c>
      <c r="AZ9" s="33"/>
      <c r="BA9" s="33">
        <f>C9*0.37175/100</f>
        <v>11152.5</v>
      </c>
      <c r="BB9" s="33">
        <f>D9*0.37175/100</f>
        <v>7468.1526650000005</v>
      </c>
      <c r="BC9" s="33">
        <f>BA9+BB9</f>
        <v>18620.652665</v>
      </c>
      <c r="BD9" s="20">
        <f aca="true" t="shared" si="28" ref="BD9:BD45">BB$6*$F9</f>
        <v>215.88266</v>
      </c>
      <c r="BE9" s="33"/>
      <c r="BF9" s="51">
        <f>C9*3.25791/100</f>
        <v>97737.3</v>
      </c>
      <c r="BG9" s="51">
        <f>D9*3.25791/100</f>
        <v>65448.74041379999</v>
      </c>
      <c r="BH9" s="51">
        <f t="shared" si="10"/>
        <v>163186.0404138</v>
      </c>
      <c r="BI9" s="20">
        <f aca="true" t="shared" si="29" ref="BI9:BI45">BG$6*$F9</f>
        <v>1891.9334952</v>
      </c>
      <c r="BJ9" s="33"/>
      <c r="BK9" s="51">
        <f>C9*0.2523/100</f>
        <v>7569.000000000001</v>
      </c>
      <c r="BL9" s="51">
        <f>D9*0.2523/100</f>
        <v>5068.500114</v>
      </c>
      <c r="BM9" s="51">
        <f t="shared" si="11"/>
        <v>12637.500114000002</v>
      </c>
      <c r="BN9" s="20">
        <f aca="true" t="shared" si="30" ref="BN9:BN45">BL$6*$F9</f>
        <v>146.515656</v>
      </c>
      <c r="BO9" s="33"/>
      <c r="BP9" s="51">
        <f>C9*10.86592/100</f>
        <v>325977.6</v>
      </c>
      <c r="BQ9" s="51">
        <f>D9*10.86592/100</f>
        <v>218287.42274559996</v>
      </c>
      <c r="BR9" s="51">
        <f t="shared" si="12"/>
        <v>544265.0227456</v>
      </c>
      <c r="BS9" s="20">
        <f aca="true" t="shared" si="31" ref="BS9:BS45">BQ$6*$F9</f>
        <v>6310.0570624</v>
      </c>
      <c r="BT9" s="33"/>
      <c r="BU9" s="51">
        <f>C9*0.46146/100</f>
        <v>13843.8</v>
      </c>
      <c r="BV9" s="51">
        <f>D9*0.46146/100</f>
        <v>9270.3530028</v>
      </c>
      <c r="BW9" s="51">
        <f t="shared" si="13"/>
        <v>23114.153002799998</v>
      </c>
      <c r="BX9" s="20">
        <f aca="true" t="shared" si="32" ref="BX9:BX45">BV$6*$F9</f>
        <v>267.9790512</v>
      </c>
      <c r="BY9" s="33"/>
      <c r="BZ9" s="33">
        <f>C9*0.00127/100</f>
        <v>38.1</v>
      </c>
      <c r="CA9" s="33">
        <f>D9*0.00127/100</f>
        <v>25.513258600000004</v>
      </c>
      <c r="CB9" s="33">
        <f>BZ9+CA9</f>
        <v>63.61325860000001</v>
      </c>
      <c r="CC9" s="20">
        <f aca="true" t="shared" si="33" ref="CC9:CC45">CA$6*$F9</f>
        <v>0.7375144</v>
      </c>
      <c r="CD9" s="33"/>
      <c r="CE9" s="51">
        <f>C9*0.32049/100</f>
        <v>9614.7</v>
      </c>
      <c r="CF9" s="51">
        <f>D9*0.32049/100</f>
        <v>6438.3812982</v>
      </c>
      <c r="CG9" s="51">
        <f t="shared" si="14"/>
        <v>16053.0812982</v>
      </c>
      <c r="CH9" s="20">
        <f aca="true" t="shared" si="34" ref="CH9:CH45">CF$6*$F9</f>
        <v>186.1149528</v>
      </c>
      <c r="CI9" s="33"/>
      <c r="CJ9" s="51">
        <f>C9*0.81883/100</f>
        <v>24564.9</v>
      </c>
      <c r="CK9" s="51">
        <f>D9*0.81883/100</f>
        <v>16449.6232594</v>
      </c>
      <c r="CL9" s="51">
        <f t="shared" si="15"/>
        <v>41014.5232594</v>
      </c>
      <c r="CM9" s="20">
        <f aca="true" t="shared" si="35" ref="CM9:CM45">CK$6*$F9</f>
        <v>475.51095760000004</v>
      </c>
      <c r="CN9" s="33"/>
      <c r="CO9" s="51">
        <f>C9*1.38394/100</f>
        <v>41518.2</v>
      </c>
      <c r="CP9" s="51">
        <f>D9*1.38394/100</f>
        <v>27802.219769199997</v>
      </c>
      <c r="CQ9" s="51">
        <f t="shared" si="16"/>
        <v>69320.4197692</v>
      </c>
      <c r="CR9" s="20">
        <f aca="true" t="shared" si="36" ref="CR9:CR45">CP$6*$F9</f>
        <v>803.6816368</v>
      </c>
      <c r="CS9" s="33"/>
      <c r="CT9" s="51">
        <f>C9*11.38442/100</f>
        <v>341532.6</v>
      </c>
      <c r="CU9" s="51">
        <f>D9*11.38442/100</f>
        <v>228703.6625756</v>
      </c>
      <c r="CV9" s="51">
        <f t="shared" si="17"/>
        <v>570236.2625756</v>
      </c>
      <c r="CW9" s="20">
        <f aca="true" t="shared" si="37" ref="CW9:CW45">CU$6*$F9</f>
        <v>6611.1603824</v>
      </c>
      <c r="CX9" s="33"/>
      <c r="CY9" s="51">
        <f>C9*0.21375/100</f>
        <v>6412.5</v>
      </c>
      <c r="CZ9" s="51">
        <f>D9*0.21375/100</f>
        <v>4294.062225</v>
      </c>
      <c r="DA9" s="51">
        <f t="shared" si="18"/>
        <v>10706.562225</v>
      </c>
      <c r="DB9" s="20">
        <f aca="true" t="shared" si="38" ref="DB9:DB45">CZ$6*$F9</f>
        <v>124.1289</v>
      </c>
      <c r="DC9" s="33"/>
      <c r="DD9" s="51">
        <f>C9*1.01868/100</f>
        <v>30560.4</v>
      </c>
      <c r="DE9" s="51">
        <f>D9*1.01868/100</f>
        <v>20464.4458824</v>
      </c>
      <c r="DF9" s="51">
        <f t="shared" si="19"/>
        <v>51024.8458824</v>
      </c>
      <c r="DG9" s="20">
        <f aca="true" t="shared" si="39" ref="DG9:DG45">DE$6*$F9</f>
        <v>591.5678495999999</v>
      </c>
      <c r="DH9" s="33"/>
      <c r="DI9" s="33">
        <f>C9*1.83432/100</f>
        <v>55029.6</v>
      </c>
      <c r="DJ9" s="33">
        <f>D9*1.83432/100</f>
        <v>36849.9846576</v>
      </c>
      <c r="DK9" s="51">
        <f>DI9+DJ9</f>
        <v>91879.5846576</v>
      </c>
      <c r="DL9" s="20">
        <f aca="true" t="shared" si="40" ref="DL9:DL45">DJ$6*$F9</f>
        <v>1065.2263104</v>
      </c>
      <c r="DM9" s="33"/>
      <c r="DN9" s="51">
        <f>C9*1.83184/100</f>
        <v>54955.2</v>
      </c>
      <c r="DO9" s="51">
        <f>D9*1.83184/100</f>
        <v>36800.1634912</v>
      </c>
      <c r="DP9" s="51">
        <f t="shared" si="20"/>
        <v>91755.3634912</v>
      </c>
      <c r="DQ9" s="20">
        <f aca="true" t="shared" si="41" ref="DQ9:DQ45">DO$6*$F9</f>
        <v>1063.7861248</v>
      </c>
      <c r="DR9" s="33"/>
      <c r="DS9" s="33"/>
      <c r="DT9" s="33"/>
      <c r="DU9" s="51"/>
    </row>
    <row r="10" spans="1:125" s="53" customFormat="1" ht="12.75">
      <c r="A10" s="52">
        <v>40452</v>
      </c>
      <c r="C10" s="41"/>
      <c r="D10" s="41">
        <v>1941418</v>
      </c>
      <c r="E10" s="41">
        <f t="shared" si="0"/>
        <v>1941418</v>
      </c>
      <c r="F10" s="35">
        <v>58072</v>
      </c>
      <c r="G10" s="51"/>
      <c r="H10" s="51"/>
      <c r="I10" s="51">
        <v>196702</v>
      </c>
      <c r="J10" s="51">
        <f aca="true" t="shared" si="42" ref="J10:J45">H10+I10</f>
        <v>196702</v>
      </c>
      <c r="K10" s="51">
        <v>5883.7737392</v>
      </c>
      <c r="L10" s="51"/>
      <c r="M10" s="51">
        <f t="shared" si="1"/>
        <v>0</v>
      </c>
      <c r="N10" s="41">
        <f t="shared" si="2"/>
        <v>1744716.2462252004</v>
      </c>
      <c r="O10" s="51">
        <f t="shared" si="3"/>
        <v>1744716.2462252004</v>
      </c>
      <c r="P10" s="41">
        <f t="shared" si="2"/>
        <v>52188.22626080002</v>
      </c>
      <c r="Q10" s="51"/>
      <c r="R10" s="65"/>
      <c r="S10" s="65">
        <f aca="true" t="shared" si="43" ref="S10:S45">D10*25.03538/100</f>
        <v>486041.3736884</v>
      </c>
      <c r="T10" s="65">
        <f t="shared" si="4"/>
        <v>486041.3736884</v>
      </c>
      <c r="U10" s="20">
        <f t="shared" si="21"/>
        <v>14538.5458736</v>
      </c>
      <c r="V10" s="51"/>
      <c r="W10" s="65"/>
      <c r="X10" s="65">
        <f aca="true" t="shared" si="44" ref="X10:X45">D10*1.9316/100</f>
        <v>37500.430088</v>
      </c>
      <c r="Y10" s="65">
        <f t="shared" si="5"/>
        <v>37500.430088</v>
      </c>
      <c r="Z10" s="20">
        <f t="shared" si="22"/>
        <v>1121.718752</v>
      </c>
      <c r="AA10" s="51"/>
      <c r="AB10" s="33"/>
      <c r="AC10" s="33">
        <f aca="true" t="shared" si="45" ref="AC10:AC45">D10*2.3925/100</f>
        <v>46448.425650000005</v>
      </c>
      <c r="AD10" s="33">
        <f>AB10+AC10</f>
        <v>46448.425650000005</v>
      </c>
      <c r="AE10" s="20">
        <f t="shared" si="23"/>
        <v>1389.3726</v>
      </c>
      <c r="AF10" s="51"/>
      <c r="AG10" s="65"/>
      <c r="AH10" s="65">
        <f aca="true" t="shared" si="46" ref="AH10:AH45">D10*1.18541/100</f>
        <v>23013.763113800003</v>
      </c>
      <c r="AI10" s="65">
        <f t="shared" si="6"/>
        <v>23013.763113800003</v>
      </c>
      <c r="AJ10" s="20">
        <f t="shared" si="24"/>
        <v>688.3912952</v>
      </c>
      <c r="AK10" s="51"/>
      <c r="AL10" s="65"/>
      <c r="AM10" s="65">
        <f aca="true" t="shared" si="47" ref="AM10:AM45">D10*21.61132/100</f>
        <v>419566.05651759997</v>
      </c>
      <c r="AN10" s="65">
        <f t="shared" si="7"/>
        <v>419566.05651759997</v>
      </c>
      <c r="AO10" s="20">
        <f t="shared" si="25"/>
        <v>12550.1257504</v>
      </c>
      <c r="AP10" s="51"/>
      <c r="AQ10" s="65"/>
      <c r="AR10" s="65">
        <f aca="true" t="shared" si="48" ref="AR10:AR45">D10*2.84975/100</f>
        <v>55325.559454999995</v>
      </c>
      <c r="AS10" s="65">
        <f t="shared" si="8"/>
        <v>55325.559454999995</v>
      </c>
      <c r="AT10" s="20">
        <f t="shared" si="26"/>
        <v>1654.90682</v>
      </c>
      <c r="AU10" s="51"/>
      <c r="AV10" s="51"/>
      <c r="AW10" s="51">
        <f aca="true" t="shared" si="49" ref="AW10:AW45">D10*0.8453/100</f>
        <v>16410.806354</v>
      </c>
      <c r="AX10" s="51">
        <f t="shared" si="9"/>
        <v>16410.806354</v>
      </c>
      <c r="AY10" s="20">
        <f t="shared" si="27"/>
        <v>490.88261600000004</v>
      </c>
      <c r="AZ10" s="51"/>
      <c r="BA10" s="33"/>
      <c r="BB10" s="33">
        <f aca="true" t="shared" si="50" ref="BB10:BB45">D10*0.37175/100</f>
        <v>7217.221415</v>
      </c>
      <c r="BC10" s="33">
        <f aca="true" t="shared" si="51" ref="BC10:BC45">BA10+BB10</f>
        <v>7217.221415</v>
      </c>
      <c r="BD10" s="20">
        <f t="shared" si="28"/>
        <v>215.88266</v>
      </c>
      <c r="BE10" s="51"/>
      <c r="BF10" s="51"/>
      <c r="BG10" s="51">
        <f aca="true" t="shared" si="52" ref="BG10:BG45">D10*3.25791/100</f>
        <v>63249.651163799994</v>
      </c>
      <c r="BH10" s="51">
        <f t="shared" si="10"/>
        <v>63249.651163799994</v>
      </c>
      <c r="BI10" s="20">
        <f t="shared" si="29"/>
        <v>1891.9334952</v>
      </c>
      <c r="BJ10" s="51"/>
      <c r="BK10" s="51"/>
      <c r="BL10" s="51">
        <f aca="true" t="shared" si="53" ref="BL10:BL45">D10*0.2523/100</f>
        <v>4898.197614000001</v>
      </c>
      <c r="BM10" s="51">
        <f t="shared" si="11"/>
        <v>4898.197614000001</v>
      </c>
      <c r="BN10" s="20">
        <f t="shared" si="30"/>
        <v>146.515656</v>
      </c>
      <c r="BO10" s="51"/>
      <c r="BP10" s="51"/>
      <c r="BQ10" s="51">
        <f aca="true" t="shared" si="54" ref="BQ10:BQ45">D10*10.86592/100</f>
        <v>210952.92674559998</v>
      </c>
      <c r="BR10" s="51">
        <f t="shared" si="12"/>
        <v>210952.92674559998</v>
      </c>
      <c r="BS10" s="20">
        <f t="shared" si="31"/>
        <v>6310.0570624</v>
      </c>
      <c r="BT10" s="51"/>
      <c r="BU10" s="51"/>
      <c r="BV10" s="51">
        <f aca="true" t="shared" si="55" ref="BV10:BV45">D10*0.46146/100</f>
        <v>8958.8675028</v>
      </c>
      <c r="BW10" s="51">
        <f t="shared" si="13"/>
        <v>8958.8675028</v>
      </c>
      <c r="BX10" s="20">
        <f t="shared" si="32"/>
        <v>267.9790512</v>
      </c>
      <c r="BY10" s="51"/>
      <c r="BZ10" s="33"/>
      <c r="CA10" s="33">
        <f aca="true" t="shared" si="56" ref="CA10:CA45">D10*0.00127/100</f>
        <v>24.6560086</v>
      </c>
      <c r="CB10" s="33">
        <f aca="true" t="shared" si="57" ref="CB10:CB45">BZ10+CA10</f>
        <v>24.6560086</v>
      </c>
      <c r="CC10" s="20">
        <f t="shared" si="33"/>
        <v>0.7375144</v>
      </c>
      <c r="CD10" s="51"/>
      <c r="CE10" s="51"/>
      <c r="CF10" s="51">
        <f aca="true" t="shared" si="58" ref="CF10:CF45">D10*0.32049/100</f>
        <v>6222.0505482</v>
      </c>
      <c r="CG10" s="51">
        <f t="shared" si="14"/>
        <v>6222.0505482</v>
      </c>
      <c r="CH10" s="20">
        <f t="shared" si="34"/>
        <v>186.1149528</v>
      </c>
      <c r="CI10" s="51"/>
      <c r="CJ10" s="51"/>
      <c r="CK10" s="51">
        <f aca="true" t="shared" si="59" ref="CK10:CK45">D10*0.81883/100</f>
        <v>15896.9130094</v>
      </c>
      <c r="CL10" s="51">
        <f t="shared" si="15"/>
        <v>15896.9130094</v>
      </c>
      <c r="CM10" s="20">
        <f t="shared" si="35"/>
        <v>475.51095760000004</v>
      </c>
      <c r="CN10" s="51"/>
      <c r="CO10" s="51"/>
      <c r="CP10" s="51">
        <f aca="true" t="shared" si="60" ref="CP10:CP45">D10*1.38394/100</f>
        <v>26868.0602692</v>
      </c>
      <c r="CQ10" s="51">
        <f t="shared" si="16"/>
        <v>26868.0602692</v>
      </c>
      <c r="CR10" s="20">
        <f t="shared" si="36"/>
        <v>803.6816368</v>
      </c>
      <c r="CS10" s="51"/>
      <c r="CT10" s="51"/>
      <c r="CU10" s="51">
        <f aca="true" t="shared" si="61" ref="CU10:CU45">D10*11.38442/100</f>
        <v>221019.17907560003</v>
      </c>
      <c r="CV10" s="51">
        <f t="shared" si="17"/>
        <v>221019.17907560003</v>
      </c>
      <c r="CW10" s="20">
        <f t="shared" si="37"/>
        <v>6611.1603824</v>
      </c>
      <c r="CX10" s="51"/>
      <c r="CY10" s="51"/>
      <c r="CZ10" s="51">
        <f aca="true" t="shared" si="62" ref="CZ10:CZ45">D10*0.21375/100</f>
        <v>4149.780975</v>
      </c>
      <c r="DA10" s="51">
        <f t="shared" si="18"/>
        <v>4149.780975</v>
      </c>
      <c r="DB10" s="20">
        <f t="shared" si="38"/>
        <v>124.1289</v>
      </c>
      <c r="DC10" s="51"/>
      <c r="DD10" s="51"/>
      <c r="DE10" s="51">
        <f aca="true" t="shared" si="63" ref="DE10:DE45">D10*1.01868/100</f>
        <v>19776.8368824</v>
      </c>
      <c r="DF10" s="51">
        <f t="shared" si="19"/>
        <v>19776.8368824</v>
      </c>
      <c r="DG10" s="20">
        <f t="shared" si="39"/>
        <v>591.5678495999999</v>
      </c>
      <c r="DH10" s="51"/>
      <c r="DI10" s="33"/>
      <c r="DJ10" s="33">
        <f aca="true" t="shared" si="64" ref="DJ10:DJ45">D10*1.83432/100</f>
        <v>35611.8186576</v>
      </c>
      <c r="DK10" s="51">
        <f aca="true" t="shared" si="65" ref="DK10:DK45">DI10+DJ10</f>
        <v>35611.8186576</v>
      </c>
      <c r="DL10" s="20">
        <f t="shared" si="40"/>
        <v>1065.2263104</v>
      </c>
      <c r="DM10" s="51"/>
      <c r="DN10" s="51"/>
      <c r="DO10" s="51">
        <f aca="true" t="shared" si="66" ref="DO10:DO45">D10*1.83184/100</f>
        <v>35563.671491199995</v>
      </c>
      <c r="DP10" s="51">
        <f t="shared" si="20"/>
        <v>35563.671491199995</v>
      </c>
      <c r="DQ10" s="20">
        <f t="shared" si="41"/>
        <v>1063.7861248</v>
      </c>
      <c r="DR10" s="51"/>
      <c r="DS10" s="33"/>
      <c r="DT10" s="33"/>
      <c r="DU10" s="51"/>
    </row>
    <row r="11" spans="1:125" ht="12.75">
      <c r="A11" s="19">
        <v>40634</v>
      </c>
      <c r="C11" s="35">
        <v>3135000</v>
      </c>
      <c r="D11" s="35">
        <v>1941418</v>
      </c>
      <c r="E11" s="35">
        <f t="shared" si="0"/>
        <v>5076418</v>
      </c>
      <c r="F11" s="35">
        <v>58072</v>
      </c>
      <c r="H11" s="51">
        <v>317634</v>
      </c>
      <c r="I11" s="51">
        <v>196702</v>
      </c>
      <c r="J11" s="51">
        <f t="shared" si="42"/>
        <v>514336</v>
      </c>
      <c r="K11" s="51">
        <v>5883.7737392</v>
      </c>
      <c r="M11" s="51">
        <f t="shared" si="1"/>
        <v>2817366.189</v>
      </c>
      <c r="N11" s="41">
        <f t="shared" si="2"/>
        <v>1744716.2462252004</v>
      </c>
      <c r="O11" s="33">
        <f t="shared" si="3"/>
        <v>4562082.4352252</v>
      </c>
      <c r="P11" s="41">
        <f t="shared" si="2"/>
        <v>52188.22626080002</v>
      </c>
      <c r="R11" s="65">
        <f aca="true" t="shared" si="67" ref="R11:R45">C11*25.03538/100</f>
        <v>784859.163</v>
      </c>
      <c r="S11" s="65">
        <f t="shared" si="43"/>
        <v>486041.3736884</v>
      </c>
      <c r="T11" s="20">
        <f t="shared" si="4"/>
        <v>1270900.5366884</v>
      </c>
      <c r="U11" s="20">
        <f t="shared" si="21"/>
        <v>14538.5458736</v>
      </c>
      <c r="W11" s="65">
        <f aca="true" t="shared" si="68" ref="W11:W45">C11*1.9316/100</f>
        <v>60555.66</v>
      </c>
      <c r="X11" s="65">
        <f t="shared" si="44"/>
        <v>37500.430088</v>
      </c>
      <c r="Y11" s="20">
        <f t="shared" si="5"/>
        <v>98056.090088</v>
      </c>
      <c r="Z11" s="20">
        <f t="shared" si="22"/>
        <v>1121.718752</v>
      </c>
      <c r="AB11" s="33">
        <f aca="true" t="shared" si="69" ref="AB11:AB45">C11*2.3925/100</f>
        <v>75004.875</v>
      </c>
      <c r="AC11" s="33">
        <f t="shared" si="45"/>
        <v>46448.425650000005</v>
      </c>
      <c r="AD11" s="33">
        <f>AB11+AC11</f>
        <v>121453.30065</v>
      </c>
      <c r="AE11" s="20">
        <f t="shared" si="23"/>
        <v>1389.3726</v>
      </c>
      <c r="AG11" s="65">
        <f aca="true" t="shared" si="70" ref="AG11:AG45">C11*1.18541/100</f>
        <v>37162.6035</v>
      </c>
      <c r="AH11" s="65">
        <f t="shared" si="46"/>
        <v>23013.763113800003</v>
      </c>
      <c r="AI11" s="20">
        <f t="shared" si="6"/>
        <v>60176.3666138</v>
      </c>
      <c r="AJ11" s="20">
        <f t="shared" si="24"/>
        <v>688.3912952</v>
      </c>
      <c r="AL11" s="65">
        <f aca="true" t="shared" si="71" ref="AL11:AL45">C11*21.61132/100</f>
        <v>677514.882</v>
      </c>
      <c r="AM11" s="65">
        <f t="shared" si="47"/>
        <v>419566.05651759997</v>
      </c>
      <c r="AN11" s="20">
        <f t="shared" si="7"/>
        <v>1097080.9385175998</v>
      </c>
      <c r="AO11" s="20">
        <f t="shared" si="25"/>
        <v>12550.1257504</v>
      </c>
      <c r="AP11" s="33"/>
      <c r="AQ11" s="65">
        <f aca="true" t="shared" si="72" ref="AQ11:AQ45">C11*2.84975/100</f>
        <v>89339.6625</v>
      </c>
      <c r="AR11" s="65">
        <f t="shared" si="48"/>
        <v>55325.559454999995</v>
      </c>
      <c r="AS11" s="20">
        <f t="shared" si="8"/>
        <v>144665.22195500002</v>
      </c>
      <c r="AT11" s="20">
        <f t="shared" si="26"/>
        <v>1654.90682</v>
      </c>
      <c r="AU11" s="33"/>
      <c r="AV11" s="51">
        <f aca="true" t="shared" si="73" ref="AV11:AV45">C11*0.8453/100</f>
        <v>26500.155</v>
      </c>
      <c r="AW11" s="51">
        <f t="shared" si="49"/>
        <v>16410.806354</v>
      </c>
      <c r="AX11" s="33">
        <f t="shared" si="9"/>
        <v>42910.961354</v>
      </c>
      <c r="AY11" s="20">
        <f t="shared" si="27"/>
        <v>490.88261600000004</v>
      </c>
      <c r="AZ11" s="33"/>
      <c r="BA11" s="33">
        <f aca="true" t="shared" si="74" ref="BA11:BA45">C11*0.37175/100</f>
        <v>11654.3625</v>
      </c>
      <c r="BB11" s="33">
        <f t="shared" si="50"/>
        <v>7217.221415</v>
      </c>
      <c r="BC11" s="33">
        <f t="shared" si="51"/>
        <v>18871.583915</v>
      </c>
      <c r="BD11" s="20">
        <f t="shared" si="28"/>
        <v>215.88266</v>
      </c>
      <c r="BE11" s="33"/>
      <c r="BF11" s="51">
        <f aca="true" t="shared" si="75" ref="BF11:BF45">C11*3.25791/100</f>
        <v>102135.4785</v>
      </c>
      <c r="BG11" s="51">
        <f t="shared" si="52"/>
        <v>63249.651163799994</v>
      </c>
      <c r="BH11" s="33">
        <f t="shared" si="10"/>
        <v>165385.1296638</v>
      </c>
      <c r="BI11" s="20">
        <f t="shared" si="29"/>
        <v>1891.9334952</v>
      </c>
      <c r="BJ11" s="33"/>
      <c r="BK11" s="51">
        <f aca="true" t="shared" si="76" ref="BK11:BK45">C11*0.2523/100</f>
        <v>7909.605000000001</v>
      </c>
      <c r="BL11" s="51">
        <f t="shared" si="53"/>
        <v>4898.197614000001</v>
      </c>
      <c r="BM11" s="33">
        <f t="shared" si="11"/>
        <v>12807.802614000002</v>
      </c>
      <c r="BN11" s="20">
        <f t="shared" si="30"/>
        <v>146.515656</v>
      </c>
      <c r="BO11" s="33"/>
      <c r="BP11" s="51">
        <f aca="true" t="shared" si="77" ref="BP11:BP45">C11*10.86592/100</f>
        <v>340646.59199999995</v>
      </c>
      <c r="BQ11" s="51">
        <f t="shared" si="54"/>
        <v>210952.92674559998</v>
      </c>
      <c r="BR11" s="33">
        <f t="shared" si="12"/>
        <v>551599.5187455999</v>
      </c>
      <c r="BS11" s="20">
        <f t="shared" si="31"/>
        <v>6310.0570624</v>
      </c>
      <c r="BT11" s="33"/>
      <c r="BU11" s="51">
        <f aca="true" t="shared" si="78" ref="BU11:BU45">C11*0.46146/100</f>
        <v>14466.770999999999</v>
      </c>
      <c r="BV11" s="51">
        <f t="shared" si="55"/>
        <v>8958.8675028</v>
      </c>
      <c r="BW11" s="33">
        <f t="shared" si="13"/>
        <v>23425.6385028</v>
      </c>
      <c r="BX11" s="20">
        <f t="shared" si="32"/>
        <v>267.9790512</v>
      </c>
      <c r="BY11" s="33"/>
      <c r="BZ11" s="33">
        <f aca="true" t="shared" si="79" ref="BZ11:BZ45">C11*0.00127/100</f>
        <v>39.8145</v>
      </c>
      <c r="CA11" s="33">
        <f t="shared" si="56"/>
        <v>24.6560086</v>
      </c>
      <c r="CB11" s="33">
        <f t="shared" si="57"/>
        <v>64.4705086</v>
      </c>
      <c r="CC11" s="20">
        <f t="shared" si="33"/>
        <v>0.7375144</v>
      </c>
      <c r="CD11" s="33"/>
      <c r="CE11" s="51">
        <f aca="true" t="shared" si="80" ref="CE11:CE45">C11*0.32049/100</f>
        <v>10047.3615</v>
      </c>
      <c r="CF11" s="51">
        <f t="shared" si="58"/>
        <v>6222.0505482</v>
      </c>
      <c r="CG11" s="33">
        <f t="shared" si="14"/>
        <v>16269.4120482</v>
      </c>
      <c r="CH11" s="20">
        <f t="shared" si="34"/>
        <v>186.1149528</v>
      </c>
      <c r="CI11" s="33"/>
      <c r="CJ11" s="51">
        <f aca="true" t="shared" si="81" ref="CJ11:CJ45">C11*0.81883/100</f>
        <v>25670.320499999998</v>
      </c>
      <c r="CK11" s="51">
        <f t="shared" si="59"/>
        <v>15896.9130094</v>
      </c>
      <c r="CL11" s="33">
        <f t="shared" si="15"/>
        <v>41567.2335094</v>
      </c>
      <c r="CM11" s="20">
        <f t="shared" si="35"/>
        <v>475.51095760000004</v>
      </c>
      <c r="CN11" s="33"/>
      <c r="CO11" s="51">
        <f aca="true" t="shared" si="82" ref="CO11:CO45">C11*1.38394/100</f>
        <v>43386.51899999999</v>
      </c>
      <c r="CP11" s="51">
        <f t="shared" si="60"/>
        <v>26868.0602692</v>
      </c>
      <c r="CQ11" s="33">
        <f t="shared" si="16"/>
        <v>70254.5792692</v>
      </c>
      <c r="CR11" s="20">
        <f t="shared" si="36"/>
        <v>803.6816368</v>
      </c>
      <c r="CS11" s="33"/>
      <c r="CT11" s="51">
        <f aca="true" t="shared" si="83" ref="CT11:CT45">C11*11.38442/100</f>
        <v>356901.56700000004</v>
      </c>
      <c r="CU11" s="51">
        <f t="shared" si="61"/>
        <v>221019.17907560003</v>
      </c>
      <c r="CV11" s="33">
        <f t="shared" si="17"/>
        <v>577920.7460756</v>
      </c>
      <c r="CW11" s="20">
        <f t="shared" si="37"/>
        <v>6611.1603824</v>
      </c>
      <c r="CX11" s="33"/>
      <c r="CY11" s="51">
        <f aca="true" t="shared" si="84" ref="CY11:CY45">C11*0.21375/100</f>
        <v>6701.0625</v>
      </c>
      <c r="CZ11" s="51">
        <f t="shared" si="62"/>
        <v>4149.780975</v>
      </c>
      <c r="DA11" s="33">
        <f t="shared" si="18"/>
        <v>10850.843475</v>
      </c>
      <c r="DB11" s="20">
        <f t="shared" si="38"/>
        <v>124.1289</v>
      </c>
      <c r="DC11" s="33"/>
      <c r="DD11" s="51">
        <f aca="true" t="shared" si="85" ref="DD11:DD45">C11*1.01868/100</f>
        <v>31935.618000000002</v>
      </c>
      <c r="DE11" s="51">
        <f t="shared" si="63"/>
        <v>19776.8368824</v>
      </c>
      <c r="DF11" s="33">
        <f t="shared" si="19"/>
        <v>51712.4548824</v>
      </c>
      <c r="DG11" s="20">
        <f t="shared" si="39"/>
        <v>591.5678495999999</v>
      </c>
      <c r="DH11" s="33"/>
      <c r="DI11" s="33">
        <f aca="true" t="shared" si="86" ref="DI11:DI45">C11*1.83432/100</f>
        <v>57505.932</v>
      </c>
      <c r="DJ11" s="33">
        <f t="shared" si="64"/>
        <v>35611.8186576</v>
      </c>
      <c r="DK11" s="33">
        <f t="shared" si="65"/>
        <v>93117.7506576</v>
      </c>
      <c r="DL11" s="20">
        <f t="shared" si="40"/>
        <v>1065.2263104</v>
      </c>
      <c r="DM11" s="33"/>
      <c r="DN11" s="51">
        <f aca="true" t="shared" si="87" ref="DN11:DN45">C11*1.83184/100</f>
        <v>57428.183999999994</v>
      </c>
      <c r="DO11" s="51">
        <f t="shared" si="66"/>
        <v>35563.671491199995</v>
      </c>
      <c r="DP11" s="33">
        <f t="shared" si="20"/>
        <v>92991.8554912</v>
      </c>
      <c r="DQ11" s="20">
        <f t="shared" si="41"/>
        <v>1063.7861248</v>
      </c>
      <c r="DR11" s="33"/>
      <c r="DS11" s="33"/>
      <c r="DT11" s="33"/>
      <c r="DU11" s="33"/>
    </row>
    <row r="12" spans="1:125" ht="12.75">
      <c r="A12" s="19">
        <v>40817</v>
      </c>
      <c r="D12" s="35">
        <v>1863043</v>
      </c>
      <c r="E12" s="35">
        <f t="shared" si="0"/>
        <v>1863043</v>
      </c>
      <c r="F12" s="35">
        <v>58072</v>
      </c>
      <c r="H12" s="51"/>
      <c r="I12" s="51">
        <v>188761</v>
      </c>
      <c r="J12" s="51">
        <f t="shared" si="42"/>
        <v>188761</v>
      </c>
      <c r="K12" s="51">
        <v>5883.7737392</v>
      </c>
      <c r="M12" s="51">
        <f t="shared" si="1"/>
        <v>0</v>
      </c>
      <c r="N12" s="41">
        <f t="shared" si="2"/>
        <v>1674282.0915001999</v>
      </c>
      <c r="O12" s="33">
        <f t="shared" si="3"/>
        <v>1674282.0915001999</v>
      </c>
      <c r="P12" s="41">
        <f t="shared" si="2"/>
        <v>52188.22626080002</v>
      </c>
      <c r="R12" s="65"/>
      <c r="S12" s="65">
        <f t="shared" si="43"/>
        <v>466419.89461340004</v>
      </c>
      <c r="T12" s="20">
        <f t="shared" si="4"/>
        <v>466419.89461340004</v>
      </c>
      <c r="U12" s="20">
        <f t="shared" si="21"/>
        <v>14538.5458736</v>
      </c>
      <c r="W12" s="65"/>
      <c r="X12" s="65">
        <f t="shared" si="44"/>
        <v>35986.538588</v>
      </c>
      <c r="Y12" s="20">
        <f t="shared" si="5"/>
        <v>35986.538588</v>
      </c>
      <c r="Z12" s="20">
        <f t="shared" si="22"/>
        <v>1121.718752</v>
      </c>
      <c r="AC12" s="33">
        <f t="shared" si="45"/>
        <v>44573.30377500001</v>
      </c>
      <c r="AD12" s="33">
        <f aca="true" t="shared" si="88" ref="AD12:AD45">AB12+AC12</f>
        <v>44573.30377500001</v>
      </c>
      <c r="AE12" s="20">
        <f t="shared" si="23"/>
        <v>1389.3726</v>
      </c>
      <c r="AG12" s="65"/>
      <c r="AH12" s="65">
        <f t="shared" si="46"/>
        <v>22084.698026300004</v>
      </c>
      <c r="AI12" s="20">
        <f t="shared" si="6"/>
        <v>22084.698026300004</v>
      </c>
      <c r="AJ12" s="20">
        <f t="shared" si="24"/>
        <v>688.3912952</v>
      </c>
      <c r="AL12" s="65"/>
      <c r="AM12" s="65">
        <f t="shared" si="47"/>
        <v>402628.18446759996</v>
      </c>
      <c r="AN12" s="20">
        <f t="shared" si="7"/>
        <v>402628.18446759996</v>
      </c>
      <c r="AO12" s="20">
        <f t="shared" si="25"/>
        <v>12550.1257504</v>
      </c>
      <c r="AP12" s="33"/>
      <c r="AQ12" s="65"/>
      <c r="AR12" s="65">
        <f t="shared" si="48"/>
        <v>53092.067892499996</v>
      </c>
      <c r="AS12" s="20">
        <f t="shared" si="8"/>
        <v>53092.067892499996</v>
      </c>
      <c r="AT12" s="20">
        <f t="shared" si="26"/>
        <v>1654.90682</v>
      </c>
      <c r="AU12" s="33"/>
      <c r="AV12" s="51"/>
      <c r="AW12" s="51">
        <f t="shared" si="49"/>
        <v>15748.302479</v>
      </c>
      <c r="AX12" s="33">
        <f t="shared" si="9"/>
        <v>15748.302479</v>
      </c>
      <c r="AY12" s="20">
        <f t="shared" si="27"/>
        <v>490.88261600000004</v>
      </c>
      <c r="AZ12" s="33"/>
      <c r="BA12" s="33"/>
      <c r="BB12" s="33">
        <f t="shared" si="50"/>
        <v>6925.8623525</v>
      </c>
      <c r="BC12" s="33">
        <f t="shared" si="51"/>
        <v>6925.8623525</v>
      </c>
      <c r="BD12" s="20">
        <f t="shared" si="28"/>
        <v>215.88266</v>
      </c>
      <c r="BE12" s="33"/>
      <c r="BF12" s="51"/>
      <c r="BG12" s="51">
        <f t="shared" si="52"/>
        <v>60696.26420129999</v>
      </c>
      <c r="BH12" s="33">
        <f t="shared" si="10"/>
        <v>60696.26420129999</v>
      </c>
      <c r="BI12" s="20">
        <f t="shared" si="29"/>
        <v>1891.9334952</v>
      </c>
      <c r="BJ12" s="33"/>
      <c r="BK12" s="51"/>
      <c r="BL12" s="51">
        <f t="shared" si="53"/>
        <v>4700.457489</v>
      </c>
      <c r="BM12" s="33">
        <f t="shared" si="11"/>
        <v>4700.457489</v>
      </c>
      <c r="BN12" s="20">
        <f t="shared" si="30"/>
        <v>146.515656</v>
      </c>
      <c r="BO12" s="33"/>
      <c r="BP12" s="51"/>
      <c r="BQ12" s="51">
        <f t="shared" si="54"/>
        <v>202436.76194559998</v>
      </c>
      <c r="BR12" s="33">
        <f t="shared" si="12"/>
        <v>202436.76194559998</v>
      </c>
      <c r="BS12" s="20">
        <f t="shared" si="31"/>
        <v>6310.0570624</v>
      </c>
      <c r="BT12" s="33"/>
      <c r="BU12" s="51"/>
      <c r="BV12" s="51">
        <f t="shared" si="55"/>
        <v>8597.1982278</v>
      </c>
      <c r="BW12" s="33">
        <f t="shared" si="13"/>
        <v>8597.1982278</v>
      </c>
      <c r="BX12" s="20">
        <f t="shared" si="32"/>
        <v>267.9790512</v>
      </c>
      <c r="BY12" s="33"/>
      <c r="BZ12" s="33"/>
      <c r="CA12" s="33">
        <f t="shared" si="56"/>
        <v>23.660646100000005</v>
      </c>
      <c r="CB12" s="33">
        <f t="shared" si="57"/>
        <v>23.660646100000005</v>
      </c>
      <c r="CC12" s="20">
        <f t="shared" si="33"/>
        <v>0.7375144</v>
      </c>
      <c r="CD12" s="33"/>
      <c r="CE12" s="51"/>
      <c r="CF12" s="51">
        <f t="shared" si="58"/>
        <v>5970.866510700001</v>
      </c>
      <c r="CG12" s="33">
        <f t="shared" si="14"/>
        <v>5970.866510700001</v>
      </c>
      <c r="CH12" s="20">
        <f t="shared" si="34"/>
        <v>186.1149528</v>
      </c>
      <c r="CI12" s="33"/>
      <c r="CJ12" s="51"/>
      <c r="CK12" s="51">
        <f t="shared" si="59"/>
        <v>15255.154996899999</v>
      </c>
      <c r="CL12" s="33">
        <f t="shared" si="15"/>
        <v>15255.154996899999</v>
      </c>
      <c r="CM12" s="20">
        <f t="shared" si="35"/>
        <v>475.51095760000004</v>
      </c>
      <c r="CN12" s="33"/>
      <c r="CO12" s="51"/>
      <c r="CP12" s="51">
        <f t="shared" si="60"/>
        <v>25783.397294199996</v>
      </c>
      <c r="CQ12" s="33">
        <f t="shared" si="16"/>
        <v>25783.397294199996</v>
      </c>
      <c r="CR12" s="20">
        <f t="shared" si="36"/>
        <v>803.6816368</v>
      </c>
      <c r="CS12" s="33"/>
      <c r="CT12" s="51"/>
      <c r="CU12" s="51">
        <f t="shared" si="61"/>
        <v>212096.6399006</v>
      </c>
      <c r="CV12" s="33">
        <f t="shared" si="17"/>
        <v>212096.6399006</v>
      </c>
      <c r="CW12" s="20">
        <f t="shared" si="37"/>
        <v>6611.1603824</v>
      </c>
      <c r="CX12" s="33"/>
      <c r="CY12" s="51"/>
      <c r="CZ12" s="51">
        <f t="shared" si="62"/>
        <v>3982.2544125</v>
      </c>
      <c r="DA12" s="33">
        <f t="shared" si="18"/>
        <v>3982.2544125</v>
      </c>
      <c r="DB12" s="20">
        <f t="shared" si="38"/>
        <v>124.1289</v>
      </c>
      <c r="DC12" s="33"/>
      <c r="DD12" s="51"/>
      <c r="DE12" s="51">
        <f t="shared" si="63"/>
        <v>18978.4464324</v>
      </c>
      <c r="DF12" s="33">
        <f t="shared" si="19"/>
        <v>18978.4464324</v>
      </c>
      <c r="DG12" s="20">
        <f t="shared" si="39"/>
        <v>591.5678495999999</v>
      </c>
      <c r="DH12" s="33"/>
      <c r="DI12" s="33"/>
      <c r="DJ12" s="33">
        <f t="shared" si="64"/>
        <v>34174.1703576</v>
      </c>
      <c r="DK12" s="33">
        <f t="shared" si="65"/>
        <v>34174.1703576</v>
      </c>
      <c r="DL12" s="20">
        <f t="shared" si="40"/>
        <v>1065.2263104</v>
      </c>
      <c r="DM12" s="33"/>
      <c r="DN12" s="51"/>
      <c r="DO12" s="51">
        <f t="shared" si="66"/>
        <v>34127.9668912</v>
      </c>
      <c r="DP12" s="33">
        <f t="shared" si="20"/>
        <v>34127.9668912</v>
      </c>
      <c r="DQ12" s="20">
        <f t="shared" si="41"/>
        <v>1063.7861248</v>
      </c>
      <c r="DR12" s="33"/>
      <c r="DS12" s="33"/>
      <c r="DT12" s="33"/>
      <c r="DU12" s="33"/>
    </row>
    <row r="13" spans="1:125" ht="12.75">
      <c r="A13" s="19">
        <v>41000</v>
      </c>
      <c r="C13" s="35">
        <v>3290000</v>
      </c>
      <c r="D13" s="35">
        <v>1863043</v>
      </c>
      <c r="E13" s="35">
        <f t="shared" si="0"/>
        <v>5153043</v>
      </c>
      <c r="F13" s="35">
        <v>58072</v>
      </c>
      <c r="H13" s="51">
        <v>333338</v>
      </c>
      <c r="I13" s="51">
        <v>188761</v>
      </c>
      <c r="J13" s="51">
        <f t="shared" si="42"/>
        <v>522099</v>
      </c>
      <c r="K13" s="51">
        <v>5883.7737392</v>
      </c>
      <c r="M13" s="51">
        <f t="shared" si="1"/>
        <v>2956661.806</v>
      </c>
      <c r="N13" s="41">
        <f t="shared" si="2"/>
        <v>1674282.0915001999</v>
      </c>
      <c r="O13" s="33">
        <f t="shared" si="3"/>
        <v>4630943.8975002</v>
      </c>
      <c r="P13" s="41">
        <f t="shared" si="2"/>
        <v>52188.22626080002</v>
      </c>
      <c r="R13" s="65">
        <f t="shared" si="67"/>
        <v>823664.002</v>
      </c>
      <c r="S13" s="65">
        <f t="shared" si="43"/>
        <v>466419.89461340004</v>
      </c>
      <c r="T13" s="20">
        <f t="shared" si="4"/>
        <v>1290083.8966134</v>
      </c>
      <c r="U13" s="20">
        <f t="shared" si="21"/>
        <v>14538.5458736</v>
      </c>
      <c r="W13" s="65">
        <f t="shared" si="68"/>
        <v>63549.64</v>
      </c>
      <c r="X13" s="65">
        <f t="shared" si="44"/>
        <v>35986.538588</v>
      </c>
      <c r="Y13" s="20">
        <f t="shared" si="5"/>
        <v>99536.17858800001</v>
      </c>
      <c r="Z13" s="20">
        <f t="shared" si="22"/>
        <v>1121.718752</v>
      </c>
      <c r="AB13" s="33">
        <f t="shared" si="69"/>
        <v>78713.25</v>
      </c>
      <c r="AC13" s="33">
        <f t="shared" si="45"/>
        <v>44573.30377500001</v>
      </c>
      <c r="AD13" s="33">
        <f t="shared" si="88"/>
        <v>123286.55377500001</v>
      </c>
      <c r="AE13" s="20">
        <f t="shared" si="23"/>
        <v>1389.3726</v>
      </c>
      <c r="AG13" s="65">
        <f t="shared" si="70"/>
        <v>38999.989</v>
      </c>
      <c r="AH13" s="65">
        <f t="shared" si="46"/>
        <v>22084.698026300004</v>
      </c>
      <c r="AI13" s="20">
        <f t="shared" si="6"/>
        <v>61084.6870263</v>
      </c>
      <c r="AJ13" s="20">
        <f t="shared" si="24"/>
        <v>688.3912952</v>
      </c>
      <c r="AL13" s="65">
        <f t="shared" si="71"/>
        <v>711012.428</v>
      </c>
      <c r="AM13" s="65">
        <f t="shared" si="47"/>
        <v>402628.18446759996</v>
      </c>
      <c r="AN13" s="20">
        <f t="shared" si="7"/>
        <v>1113640.6124676</v>
      </c>
      <c r="AO13" s="20">
        <f t="shared" si="25"/>
        <v>12550.1257504</v>
      </c>
      <c r="AP13" s="33"/>
      <c r="AQ13" s="65">
        <f t="shared" si="72"/>
        <v>93756.775</v>
      </c>
      <c r="AR13" s="65">
        <f t="shared" si="48"/>
        <v>53092.067892499996</v>
      </c>
      <c r="AS13" s="20">
        <f t="shared" si="8"/>
        <v>146848.8428925</v>
      </c>
      <c r="AT13" s="20">
        <f t="shared" si="26"/>
        <v>1654.90682</v>
      </c>
      <c r="AU13" s="33"/>
      <c r="AV13" s="51">
        <f t="shared" si="73"/>
        <v>27810.37</v>
      </c>
      <c r="AW13" s="51">
        <f t="shared" si="49"/>
        <v>15748.302479</v>
      </c>
      <c r="AX13" s="33">
        <f t="shared" si="9"/>
        <v>43558.672479</v>
      </c>
      <c r="AY13" s="20">
        <f t="shared" si="27"/>
        <v>490.88261600000004</v>
      </c>
      <c r="AZ13" s="33"/>
      <c r="BA13" s="33">
        <f t="shared" si="74"/>
        <v>12230.575</v>
      </c>
      <c r="BB13" s="33">
        <f t="shared" si="50"/>
        <v>6925.8623525</v>
      </c>
      <c r="BC13" s="33">
        <f t="shared" si="51"/>
        <v>19156.4373525</v>
      </c>
      <c r="BD13" s="20">
        <f t="shared" si="28"/>
        <v>215.88266</v>
      </c>
      <c r="BE13" s="33"/>
      <c r="BF13" s="51">
        <f t="shared" si="75"/>
        <v>107185.239</v>
      </c>
      <c r="BG13" s="51">
        <f t="shared" si="52"/>
        <v>60696.26420129999</v>
      </c>
      <c r="BH13" s="33">
        <f t="shared" si="10"/>
        <v>167881.5032013</v>
      </c>
      <c r="BI13" s="20">
        <f t="shared" si="29"/>
        <v>1891.9334952</v>
      </c>
      <c r="BJ13" s="33"/>
      <c r="BK13" s="51">
        <f t="shared" si="76"/>
        <v>8300.670000000002</v>
      </c>
      <c r="BL13" s="51">
        <f t="shared" si="53"/>
        <v>4700.457489</v>
      </c>
      <c r="BM13" s="33">
        <f t="shared" si="11"/>
        <v>13001.127489000002</v>
      </c>
      <c r="BN13" s="20">
        <f t="shared" si="30"/>
        <v>146.515656</v>
      </c>
      <c r="BO13" s="33"/>
      <c r="BP13" s="51">
        <f t="shared" si="77"/>
        <v>357488.768</v>
      </c>
      <c r="BQ13" s="51">
        <f t="shared" si="54"/>
        <v>202436.76194559998</v>
      </c>
      <c r="BR13" s="33">
        <f t="shared" si="12"/>
        <v>559925.5299456</v>
      </c>
      <c r="BS13" s="20">
        <f t="shared" si="31"/>
        <v>6310.0570624</v>
      </c>
      <c r="BT13" s="33"/>
      <c r="BU13" s="51">
        <f t="shared" si="78"/>
        <v>15182.034</v>
      </c>
      <c r="BV13" s="51">
        <f t="shared" si="55"/>
        <v>8597.1982278</v>
      </c>
      <c r="BW13" s="33">
        <f t="shared" si="13"/>
        <v>23779.2322278</v>
      </c>
      <c r="BX13" s="20">
        <f t="shared" si="32"/>
        <v>267.9790512</v>
      </c>
      <c r="BY13" s="33"/>
      <c r="BZ13" s="33">
        <f t="shared" si="79"/>
        <v>41.783</v>
      </c>
      <c r="CA13" s="33">
        <f t="shared" si="56"/>
        <v>23.660646100000005</v>
      </c>
      <c r="CB13" s="33">
        <f t="shared" si="57"/>
        <v>65.44364610000001</v>
      </c>
      <c r="CC13" s="20">
        <f t="shared" si="33"/>
        <v>0.7375144</v>
      </c>
      <c r="CD13" s="33"/>
      <c r="CE13" s="51">
        <f t="shared" si="80"/>
        <v>10544.121000000001</v>
      </c>
      <c r="CF13" s="51">
        <f t="shared" si="58"/>
        <v>5970.866510700001</v>
      </c>
      <c r="CG13" s="33">
        <f t="shared" si="14"/>
        <v>16514.9875107</v>
      </c>
      <c r="CH13" s="20">
        <f t="shared" si="34"/>
        <v>186.1149528</v>
      </c>
      <c r="CI13" s="33"/>
      <c r="CJ13" s="51">
        <f t="shared" si="81"/>
        <v>26939.506999999998</v>
      </c>
      <c r="CK13" s="51">
        <f t="shared" si="59"/>
        <v>15255.154996899999</v>
      </c>
      <c r="CL13" s="33">
        <f t="shared" si="15"/>
        <v>42194.661996899995</v>
      </c>
      <c r="CM13" s="20">
        <f t="shared" si="35"/>
        <v>475.51095760000004</v>
      </c>
      <c r="CN13" s="33"/>
      <c r="CO13" s="51">
        <f t="shared" si="82"/>
        <v>45531.626</v>
      </c>
      <c r="CP13" s="51">
        <f t="shared" si="60"/>
        <v>25783.397294199996</v>
      </c>
      <c r="CQ13" s="33">
        <f t="shared" si="16"/>
        <v>71315.02329419999</v>
      </c>
      <c r="CR13" s="20">
        <f t="shared" si="36"/>
        <v>803.6816368</v>
      </c>
      <c r="CS13" s="33"/>
      <c r="CT13" s="51">
        <f t="shared" si="83"/>
        <v>374547.41800000006</v>
      </c>
      <c r="CU13" s="51">
        <f t="shared" si="61"/>
        <v>212096.6399006</v>
      </c>
      <c r="CV13" s="33">
        <f t="shared" si="17"/>
        <v>586644.0579006001</v>
      </c>
      <c r="CW13" s="20">
        <f t="shared" si="37"/>
        <v>6611.1603824</v>
      </c>
      <c r="CX13" s="33"/>
      <c r="CY13" s="51">
        <f t="shared" si="84"/>
        <v>7032.375</v>
      </c>
      <c r="CZ13" s="51">
        <f t="shared" si="62"/>
        <v>3982.2544125</v>
      </c>
      <c r="DA13" s="33">
        <f t="shared" si="18"/>
        <v>11014.6294125</v>
      </c>
      <c r="DB13" s="20">
        <f t="shared" si="38"/>
        <v>124.1289</v>
      </c>
      <c r="DC13" s="33"/>
      <c r="DD13" s="51">
        <f t="shared" si="85"/>
        <v>33514.572</v>
      </c>
      <c r="DE13" s="51">
        <f t="shared" si="63"/>
        <v>18978.4464324</v>
      </c>
      <c r="DF13" s="33">
        <f t="shared" si="19"/>
        <v>52493.0184324</v>
      </c>
      <c r="DG13" s="20">
        <f t="shared" si="39"/>
        <v>591.5678495999999</v>
      </c>
      <c r="DH13" s="33"/>
      <c r="DI13" s="33">
        <f t="shared" si="86"/>
        <v>60349.128</v>
      </c>
      <c r="DJ13" s="33">
        <f t="shared" si="64"/>
        <v>34174.1703576</v>
      </c>
      <c r="DK13" s="33">
        <f t="shared" si="65"/>
        <v>94523.2983576</v>
      </c>
      <c r="DL13" s="20">
        <f t="shared" si="40"/>
        <v>1065.2263104</v>
      </c>
      <c r="DM13" s="33"/>
      <c r="DN13" s="51">
        <f t="shared" si="87"/>
        <v>60267.53599999999</v>
      </c>
      <c r="DO13" s="51">
        <f t="shared" si="66"/>
        <v>34127.9668912</v>
      </c>
      <c r="DP13" s="33">
        <f t="shared" si="20"/>
        <v>94395.50289119998</v>
      </c>
      <c r="DQ13" s="20">
        <f t="shared" si="41"/>
        <v>1063.7861248</v>
      </c>
      <c r="DR13" s="33"/>
      <c r="DS13" s="33"/>
      <c r="DT13" s="33"/>
      <c r="DU13" s="33"/>
    </row>
    <row r="14" spans="1:125" ht="12.75">
      <c r="A14" s="19">
        <v>41183</v>
      </c>
      <c r="D14" s="35">
        <v>1797243</v>
      </c>
      <c r="E14" s="35">
        <f t="shared" si="0"/>
        <v>1797243</v>
      </c>
      <c r="F14" s="35">
        <v>58072</v>
      </c>
      <c r="H14" s="51"/>
      <c r="I14" s="51">
        <v>182094</v>
      </c>
      <c r="J14" s="51">
        <f t="shared" si="42"/>
        <v>182094</v>
      </c>
      <c r="K14" s="51">
        <v>5883.7737392</v>
      </c>
      <c r="M14" s="51">
        <f t="shared" si="1"/>
        <v>0</v>
      </c>
      <c r="N14" s="41">
        <f t="shared" si="2"/>
        <v>1615148.8553801998</v>
      </c>
      <c r="O14" s="33">
        <f t="shared" si="3"/>
        <v>1615148.8553801998</v>
      </c>
      <c r="P14" s="41">
        <f t="shared" si="2"/>
        <v>52188.22626080002</v>
      </c>
      <c r="R14" s="65"/>
      <c r="S14" s="65">
        <f t="shared" si="43"/>
        <v>449946.6145734</v>
      </c>
      <c r="T14" s="20">
        <f t="shared" si="4"/>
        <v>449946.6145734</v>
      </c>
      <c r="U14" s="20">
        <f t="shared" si="21"/>
        <v>14538.5458736</v>
      </c>
      <c r="W14" s="65"/>
      <c r="X14" s="65">
        <f t="shared" si="44"/>
        <v>34715.545787999996</v>
      </c>
      <c r="Y14" s="20">
        <f t="shared" si="5"/>
        <v>34715.545787999996</v>
      </c>
      <c r="Z14" s="20">
        <f t="shared" si="22"/>
        <v>1121.718752</v>
      </c>
      <c r="AC14" s="33">
        <f t="shared" si="45"/>
        <v>42999.038775</v>
      </c>
      <c r="AD14" s="33">
        <f t="shared" si="88"/>
        <v>42999.038775</v>
      </c>
      <c r="AE14" s="20">
        <f t="shared" si="23"/>
        <v>1389.3726</v>
      </c>
      <c r="AG14" s="65"/>
      <c r="AH14" s="65">
        <f t="shared" si="46"/>
        <v>21304.698246300002</v>
      </c>
      <c r="AI14" s="20">
        <f t="shared" si="6"/>
        <v>21304.698246300002</v>
      </c>
      <c r="AJ14" s="20">
        <f t="shared" si="24"/>
        <v>688.3912952</v>
      </c>
      <c r="AL14" s="65"/>
      <c r="AM14" s="65">
        <f t="shared" si="47"/>
        <v>388407.9359076</v>
      </c>
      <c r="AN14" s="20">
        <f t="shared" si="7"/>
        <v>388407.9359076</v>
      </c>
      <c r="AO14" s="20">
        <f t="shared" si="25"/>
        <v>12550.1257504</v>
      </c>
      <c r="AP14" s="33"/>
      <c r="AQ14" s="65"/>
      <c r="AR14" s="65">
        <f t="shared" si="48"/>
        <v>51216.9323925</v>
      </c>
      <c r="AS14" s="20">
        <f t="shared" si="8"/>
        <v>51216.9323925</v>
      </c>
      <c r="AT14" s="20">
        <f t="shared" si="26"/>
        <v>1654.90682</v>
      </c>
      <c r="AU14" s="33"/>
      <c r="AV14" s="51"/>
      <c r="AW14" s="51">
        <f t="shared" si="49"/>
        <v>15192.095079</v>
      </c>
      <c r="AX14" s="33">
        <f t="shared" si="9"/>
        <v>15192.095079</v>
      </c>
      <c r="AY14" s="20">
        <f t="shared" si="27"/>
        <v>490.88261600000004</v>
      </c>
      <c r="AZ14" s="33"/>
      <c r="BA14" s="33"/>
      <c r="BB14" s="33">
        <f t="shared" si="50"/>
        <v>6681.2508525</v>
      </c>
      <c r="BC14" s="33">
        <f t="shared" si="51"/>
        <v>6681.2508525</v>
      </c>
      <c r="BD14" s="20">
        <f t="shared" si="28"/>
        <v>215.88266</v>
      </c>
      <c r="BE14" s="33"/>
      <c r="BF14" s="51"/>
      <c r="BG14" s="51">
        <f t="shared" si="52"/>
        <v>58552.55942129999</v>
      </c>
      <c r="BH14" s="33">
        <f t="shared" si="10"/>
        <v>58552.55942129999</v>
      </c>
      <c r="BI14" s="20">
        <f t="shared" si="29"/>
        <v>1891.9334952</v>
      </c>
      <c r="BJ14" s="33"/>
      <c r="BK14" s="51"/>
      <c r="BL14" s="51">
        <f t="shared" si="53"/>
        <v>4534.4440890000005</v>
      </c>
      <c r="BM14" s="33">
        <f t="shared" si="11"/>
        <v>4534.4440890000005</v>
      </c>
      <c r="BN14" s="20">
        <f t="shared" si="30"/>
        <v>146.515656</v>
      </c>
      <c r="BO14" s="33"/>
      <c r="BP14" s="51"/>
      <c r="BQ14" s="51">
        <f t="shared" si="54"/>
        <v>195286.98658559995</v>
      </c>
      <c r="BR14" s="33">
        <f t="shared" si="12"/>
        <v>195286.98658559995</v>
      </c>
      <c r="BS14" s="20">
        <f t="shared" si="31"/>
        <v>6310.0570624</v>
      </c>
      <c r="BT14" s="33"/>
      <c r="BU14" s="51"/>
      <c r="BV14" s="51">
        <f t="shared" si="55"/>
        <v>8293.5575478</v>
      </c>
      <c r="BW14" s="33">
        <f t="shared" si="13"/>
        <v>8293.5575478</v>
      </c>
      <c r="BX14" s="20">
        <f t="shared" si="32"/>
        <v>267.9790512</v>
      </c>
      <c r="BY14" s="33"/>
      <c r="BZ14" s="33"/>
      <c r="CA14" s="33">
        <f t="shared" si="56"/>
        <v>22.8249861</v>
      </c>
      <c r="CB14" s="33">
        <f t="shared" si="57"/>
        <v>22.8249861</v>
      </c>
      <c r="CC14" s="20">
        <f t="shared" si="33"/>
        <v>0.7375144</v>
      </c>
      <c r="CD14" s="33"/>
      <c r="CE14" s="51"/>
      <c r="CF14" s="51">
        <f t="shared" si="58"/>
        <v>5759.984090700001</v>
      </c>
      <c r="CG14" s="33">
        <f t="shared" si="14"/>
        <v>5759.984090700001</v>
      </c>
      <c r="CH14" s="20">
        <f t="shared" si="34"/>
        <v>186.1149528</v>
      </c>
      <c r="CI14" s="33"/>
      <c r="CJ14" s="51"/>
      <c r="CK14" s="51">
        <f t="shared" si="59"/>
        <v>14716.3648569</v>
      </c>
      <c r="CL14" s="33">
        <f t="shared" si="15"/>
        <v>14716.3648569</v>
      </c>
      <c r="CM14" s="20">
        <f t="shared" si="35"/>
        <v>475.51095760000004</v>
      </c>
      <c r="CN14" s="33"/>
      <c r="CO14" s="51"/>
      <c r="CP14" s="51">
        <f t="shared" si="60"/>
        <v>24872.764774199997</v>
      </c>
      <c r="CQ14" s="33">
        <f t="shared" si="16"/>
        <v>24872.764774199997</v>
      </c>
      <c r="CR14" s="20">
        <f t="shared" si="36"/>
        <v>803.6816368</v>
      </c>
      <c r="CS14" s="33"/>
      <c r="CT14" s="51"/>
      <c r="CU14" s="51">
        <f t="shared" si="61"/>
        <v>204605.69154060003</v>
      </c>
      <c r="CV14" s="33">
        <f t="shared" si="17"/>
        <v>204605.69154060003</v>
      </c>
      <c r="CW14" s="20">
        <f t="shared" si="37"/>
        <v>6611.1603824</v>
      </c>
      <c r="CX14" s="33"/>
      <c r="CY14" s="51"/>
      <c r="CZ14" s="51">
        <f t="shared" si="62"/>
        <v>3841.6069125</v>
      </c>
      <c r="DA14" s="33">
        <f t="shared" si="18"/>
        <v>3841.6069125</v>
      </c>
      <c r="DB14" s="20">
        <f t="shared" si="38"/>
        <v>124.1289</v>
      </c>
      <c r="DC14" s="33"/>
      <c r="DD14" s="51"/>
      <c r="DE14" s="51">
        <f t="shared" si="63"/>
        <v>18308.1549924</v>
      </c>
      <c r="DF14" s="33">
        <f t="shared" si="19"/>
        <v>18308.1549924</v>
      </c>
      <c r="DG14" s="20">
        <f t="shared" si="39"/>
        <v>591.5678495999999</v>
      </c>
      <c r="DH14" s="33"/>
      <c r="DI14" s="33"/>
      <c r="DJ14" s="33">
        <f t="shared" si="64"/>
        <v>32967.187797599996</v>
      </c>
      <c r="DK14" s="33">
        <f t="shared" si="65"/>
        <v>32967.187797599996</v>
      </c>
      <c r="DL14" s="20">
        <f t="shared" si="40"/>
        <v>1065.2263104</v>
      </c>
      <c r="DM14" s="33"/>
      <c r="DN14" s="51"/>
      <c r="DO14" s="51">
        <f t="shared" si="66"/>
        <v>32922.6161712</v>
      </c>
      <c r="DP14" s="33">
        <f t="shared" si="20"/>
        <v>32922.6161712</v>
      </c>
      <c r="DQ14" s="20">
        <f t="shared" si="41"/>
        <v>1063.7861248</v>
      </c>
      <c r="DR14" s="33"/>
      <c r="DS14" s="33"/>
      <c r="DT14" s="33"/>
      <c r="DU14" s="33"/>
    </row>
    <row r="15" spans="1:125" ht="12.75">
      <c r="A15" s="19">
        <v>41365</v>
      </c>
      <c r="B15" t="s">
        <v>41</v>
      </c>
      <c r="C15" s="35">
        <v>3420000</v>
      </c>
      <c r="D15" s="35">
        <v>1797243</v>
      </c>
      <c r="E15" s="35">
        <f t="shared" si="0"/>
        <v>5217243</v>
      </c>
      <c r="F15" s="35">
        <v>58072</v>
      </c>
      <c r="H15" s="51">
        <v>346510</v>
      </c>
      <c r="I15" s="51">
        <v>182094</v>
      </c>
      <c r="J15" s="51">
        <f t="shared" si="42"/>
        <v>528604</v>
      </c>
      <c r="K15" s="51">
        <v>5883.7737392</v>
      </c>
      <c r="M15" s="51">
        <f t="shared" si="1"/>
        <v>3073490.3879999993</v>
      </c>
      <c r="N15" s="41">
        <f t="shared" si="2"/>
        <v>1615148.8553801998</v>
      </c>
      <c r="O15" s="33">
        <f t="shared" si="3"/>
        <v>4688639.243380199</v>
      </c>
      <c r="P15" s="41">
        <f t="shared" si="2"/>
        <v>52188.22626080002</v>
      </c>
      <c r="R15" s="65">
        <f t="shared" si="67"/>
        <v>856209.9959999999</v>
      </c>
      <c r="S15" s="65">
        <f t="shared" si="43"/>
        <v>449946.6145734</v>
      </c>
      <c r="T15" s="20">
        <f t="shared" si="4"/>
        <v>1306156.6105733998</v>
      </c>
      <c r="U15" s="20">
        <f t="shared" si="21"/>
        <v>14538.5458736</v>
      </c>
      <c r="W15" s="65">
        <f t="shared" si="68"/>
        <v>66060.72</v>
      </c>
      <c r="X15" s="65">
        <f t="shared" si="44"/>
        <v>34715.545787999996</v>
      </c>
      <c r="Y15" s="20">
        <f t="shared" si="5"/>
        <v>100776.26578799999</v>
      </c>
      <c r="Z15" s="20">
        <f t="shared" si="22"/>
        <v>1121.718752</v>
      </c>
      <c r="AB15" s="33">
        <f t="shared" si="69"/>
        <v>81823.5</v>
      </c>
      <c r="AC15" s="33">
        <f t="shared" si="45"/>
        <v>42999.038775</v>
      </c>
      <c r="AD15" s="33">
        <f t="shared" si="88"/>
        <v>124822.538775</v>
      </c>
      <c r="AE15" s="20">
        <f t="shared" si="23"/>
        <v>1389.3726</v>
      </c>
      <c r="AG15" s="65">
        <f t="shared" si="70"/>
        <v>40541.022000000004</v>
      </c>
      <c r="AH15" s="65">
        <f t="shared" si="46"/>
        <v>21304.698246300002</v>
      </c>
      <c r="AI15" s="20">
        <f t="shared" si="6"/>
        <v>61845.72024630001</v>
      </c>
      <c r="AJ15" s="20">
        <f t="shared" si="24"/>
        <v>688.3912952</v>
      </c>
      <c r="AL15" s="65">
        <f t="shared" si="71"/>
        <v>739107.1439999999</v>
      </c>
      <c r="AM15" s="65">
        <f t="shared" si="47"/>
        <v>388407.9359076</v>
      </c>
      <c r="AN15" s="20">
        <f t="shared" si="7"/>
        <v>1127515.0799075998</v>
      </c>
      <c r="AO15" s="20">
        <f t="shared" si="25"/>
        <v>12550.1257504</v>
      </c>
      <c r="AP15" s="33"/>
      <c r="AQ15" s="65">
        <f t="shared" si="72"/>
        <v>97461.45</v>
      </c>
      <c r="AR15" s="65">
        <f t="shared" si="48"/>
        <v>51216.9323925</v>
      </c>
      <c r="AS15" s="20">
        <f t="shared" si="8"/>
        <v>148678.3823925</v>
      </c>
      <c r="AT15" s="20">
        <f t="shared" si="26"/>
        <v>1654.90682</v>
      </c>
      <c r="AU15" s="33"/>
      <c r="AV15" s="51">
        <f t="shared" si="73"/>
        <v>28909.26</v>
      </c>
      <c r="AW15" s="51">
        <f t="shared" si="49"/>
        <v>15192.095079</v>
      </c>
      <c r="AX15" s="33">
        <f t="shared" si="9"/>
        <v>44101.355079</v>
      </c>
      <c r="AY15" s="20">
        <f t="shared" si="27"/>
        <v>490.88261600000004</v>
      </c>
      <c r="AZ15" s="33"/>
      <c r="BA15" s="33">
        <f t="shared" si="74"/>
        <v>12713.85</v>
      </c>
      <c r="BB15" s="33">
        <f t="shared" si="50"/>
        <v>6681.2508525</v>
      </c>
      <c r="BC15" s="33">
        <f t="shared" si="51"/>
        <v>19395.1008525</v>
      </c>
      <c r="BD15" s="20">
        <f t="shared" si="28"/>
        <v>215.88266</v>
      </c>
      <c r="BE15" s="33"/>
      <c r="BF15" s="51">
        <f t="shared" si="75"/>
        <v>111420.522</v>
      </c>
      <c r="BG15" s="51">
        <f t="shared" si="52"/>
        <v>58552.55942129999</v>
      </c>
      <c r="BH15" s="33">
        <f t="shared" si="10"/>
        <v>169973.08142129998</v>
      </c>
      <c r="BI15" s="20">
        <f t="shared" si="29"/>
        <v>1891.9334952</v>
      </c>
      <c r="BJ15" s="33"/>
      <c r="BK15" s="51">
        <f t="shared" si="76"/>
        <v>8628.660000000002</v>
      </c>
      <c r="BL15" s="51">
        <f t="shared" si="53"/>
        <v>4534.4440890000005</v>
      </c>
      <c r="BM15" s="33">
        <f t="shared" si="11"/>
        <v>13163.104089000002</v>
      </c>
      <c r="BN15" s="20">
        <f t="shared" si="30"/>
        <v>146.515656</v>
      </c>
      <c r="BO15" s="33"/>
      <c r="BP15" s="51">
        <f t="shared" si="77"/>
        <v>371614.464</v>
      </c>
      <c r="BQ15" s="51">
        <f t="shared" si="54"/>
        <v>195286.98658559995</v>
      </c>
      <c r="BR15" s="33">
        <f t="shared" si="12"/>
        <v>566901.4505856</v>
      </c>
      <c r="BS15" s="20">
        <f t="shared" si="31"/>
        <v>6310.0570624</v>
      </c>
      <c r="BT15" s="33"/>
      <c r="BU15" s="51">
        <f t="shared" si="78"/>
        <v>15781.931999999999</v>
      </c>
      <c r="BV15" s="51">
        <f t="shared" si="55"/>
        <v>8293.5575478</v>
      </c>
      <c r="BW15" s="33">
        <f t="shared" si="13"/>
        <v>24075.489547799996</v>
      </c>
      <c r="BX15" s="20">
        <f t="shared" si="32"/>
        <v>267.9790512</v>
      </c>
      <c r="BY15" s="33"/>
      <c r="BZ15" s="33">
        <f t="shared" si="79"/>
        <v>43.434000000000005</v>
      </c>
      <c r="CA15" s="33">
        <f t="shared" si="56"/>
        <v>22.8249861</v>
      </c>
      <c r="CB15" s="33">
        <f t="shared" si="57"/>
        <v>66.2589861</v>
      </c>
      <c r="CC15" s="20">
        <f t="shared" si="33"/>
        <v>0.7375144</v>
      </c>
      <c r="CD15" s="33"/>
      <c r="CE15" s="51">
        <f t="shared" si="80"/>
        <v>10960.758</v>
      </c>
      <c r="CF15" s="51">
        <f t="shared" si="58"/>
        <v>5759.984090700001</v>
      </c>
      <c r="CG15" s="33">
        <f t="shared" si="14"/>
        <v>16720.7420907</v>
      </c>
      <c r="CH15" s="20">
        <f t="shared" si="34"/>
        <v>186.1149528</v>
      </c>
      <c r="CI15" s="33"/>
      <c r="CJ15" s="51">
        <f t="shared" si="81"/>
        <v>28003.985999999997</v>
      </c>
      <c r="CK15" s="51">
        <f t="shared" si="59"/>
        <v>14716.3648569</v>
      </c>
      <c r="CL15" s="33">
        <f t="shared" si="15"/>
        <v>42720.3508569</v>
      </c>
      <c r="CM15" s="20">
        <f t="shared" si="35"/>
        <v>475.51095760000004</v>
      </c>
      <c r="CN15" s="33"/>
      <c r="CO15" s="51">
        <f t="shared" si="82"/>
        <v>47330.748</v>
      </c>
      <c r="CP15" s="51">
        <f t="shared" si="60"/>
        <v>24872.764774199997</v>
      </c>
      <c r="CQ15" s="33">
        <f t="shared" si="16"/>
        <v>72203.5127742</v>
      </c>
      <c r="CR15" s="20">
        <f t="shared" si="36"/>
        <v>803.6816368</v>
      </c>
      <c r="CS15" s="33"/>
      <c r="CT15" s="51">
        <f t="shared" si="83"/>
        <v>389347.164</v>
      </c>
      <c r="CU15" s="51">
        <f t="shared" si="61"/>
        <v>204605.69154060003</v>
      </c>
      <c r="CV15" s="33">
        <f t="shared" si="17"/>
        <v>593952.8555406</v>
      </c>
      <c r="CW15" s="20">
        <f t="shared" si="37"/>
        <v>6611.1603824</v>
      </c>
      <c r="CX15" s="33"/>
      <c r="CY15" s="51">
        <f t="shared" si="84"/>
        <v>7310.25</v>
      </c>
      <c r="CZ15" s="51">
        <f t="shared" si="62"/>
        <v>3841.6069125</v>
      </c>
      <c r="DA15" s="33">
        <f t="shared" si="18"/>
        <v>11151.8569125</v>
      </c>
      <c r="DB15" s="20">
        <f t="shared" si="38"/>
        <v>124.1289</v>
      </c>
      <c r="DC15" s="33"/>
      <c r="DD15" s="51">
        <f t="shared" si="85"/>
        <v>34838.856</v>
      </c>
      <c r="DE15" s="51">
        <f t="shared" si="63"/>
        <v>18308.1549924</v>
      </c>
      <c r="DF15" s="33">
        <f t="shared" si="19"/>
        <v>53147.0109924</v>
      </c>
      <c r="DG15" s="20">
        <f t="shared" si="39"/>
        <v>591.5678495999999</v>
      </c>
      <c r="DH15" s="33"/>
      <c r="DI15" s="33">
        <f t="shared" si="86"/>
        <v>62733.74399999999</v>
      </c>
      <c r="DJ15" s="33">
        <f t="shared" si="64"/>
        <v>32967.187797599996</v>
      </c>
      <c r="DK15" s="33">
        <f t="shared" si="65"/>
        <v>95700.93179759999</v>
      </c>
      <c r="DL15" s="20">
        <f t="shared" si="40"/>
        <v>1065.2263104</v>
      </c>
      <c r="DM15" s="33"/>
      <c r="DN15" s="51">
        <f t="shared" si="87"/>
        <v>62648.928</v>
      </c>
      <c r="DO15" s="51">
        <f t="shared" si="66"/>
        <v>32922.6161712</v>
      </c>
      <c r="DP15" s="33">
        <f t="shared" si="20"/>
        <v>95571.5441712</v>
      </c>
      <c r="DQ15" s="20">
        <f t="shared" si="41"/>
        <v>1063.7861248</v>
      </c>
      <c r="DR15" s="33"/>
      <c r="DS15" s="33"/>
      <c r="DT15" s="33"/>
      <c r="DU15" s="33"/>
    </row>
    <row r="16" spans="1:125" ht="12.75">
      <c r="A16" s="19">
        <v>41548</v>
      </c>
      <c r="D16" s="35">
        <v>1728843</v>
      </c>
      <c r="E16" s="35">
        <f t="shared" si="0"/>
        <v>1728843</v>
      </c>
      <c r="F16" s="35">
        <v>58072</v>
      </c>
      <c r="H16" s="51"/>
      <c r="I16" s="51">
        <v>175164</v>
      </c>
      <c r="J16" s="51">
        <f t="shared" si="42"/>
        <v>175164</v>
      </c>
      <c r="K16" s="51">
        <v>5883.7737392</v>
      </c>
      <c r="M16" s="51">
        <f t="shared" si="1"/>
        <v>0</v>
      </c>
      <c r="N16" s="41">
        <f t="shared" si="2"/>
        <v>1553679.0476201996</v>
      </c>
      <c r="O16" s="33">
        <f t="shared" si="3"/>
        <v>1553679.0476201996</v>
      </c>
      <c r="P16" s="41">
        <f t="shared" si="2"/>
        <v>52188.22626080002</v>
      </c>
      <c r="R16" s="65"/>
      <c r="S16" s="65">
        <f t="shared" si="43"/>
        <v>432822.4146534</v>
      </c>
      <c r="T16" s="20">
        <f t="shared" si="4"/>
        <v>432822.4146534</v>
      </c>
      <c r="U16" s="20">
        <f t="shared" si="21"/>
        <v>14538.5458736</v>
      </c>
      <c r="W16" s="65"/>
      <c r="X16" s="65">
        <f t="shared" si="44"/>
        <v>33394.331388</v>
      </c>
      <c r="Y16" s="20">
        <f t="shared" si="5"/>
        <v>33394.331388</v>
      </c>
      <c r="Z16" s="20">
        <f t="shared" si="22"/>
        <v>1121.718752</v>
      </c>
      <c r="AC16" s="33">
        <f t="shared" si="45"/>
        <v>41362.568775</v>
      </c>
      <c r="AD16" s="33">
        <f t="shared" si="88"/>
        <v>41362.568775</v>
      </c>
      <c r="AE16" s="20">
        <f t="shared" si="23"/>
        <v>1389.3726</v>
      </c>
      <c r="AG16" s="65"/>
      <c r="AH16" s="65">
        <f t="shared" si="46"/>
        <v>20493.877806300003</v>
      </c>
      <c r="AI16" s="20">
        <f t="shared" si="6"/>
        <v>20493.877806300003</v>
      </c>
      <c r="AJ16" s="20">
        <f t="shared" si="24"/>
        <v>688.3912952</v>
      </c>
      <c r="AL16" s="65"/>
      <c r="AM16" s="65">
        <f t="shared" si="47"/>
        <v>373625.7930276</v>
      </c>
      <c r="AN16" s="20">
        <f t="shared" si="7"/>
        <v>373625.7930276</v>
      </c>
      <c r="AO16" s="20">
        <f t="shared" si="25"/>
        <v>12550.1257504</v>
      </c>
      <c r="AP16" s="33"/>
      <c r="AQ16" s="65"/>
      <c r="AR16" s="65">
        <f t="shared" si="48"/>
        <v>49267.70339249999</v>
      </c>
      <c r="AS16" s="20">
        <f t="shared" si="8"/>
        <v>49267.70339249999</v>
      </c>
      <c r="AT16" s="20">
        <f t="shared" si="26"/>
        <v>1654.90682</v>
      </c>
      <c r="AU16" s="33"/>
      <c r="AV16" s="51"/>
      <c r="AW16" s="51">
        <f t="shared" si="49"/>
        <v>14613.909879</v>
      </c>
      <c r="AX16" s="33">
        <f t="shared" si="9"/>
        <v>14613.909879</v>
      </c>
      <c r="AY16" s="20">
        <f t="shared" si="27"/>
        <v>490.88261600000004</v>
      </c>
      <c r="AZ16" s="33"/>
      <c r="BA16" s="33"/>
      <c r="BB16" s="33">
        <f t="shared" si="50"/>
        <v>6426.9738525</v>
      </c>
      <c r="BC16" s="33">
        <f t="shared" si="51"/>
        <v>6426.9738525</v>
      </c>
      <c r="BD16" s="20">
        <f t="shared" si="28"/>
        <v>215.88266</v>
      </c>
      <c r="BE16" s="33"/>
      <c r="BF16" s="51"/>
      <c r="BG16" s="51">
        <f t="shared" si="52"/>
        <v>56324.14898129999</v>
      </c>
      <c r="BH16" s="33">
        <f t="shared" si="10"/>
        <v>56324.14898129999</v>
      </c>
      <c r="BI16" s="20">
        <f t="shared" si="29"/>
        <v>1891.9334952</v>
      </c>
      <c r="BJ16" s="33"/>
      <c r="BK16" s="51"/>
      <c r="BL16" s="51">
        <f t="shared" si="53"/>
        <v>4361.870889000001</v>
      </c>
      <c r="BM16" s="33">
        <f t="shared" si="11"/>
        <v>4361.870889000001</v>
      </c>
      <c r="BN16" s="20">
        <f t="shared" si="30"/>
        <v>146.515656</v>
      </c>
      <c r="BO16" s="33"/>
      <c r="BP16" s="51"/>
      <c r="BQ16" s="51">
        <f t="shared" si="54"/>
        <v>187854.69730559998</v>
      </c>
      <c r="BR16" s="33">
        <f t="shared" si="12"/>
        <v>187854.69730559998</v>
      </c>
      <c r="BS16" s="20">
        <f t="shared" si="31"/>
        <v>6310.0570624</v>
      </c>
      <c r="BT16" s="33"/>
      <c r="BU16" s="51"/>
      <c r="BV16" s="51">
        <f t="shared" si="55"/>
        <v>7977.9189078</v>
      </c>
      <c r="BW16" s="33">
        <f t="shared" si="13"/>
        <v>7977.9189078</v>
      </c>
      <c r="BX16" s="20">
        <f t="shared" si="32"/>
        <v>267.9790512</v>
      </c>
      <c r="BY16" s="33"/>
      <c r="BZ16" s="33"/>
      <c r="CA16" s="33">
        <f t="shared" si="56"/>
        <v>21.956306100000003</v>
      </c>
      <c r="CB16" s="33">
        <f t="shared" si="57"/>
        <v>21.956306100000003</v>
      </c>
      <c r="CC16" s="20">
        <f t="shared" si="33"/>
        <v>0.7375144</v>
      </c>
      <c r="CD16" s="33"/>
      <c r="CE16" s="51"/>
      <c r="CF16" s="51">
        <f t="shared" si="58"/>
        <v>5540.7689307</v>
      </c>
      <c r="CG16" s="33">
        <f t="shared" si="14"/>
        <v>5540.7689307</v>
      </c>
      <c r="CH16" s="20">
        <f t="shared" si="34"/>
        <v>186.1149528</v>
      </c>
      <c r="CI16" s="33"/>
      <c r="CJ16" s="51"/>
      <c r="CK16" s="51">
        <f t="shared" si="59"/>
        <v>14156.2851369</v>
      </c>
      <c r="CL16" s="33">
        <f t="shared" si="15"/>
        <v>14156.2851369</v>
      </c>
      <c r="CM16" s="20">
        <f t="shared" si="35"/>
        <v>475.51095760000004</v>
      </c>
      <c r="CN16" s="33"/>
      <c r="CO16" s="51"/>
      <c r="CP16" s="51">
        <f t="shared" si="60"/>
        <v>23926.149814200002</v>
      </c>
      <c r="CQ16" s="33">
        <f t="shared" si="16"/>
        <v>23926.149814200002</v>
      </c>
      <c r="CR16" s="20">
        <f t="shared" si="36"/>
        <v>803.6816368</v>
      </c>
      <c r="CS16" s="33"/>
      <c r="CT16" s="51"/>
      <c r="CU16" s="51">
        <f t="shared" si="61"/>
        <v>196818.7482606</v>
      </c>
      <c r="CV16" s="33">
        <f t="shared" si="17"/>
        <v>196818.7482606</v>
      </c>
      <c r="CW16" s="20">
        <f t="shared" si="37"/>
        <v>6611.1603824</v>
      </c>
      <c r="CX16" s="33"/>
      <c r="CY16" s="51"/>
      <c r="CZ16" s="51">
        <f t="shared" si="62"/>
        <v>3695.4019124999995</v>
      </c>
      <c r="DA16" s="33">
        <f t="shared" si="18"/>
        <v>3695.4019124999995</v>
      </c>
      <c r="DB16" s="20">
        <f t="shared" si="38"/>
        <v>124.1289</v>
      </c>
      <c r="DC16" s="33"/>
      <c r="DD16" s="51"/>
      <c r="DE16" s="51">
        <f t="shared" si="63"/>
        <v>17611.3778724</v>
      </c>
      <c r="DF16" s="33">
        <f t="shared" si="19"/>
        <v>17611.3778724</v>
      </c>
      <c r="DG16" s="20">
        <f t="shared" si="39"/>
        <v>591.5678495999999</v>
      </c>
      <c r="DH16" s="33"/>
      <c r="DI16" s="33"/>
      <c r="DJ16" s="33">
        <f t="shared" si="64"/>
        <v>31712.5129176</v>
      </c>
      <c r="DK16" s="33">
        <f t="shared" si="65"/>
        <v>31712.5129176</v>
      </c>
      <c r="DL16" s="20">
        <f t="shared" si="40"/>
        <v>1065.2263104</v>
      </c>
      <c r="DM16" s="33"/>
      <c r="DN16" s="51"/>
      <c r="DO16" s="51">
        <f t="shared" si="66"/>
        <v>31669.6376112</v>
      </c>
      <c r="DP16" s="33">
        <f t="shared" si="20"/>
        <v>31669.6376112</v>
      </c>
      <c r="DQ16" s="20">
        <f t="shared" si="41"/>
        <v>1063.7861248</v>
      </c>
      <c r="DR16" s="33"/>
      <c r="DS16" s="33"/>
      <c r="DT16" s="33"/>
      <c r="DU16" s="33"/>
    </row>
    <row r="17" spans="1:125" ht="12.75">
      <c r="A17" s="19">
        <v>41730</v>
      </c>
      <c r="C17" s="35">
        <v>3555000</v>
      </c>
      <c r="D17" s="35">
        <v>1728843</v>
      </c>
      <c r="E17" s="35">
        <f t="shared" si="0"/>
        <v>5283843</v>
      </c>
      <c r="F17" s="35">
        <v>58072</v>
      </c>
      <c r="H17" s="51">
        <v>360188</v>
      </c>
      <c r="I17" s="51">
        <v>175164</v>
      </c>
      <c r="J17" s="51">
        <f t="shared" si="42"/>
        <v>535352</v>
      </c>
      <c r="K17" s="51">
        <v>5883.7737392</v>
      </c>
      <c r="M17" s="51">
        <f t="shared" si="1"/>
        <v>3194812.3769999994</v>
      </c>
      <c r="N17" s="41">
        <f t="shared" si="2"/>
        <v>1553679.0476201996</v>
      </c>
      <c r="O17" s="33">
        <f t="shared" si="3"/>
        <v>4748491.424620199</v>
      </c>
      <c r="P17" s="41">
        <f t="shared" si="2"/>
        <v>52188.22626080002</v>
      </c>
      <c r="R17" s="65">
        <f t="shared" si="67"/>
        <v>890007.7590000001</v>
      </c>
      <c r="S17" s="65">
        <f t="shared" si="43"/>
        <v>432822.4146534</v>
      </c>
      <c r="T17" s="20">
        <f t="shared" si="4"/>
        <v>1322830.1736534</v>
      </c>
      <c r="U17" s="20">
        <f t="shared" si="21"/>
        <v>14538.5458736</v>
      </c>
      <c r="W17" s="65">
        <f t="shared" si="68"/>
        <v>68668.38</v>
      </c>
      <c r="X17" s="65">
        <f t="shared" si="44"/>
        <v>33394.331388</v>
      </c>
      <c r="Y17" s="20">
        <f t="shared" si="5"/>
        <v>102062.711388</v>
      </c>
      <c r="Z17" s="20">
        <f t="shared" si="22"/>
        <v>1121.718752</v>
      </c>
      <c r="AB17" s="33">
        <f t="shared" si="69"/>
        <v>85053.375</v>
      </c>
      <c r="AC17" s="33">
        <f t="shared" si="45"/>
        <v>41362.568775</v>
      </c>
      <c r="AD17" s="33">
        <f t="shared" si="88"/>
        <v>126415.94377499999</v>
      </c>
      <c r="AE17" s="20">
        <f t="shared" si="23"/>
        <v>1389.3726</v>
      </c>
      <c r="AG17" s="65">
        <f t="shared" si="70"/>
        <v>42141.3255</v>
      </c>
      <c r="AH17" s="65">
        <f t="shared" si="46"/>
        <v>20493.877806300003</v>
      </c>
      <c r="AI17" s="20">
        <f t="shared" si="6"/>
        <v>62635.2033063</v>
      </c>
      <c r="AJ17" s="20">
        <f t="shared" si="24"/>
        <v>688.3912952</v>
      </c>
      <c r="AL17" s="65">
        <f t="shared" si="71"/>
        <v>768282.426</v>
      </c>
      <c r="AM17" s="65">
        <f t="shared" si="47"/>
        <v>373625.7930276</v>
      </c>
      <c r="AN17" s="20">
        <f t="shared" si="7"/>
        <v>1141908.2190276</v>
      </c>
      <c r="AO17" s="20">
        <f t="shared" si="25"/>
        <v>12550.1257504</v>
      </c>
      <c r="AP17" s="33"/>
      <c r="AQ17" s="65">
        <f t="shared" si="72"/>
        <v>101308.6125</v>
      </c>
      <c r="AR17" s="65">
        <f t="shared" si="48"/>
        <v>49267.70339249999</v>
      </c>
      <c r="AS17" s="20">
        <f t="shared" si="8"/>
        <v>150576.3158925</v>
      </c>
      <c r="AT17" s="20">
        <f t="shared" si="26"/>
        <v>1654.90682</v>
      </c>
      <c r="AU17" s="33"/>
      <c r="AV17" s="51">
        <f t="shared" si="73"/>
        <v>30050.415</v>
      </c>
      <c r="AW17" s="51">
        <f t="shared" si="49"/>
        <v>14613.909879</v>
      </c>
      <c r="AX17" s="33">
        <f t="shared" si="9"/>
        <v>44664.324879</v>
      </c>
      <c r="AY17" s="20">
        <f t="shared" si="27"/>
        <v>490.88261600000004</v>
      </c>
      <c r="AZ17" s="33"/>
      <c r="BA17" s="33">
        <f t="shared" si="74"/>
        <v>13215.7125</v>
      </c>
      <c r="BB17" s="33">
        <f t="shared" si="50"/>
        <v>6426.9738525</v>
      </c>
      <c r="BC17" s="33">
        <f t="shared" si="51"/>
        <v>19642.6863525</v>
      </c>
      <c r="BD17" s="20">
        <f t="shared" si="28"/>
        <v>215.88266</v>
      </c>
      <c r="BE17" s="33"/>
      <c r="BF17" s="51">
        <f t="shared" si="75"/>
        <v>115818.70049999999</v>
      </c>
      <c r="BG17" s="51">
        <f t="shared" si="52"/>
        <v>56324.14898129999</v>
      </c>
      <c r="BH17" s="33">
        <f t="shared" si="10"/>
        <v>172142.84948129999</v>
      </c>
      <c r="BI17" s="20">
        <f t="shared" si="29"/>
        <v>1891.9334952</v>
      </c>
      <c r="BJ17" s="33"/>
      <c r="BK17" s="51">
        <f t="shared" si="76"/>
        <v>8969.265000000001</v>
      </c>
      <c r="BL17" s="51">
        <f t="shared" si="53"/>
        <v>4361.870889000001</v>
      </c>
      <c r="BM17" s="33">
        <f t="shared" si="11"/>
        <v>13331.135889000001</v>
      </c>
      <c r="BN17" s="20">
        <f t="shared" si="30"/>
        <v>146.515656</v>
      </c>
      <c r="BO17" s="33"/>
      <c r="BP17" s="51">
        <f t="shared" si="77"/>
        <v>386283.45599999995</v>
      </c>
      <c r="BQ17" s="51">
        <f t="shared" si="54"/>
        <v>187854.69730559998</v>
      </c>
      <c r="BR17" s="33">
        <f t="shared" si="12"/>
        <v>574138.1533055999</v>
      </c>
      <c r="BS17" s="20">
        <f t="shared" si="31"/>
        <v>6310.0570624</v>
      </c>
      <c r="BT17" s="33"/>
      <c r="BU17" s="51">
        <f t="shared" si="78"/>
        <v>16404.903000000002</v>
      </c>
      <c r="BV17" s="51">
        <f t="shared" si="55"/>
        <v>7977.9189078</v>
      </c>
      <c r="BW17" s="33">
        <f t="shared" si="13"/>
        <v>24382.821907800004</v>
      </c>
      <c r="BX17" s="20">
        <f t="shared" si="32"/>
        <v>267.9790512</v>
      </c>
      <c r="BY17" s="33"/>
      <c r="BZ17" s="33">
        <f t="shared" si="79"/>
        <v>45.148500000000006</v>
      </c>
      <c r="CA17" s="33">
        <f t="shared" si="56"/>
        <v>21.956306100000003</v>
      </c>
      <c r="CB17" s="33">
        <f t="shared" si="57"/>
        <v>67.1048061</v>
      </c>
      <c r="CC17" s="20">
        <f t="shared" si="33"/>
        <v>0.7375144</v>
      </c>
      <c r="CD17" s="33"/>
      <c r="CE17" s="51">
        <f t="shared" si="80"/>
        <v>11393.4195</v>
      </c>
      <c r="CF17" s="51">
        <f t="shared" si="58"/>
        <v>5540.7689307</v>
      </c>
      <c r="CG17" s="33">
        <f t="shared" si="14"/>
        <v>16934.1884307</v>
      </c>
      <c r="CH17" s="20">
        <f t="shared" si="34"/>
        <v>186.1149528</v>
      </c>
      <c r="CI17" s="33"/>
      <c r="CJ17" s="51">
        <f t="shared" si="81"/>
        <v>29109.406499999997</v>
      </c>
      <c r="CK17" s="51">
        <f t="shared" si="59"/>
        <v>14156.2851369</v>
      </c>
      <c r="CL17" s="33">
        <f t="shared" si="15"/>
        <v>43265.691636899996</v>
      </c>
      <c r="CM17" s="20">
        <f t="shared" si="35"/>
        <v>475.51095760000004</v>
      </c>
      <c r="CN17" s="33"/>
      <c r="CO17" s="51">
        <f t="shared" si="82"/>
        <v>49199.067</v>
      </c>
      <c r="CP17" s="51">
        <f t="shared" si="60"/>
        <v>23926.149814200002</v>
      </c>
      <c r="CQ17" s="33">
        <f t="shared" si="16"/>
        <v>73125.2168142</v>
      </c>
      <c r="CR17" s="20">
        <f t="shared" si="36"/>
        <v>803.6816368</v>
      </c>
      <c r="CS17" s="33"/>
      <c r="CT17" s="51">
        <f t="shared" si="83"/>
        <v>404716.131</v>
      </c>
      <c r="CU17" s="51">
        <f t="shared" si="61"/>
        <v>196818.7482606</v>
      </c>
      <c r="CV17" s="33">
        <f t="shared" si="17"/>
        <v>601534.8792606</v>
      </c>
      <c r="CW17" s="20">
        <f t="shared" si="37"/>
        <v>6611.1603824</v>
      </c>
      <c r="CX17" s="33"/>
      <c r="CY17" s="51">
        <f t="shared" si="84"/>
        <v>7598.8125</v>
      </c>
      <c r="CZ17" s="51">
        <f t="shared" si="62"/>
        <v>3695.4019124999995</v>
      </c>
      <c r="DA17" s="33">
        <f t="shared" si="18"/>
        <v>11294.2144125</v>
      </c>
      <c r="DB17" s="20">
        <f t="shared" si="38"/>
        <v>124.1289</v>
      </c>
      <c r="DC17" s="33"/>
      <c r="DD17" s="51">
        <f t="shared" si="85"/>
        <v>36214.074</v>
      </c>
      <c r="DE17" s="51">
        <f t="shared" si="63"/>
        <v>17611.3778724</v>
      </c>
      <c r="DF17" s="33">
        <f t="shared" si="19"/>
        <v>53825.4518724</v>
      </c>
      <c r="DG17" s="20">
        <f t="shared" si="39"/>
        <v>591.5678495999999</v>
      </c>
      <c r="DH17" s="33"/>
      <c r="DI17" s="33">
        <f t="shared" si="86"/>
        <v>65210.075999999994</v>
      </c>
      <c r="DJ17" s="33">
        <f t="shared" si="64"/>
        <v>31712.5129176</v>
      </c>
      <c r="DK17" s="33">
        <f t="shared" si="65"/>
        <v>96922.58891759999</v>
      </c>
      <c r="DL17" s="20">
        <f t="shared" si="40"/>
        <v>1065.2263104</v>
      </c>
      <c r="DM17" s="33"/>
      <c r="DN17" s="51">
        <f t="shared" si="87"/>
        <v>65121.91199999999</v>
      </c>
      <c r="DO17" s="51">
        <f t="shared" si="66"/>
        <v>31669.6376112</v>
      </c>
      <c r="DP17" s="33">
        <f t="shared" si="20"/>
        <v>96791.5496112</v>
      </c>
      <c r="DQ17" s="20">
        <f t="shared" si="41"/>
        <v>1063.7861248</v>
      </c>
      <c r="DR17" s="33"/>
      <c r="DS17" s="33"/>
      <c r="DT17" s="33"/>
      <c r="DU17" s="33"/>
    </row>
    <row r="18" spans="1:125" ht="12.75">
      <c r="A18" s="19">
        <v>41913</v>
      </c>
      <c r="D18" s="35">
        <v>1657743</v>
      </c>
      <c r="E18" s="35">
        <f t="shared" si="0"/>
        <v>1657743</v>
      </c>
      <c r="F18" s="35">
        <v>58072</v>
      </c>
      <c r="H18" s="51"/>
      <c r="I18" s="51">
        <v>167960</v>
      </c>
      <c r="J18" s="51">
        <f t="shared" si="42"/>
        <v>167960</v>
      </c>
      <c r="K18" s="51">
        <v>5883.7737392</v>
      </c>
      <c r="M18" s="51">
        <f t="shared" si="1"/>
        <v>0</v>
      </c>
      <c r="N18" s="41">
        <f t="shared" si="2"/>
        <v>1489782.8000802002</v>
      </c>
      <c r="O18" s="33">
        <f t="shared" si="3"/>
        <v>1489782.8000802002</v>
      </c>
      <c r="P18" s="41">
        <f t="shared" si="2"/>
        <v>52188.22626080002</v>
      </c>
      <c r="R18" s="65"/>
      <c r="S18" s="65">
        <f t="shared" si="43"/>
        <v>415022.25947339996</v>
      </c>
      <c r="T18" s="20">
        <f t="shared" si="4"/>
        <v>415022.25947339996</v>
      </c>
      <c r="U18" s="20">
        <f t="shared" si="21"/>
        <v>14538.5458736</v>
      </c>
      <c r="W18" s="65"/>
      <c r="X18" s="65">
        <f t="shared" si="44"/>
        <v>32020.963788</v>
      </c>
      <c r="Y18" s="20">
        <f t="shared" si="5"/>
        <v>32020.963788</v>
      </c>
      <c r="Z18" s="20">
        <f t="shared" si="22"/>
        <v>1121.718752</v>
      </c>
      <c r="AC18" s="33">
        <f t="shared" si="45"/>
        <v>39661.501275</v>
      </c>
      <c r="AD18" s="33">
        <f t="shared" si="88"/>
        <v>39661.501275</v>
      </c>
      <c r="AE18" s="20">
        <f t="shared" si="23"/>
        <v>1389.3726</v>
      </c>
      <c r="AG18" s="65"/>
      <c r="AH18" s="65">
        <f t="shared" si="46"/>
        <v>19651.0512963</v>
      </c>
      <c r="AI18" s="20">
        <f t="shared" si="6"/>
        <v>19651.0512963</v>
      </c>
      <c r="AJ18" s="20">
        <f t="shared" si="24"/>
        <v>688.3912952</v>
      </c>
      <c r="AL18" s="65"/>
      <c r="AM18" s="65">
        <f t="shared" si="47"/>
        <v>358260.1445076</v>
      </c>
      <c r="AN18" s="20">
        <f t="shared" si="7"/>
        <v>358260.1445076</v>
      </c>
      <c r="AO18" s="20">
        <f t="shared" si="25"/>
        <v>12550.1257504</v>
      </c>
      <c r="AP18" s="33"/>
      <c r="AQ18" s="65"/>
      <c r="AR18" s="65">
        <f t="shared" si="48"/>
        <v>47241.531142499996</v>
      </c>
      <c r="AS18" s="20">
        <f t="shared" si="8"/>
        <v>47241.531142499996</v>
      </c>
      <c r="AT18" s="20">
        <f t="shared" si="26"/>
        <v>1654.90682</v>
      </c>
      <c r="AU18" s="33"/>
      <c r="AV18" s="51"/>
      <c r="AW18" s="51">
        <f t="shared" si="49"/>
        <v>14012.901579</v>
      </c>
      <c r="AX18" s="33">
        <f t="shared" si="9"/>
        <v>14012.901579</v>
      </c>
      <c r="AY18" s="20">
        <f t="shared" si="27"/>
        <v>490.88261600000004</v>
      </c>
      <c r="AZ18" s="33"/>
      <c r="BA18" s="33"/>
      <c r="BB18" s="33">
        <f t="shared" si="50"/>
        <v>6162.6596025</v>
      </c>
      <c r="BC18" s="33">
        <f t="shared" si="51"/>
        <v>6162.6596025</v>
      </c>
      <c r="BD18" s="20">
        <f t="shared" si="28"/>
        <v>215.88266</v>
      </c>
      <c r="BE18" s="33"/>
      <c r="BF18" s="51"/>
      <c r="BG18" s="51">
        <f t="shared" si="52"/>
        <v>54007.7749713</v>
      </c>
      <c r="BH18" s="33">
        <f t="shared" si="10"/>
        <v>54007.7749713</v>
      </c>
      <c r="BI18" s="20">
        <f t="shared" si="29"/>
        <v>1891.9334952</v>
      </c>
      <c r="BJ18" s="33"/>
      <c r="BK18" s="51"/>
      <c r="BL18" s="51">
        <f t="shared" si="53"/>
        <v>4182.485589000001</v>
      </c>
      <c r="BM18" s="33">
        <f t="shared" si="11"/>
        <v>4182.485589000001</v>
      </c>
      <c r="BN18" s="20">
        <f t="shared" si="30"/>
        <v>146.515656</v>
      </c>
      <c r="BO18" s="33"/>
      <c r="BP18" s="51"/>
      <c r="BQ18" s="51">
        <f t="shared" si="54"/>
        <v>180129.02818559998</v>
      </c>
      <c r="BR18" s="33">
        <f t="shared" si="12"/>
        <v>180129.02818559998</v>
      </c>
      <c r="BS18" s="20">
        <f t="shared" si="31"/>
        <v>6310.0570624</v>
      </c>
      <c r="BT18" s="33"/>
      <c r="BU18" s="51"/>
      <c r="BV18" s="51">
        <f t="shared" si="55"/>
        <v>7649.820847799999</v>
      </c>
      <c r="BW18" s="33">
        <f t="shared" si="13"/>
        <v>7649.820847799999</v>
      </c>
      <c r="BX18" s="20">
        <f t="shared" si="32"/>
        <v>267.9790512</v>
      </c>
      <c r="BY18" s="33"/>
      <c r="BZ18" s="33"/>
      <c r="CA18" s="33">
        <f t="shared" si="56"/>
        <v>21.053336100000003</v>
      </c>
      <c r="CB18" s="33">
        <f t="shared" si="57"/>
        <v>21.053336100000003</v>
      </c>
      <c r="CC18" s="20">
        <f t="shared" si="33"/>
        <v>0.7375144</v>
      </c>
      <c r="CD18" s="33"/>
      <c r="CE18" s="51"/>
      <c r="CF18" s="51">
        <f t="shared" si="58"/>
        <v>5312.9005406999995</v>
      </c>
      <c r="CG18" s="33">
        <f t="shared" si="14"/>
        <v>5312.9005406999995</v>
      </c>
      <c r="CH18" s="20">
        <f t="shared" si="34"/>
        <v>186.1149528</v>
      </c>
      <c r="CI18" s="33"/>
      <c r="CJ18" s="51"/>
      <c r="CK18" s="51">
        <f t="shared" si="59"/>
        <v>13574.097006899998</v>
      </c>
      <c r="CL18" s="33">
        <f t="shared" si="15"/>
        <v>13574.097006899998</v>
      </c>
      <c r="CM18" s="20">
        <f t="shared" si="35"/>
        <v>475.51095760000004</v>
      </c>
      <c r="CN18" s="33"/>
      <c r="CO18" s="51"/>
      <c r="CP18" s="51">
        <f t="shared" si="60"/>
        <v>22942.1684742</v>
      </c>
      <c r="CQ18" s="33">
        <f t="shared" si="16"/>
        <v>22942.1684742</v>
      </c>
      <c r="CR18" s="20">
        <f t="shared" si="36"/>
        <v>803.6816368</v>
      </c>
      <c r="CS18" s="33"/>
      <c r="CT18" s="51"/>
      <c r="CU18" s="51">
        <f t="shared" si="61"/>
        <v>188724.42564060003</v>
      </c>
      <c r="CV18" s="33">
        <f t="shared" si="17"/>
        <v>188724.42564060003</v>
      </c>
      <c r="CW18" s="20">
        <f t="shared" si="37"/>
        <v>6611.1603824</v>
      </c>
      <c r="CX18" s="33"/>
      <c r="CY18" s="51"/>
      <c r="CZ18" s="51">
        <f t="shared" si="62"/>
        <v>3543.4256625</v>
      </c>
      <c r="DA18" s="33">
        <f t="shared" si="18"/>
        <v>3543.4256625</v>
      </c>
      <c r="DB18" s="20">
        <f t="shared" si="38"/>
        <v>124.1289</v>
      </c>
      <c r="DC18" s="33"/>
      <c r="DD18" s="51"/>
      <c r="DE18" s="51">
        <f t="shared" si="63"/>
        <v>16887.096392400003</v>
      </c>
      <c r="DF18" s="33">
        <f t="shared" si="19"/>
        <v>16887.096392400003</v>
      </c>
      <c r="DG18" s="20">
        <f t="shared" si="39"/>
        <v>591.5678495999999</v>
      </c>
      <c r="DH18" s="33"/>
      <c r="DI18" s="33"/>
      <c r="DJ18" s="33">
        <f t="shared" si="64"/>
        <v>30408.3113976</v>
      </c>
      <c r="DK18" s="33">
        <f t="shared" si="65"/>
        <v>30408.3113976</v>
      </c>
      <c r="DL18" s="20">
        <f t="shared" si="40"/>
        <v>1065.2263104</v>
      </c>
      <c r="DM18" s="33"/>
      <c r="DN18" s="51"/>
      <c r="DO18" s="51">
        <f t="shared" si="66"/>
        <v>30367.1993712</v>
      </c>
      <c r="DP18" s="33">
        <f t="shared" si="20"/>
        <v>30367.1993712</v>
      </c>
      <c r="DQ18" s="20">
        <f t="shared" si="41"/>
        <v>1063.7861248</v>
      </c>
      <c r="DR18" s="33"/>
      <c r="DS18" s="33"/>
      <c r="DT18" s="33"/>
      <c r="DU18" s="33"/>
    </row>
    <row r="19" spans="1:125" ht="12.75">
      <c r="A19" s="19">
        <v>42095</v>
      </c>
      <c r="C19" s="35">
        <v>3700000</v>
      </c>
      <c r="D19" s="35">
        <v>1657743</v>
      </c>
      <c r="E19" s="35">
        <f t="shared" si="0"/>
        <v>5357743</v>
      </c>
      <c r="F19" s="35">
        <v>58072</v>
      </c>
      <c r="H19" s="51">
        <v>374879</v>
      </c>
      <c r="I19" s="51">
        <v>167960</v>
      </c>
      <c r="J19" s="51">
        <f t="shared" si="42"/>
        <v>542839</v>
      </c>
      <c r="K19" s="51">
        <v>5883.7737392</v>
      </c>
      <c r="M19" s="51">
        <f t="shared" si="1"/>
        <v>3325121.18</v>
      </c>
      <c r="N19" s="41">
        <f t="shared" si="2"/>
        <v>1489782.8000802002</v>
      </c>
      <c r="O19" s="33">
        <f t="shared" si="3"/>
        <v>4814903.9800802</v>
      </c>
      <c r="P19" s="41">
        <f t="shared" si="2"/>
        <v>52188.22626080002</v>
      </c>
      <c r="R19" s="65">
        <f t="shared" si="67"/>
        <v>926309.06</v>
      </c>
      <c r="S19" s="65">
        <f t="shared" si="43"/>
        <v>415022.25947339996</v>
      </c>
      <c r="T19" s="20">
        <f t="shared" si="4"/>
        <v>1341331.3194734</v>
      </c>
      <c r="U19" s="20">
        <f t="shared" si="21"/>
        <v>14538.5458736</v>
      </c>
      <c r="W19" s="65">
        <f t="shared" si="68"/>
        <v>71469.2</v>
      </c>
      <c r="X19" s="65">
        <f t="shared" si="44"/>
        <v>32020.963788</v>
      </c>
      <c r="Y19" s="20">
        <f t="shared" si="5"/>
        <v>103490.163788</v>
      </c>
      <c r="Z19" s="20">
        <f t="shared" si="22"/>
        <v>1121.718752</v>
      </c>
      <c r="AB19" s="33">
        <f t="shared" si="69"/>
        <v>88522.5</v>
      </c>
      <c r="AC19" s="33">
        <f t="shared" si="45"/>
        <v>39661.501275</v>
      </c>
      <c r="AD19" s="33">
        <f t="shared" si="88"/>
        <v>128184.001275</v>
      </c>
      <c r="AE19" s="20">
        <f t="shared" si="23"/>
        <v>1389.3726</v>
      </c>
      <c r="AG19" s="65">
        <f t="shared" si="70"/>
        <v>43860.17</v>
      </c>
      <c r="AH19" s="65">
        <f t="shared" si="46"/>
        <v>19651.0512963</v>
      </c>
      <c r="AI19" s="20">
        <f t="shared" si="6"/>
        <v>63511.2212963</v>
      </c>
      <c r="AJ19" s="20">
        <f t="shared" si="24"/>
        <v>688.3912952</v>
      </c>
      <c r="AL19" s="65">
        <f t="shared" si="71"/>
        <v>799618.84</v>
      </c>
      <c r="AM19" s="65">
        <f t="shared" si="47"/>
        <v>358260.1445076</v>
      </c>
      <c r="AN19" s="20">
        <f t="shared" si="7"/>
        <v>1157878.9845075998</v>
      </c>
      <c r="AO19" s="20">
        <f t="shared" si="25"/>
        <v>12550.1257504</v>
      </c>
      <c r="AP19" s="33"/>
      <c r="AQ19" s="65">
        <f t="shared" si="72"/>
        <v>105440.75</v>
      </c>
      <c r="AR19" s="65">
        <f t="shared" si="48"/>
        <v>47241.531142499996</v>
      </c>
      <c r="AS19" s="20">
        <f t="shared" si="8"/>
        <v>152682.2811425</v>
      </c>
      <c r="AT19" s="20">
        <f t="shared" si="26"/>
        <v>1654.90682</v>
      </c>
      <c r="AU19" s="33"/>
      <c r="AV19" s="51">
        <f t="shared" si="73"/>
        <v>31276.1</v>
      </c>
      <c r="AW19" s="51">
        <f t="shared" si="49"/>
        <v>14012.901579</v>
      </c>
      <c r="AX19" s="33">
        <f t="shared" si="9"/>
        <v>45289.001578999996</v>
      </c>
      <c r="AY19" s="20">
        <f t="shared" si="27"/>
        <v>490.88261600000004</v>
      </c>
      <c r="AZ19" s="33"/>
      <c r="BA19" s="33">
        <f t="shared" si="74"/>
        <v>13754.75</v>
      </c>
      <c r="BB19" s="33">
        <f t="shared" si="50"/>
        <v>6162.6596025</v>
      </c>
      <c r="BC19" s="33">
        <f t="shared" si="51"/>
        <v>19917.4096025</v>
      </c>
      <c r="BD19" s="20">
        <f t="shared" si="28"/>
        <v>215.88266</v>
      </c>
      <c r="BE19" s="33"/>
      <c r="BF19" s="51">
        <f t="shared" si="75"/>
        <v>120542.67</v>
      </c>
      <c r="BG19" s="51">
        <f t="shared" si="52"/>
        <v>54007.7749713</v>
      </c>
      <c r="BH19" s="33">
        <f t="shared" si="10"/>
        <v>174550.4449713</v>
      </c>
      <c r="BI19" s="20">
        <f t="shared" si="29"/>
        <v>1891.9334952</v>
      </c>
      <c r="BJ19" s="33"/>
      <c r="BK19" s="51">
        <f t="shared" si="76"/>
        <v>9335.1</v>
      </c>
      <c r="BL19" s="51">
        <f t="shared" si="53"/>
        <v>4182.485589000001</v>
      </c>
      <c r="BM19" s="33">
        <f t="shared" si="11"/>
        <v>13517.585589000002</v>
      </c>
      <c r="BN19" s="20">
        <f t="shared" si="30"/>
        <v>146.515656</v>
      </c>
      <c r="BO19" s="33"/>
      <c r="BP19" s="51">
        <f t="shared" si="77"/>
        <v>402039.04</v>
      </c>
      <c r="BQ19" s="51">
        <f t="shared" si="54"/>
        <v>180129.02818559998</v>
      </c>
      <c r="BR19" s="33">
        <f t="shared" si="12"/>
        <v>582168.0681856</v>
      </c>
      <c r="BS19" s="20">
        <f t="shared" si="31"/>
        <v>6310.0570624</v>
      </c>
      <c r="BT19" s="33"/>
      <c r="BU19" s="51">
        <f t="shared" si="78"/>
        <v>17074.02</v>
      </c>
      <c r="BV19" s="51">
        <f t="shared" si="55"/>
        <v>7649.820847799999</v>
      </c>
      <c r="BW19" s="33">
        <f t="shared" si="13"/>
        <v>24723.8408478</v>
      </c>
      <c r="BX19" s="20">
        <f t="shared" si="32"/>
        <v>267.9790512</v>
      </c>
      <c r="BY19" s="33"/>
      <c r="BZ19" s="33">
        <f t="shared" si="79"/>
        <v>46.99</v>
      </c>
      <c r="CA19" s="33">
        <f t="shared" si="56"/>
        <v>21.053336100000003</v>
      </c>
      <c r="CB19" s="33">
        <f t="shared" si="57"/>
        <v>68.0433361</v>
      </c>
      <c r="CC19" s="20">
        <f t="shared" si="33"/>
        <v>0.7375144</v>
      </c>
      <c r="CD19" s="33"/>
      <c r="CE19" s="51">
        <f t="shared" si="80"/>
        <v>11858.13</v>
      </c>
      <c r="CF19" s="51">
        <f t="shared" si="58"/>
        <v>5312.9005406999995</v>
      </c>
      <c r="CG19" s="33">
        <f t="shared" si="14"/>
        <v>17171.030540699998</v>
      </c>
      <c r="CH19" s="20">
        <f t="shared" si="34"/>
        <v>186.1149528</v>
      </c>
      <c r="CI19" s="33"/>
      <c r="CJ19" s="51">
        <f t="shared" si="81"/>
        <v>30296.71</v>
      </c>
      <c r="CK19" s="51">
        <f t="shared" si="59"/>
        <v>13574.097006899998</v>
      </c>
      <c r="CL19" s="33">
        <f t="shared" si="15"/>
        <v>43870.807006899995</v>
      </c>
      <c r="CM19" s="20">
        <f t="shared" si="35"/>
        <v>475.51095760000004</v>
      </c>
      <c r="CN19" s="33"/>
      <c r="CO19" s="51">
        <f t="shared" si="82"/>
        <v>51205.78</v>
      </c>
      <c r="CP19" s="51">
        <f t="shared" si="60"/>
        <v>22942.1684742</v>
      </c>
      <c r="CQ19" s="33">
        <f t="shared" si="16"/>
        <v>74147.9484742</v>
      </c>
      <c r="CR19" s="20">
        <f t="shared" si="36"/>
        <v>803.6816368</v>
      </c>
      <c r="CS19" s="33"/>
      <c r="CT19" s="51">
        <f t="shared" si="83"/>
        <v>421223.54</v>
      </c>
      <c r="CU19" s="51">
        <f t="shared" si="61"/>
        <v>188724.42564060003</v>
      </c>
      <c r="CV19" s="33">
        <f t="shared" si="17"/>
        <v>609947.9656406001</v>
      </c>
      <c r="CW19" s="20">
        <f t="shared" si="37"/>
        <v>6611.1603824</v>
      </c>
      <c r="CX19" s="33"/>
      <c r="CY19" s="51">
        <f t="shared" si="84"/>
        <v>7908.75</v>
      </c>
      <c r="CZ19" s="51">
        <f t="shared" si="62"/>
        <v>3543.4256625</v>
      </c>
      <c r="DA19" s="33">
        <f t="shared" si="18"/>
        <v>11452.1756625</v>
      </c>
      <c r="DB19" s="20">
        <f t="shared" si="38"/>
        <v>124.1289</v>
      </c>
      <c r="DC19" s="33"/>
      <c r="DD19" s="51">
        <f t="shared" si="85"/>
        <v>37691.16</v>
      </c>
      <c r="DE19" s="51">
        <f t="shared" si="63"/>
        <v>16887.096392400003</v>
      </c>
      <c r="DF19" s="33">
        <f t="shared" si="19"/>
        <v>54578.256392400006</v>
      </c>
      <c r="DG19" s="20">
        <f t="shared" si="39"/>
        <v>591.5678495999999</v>
      </c>
      <c r="DH19" s="33"/>
      <c r="DI19" s="33">
        <f t="shared" si="86"/>
        <v>67869.84</v>
      </c>
      <c r="DJ19" s="33">
        <f t="shared" si="64"/>
        <v>30408.3113976</v>
      </c>
      <c r="DK19" s="33">
        <f t="shared" si="65"/>
        <v>98278.1513976</v>
      </c>
      <c r="DL19" s="20">
        <f t="shared" si="40"/>
        <v>1065.2263104</v>
      </c>
      <c r="DM19" s="33"/>
      <c r="DN19" s="51">
        <f t="shared" si="87"/>
        <v>67778.08</v>
      </c>
      <c r="DO19" s="51">
        <f t="shared" si="66"/>
        <v>30367.1993712</v>
      </c>
      <c r="DP19" s="33">
        <f t="shared" si="20"/>
        <v>98145.2793712</v>
      </c>
      <c r="DQ19" s="20">
        <f t="shared" si="41"/>
        <v>1063.7861248</v>
      </c>
      <c r="DR19" s="33"/>
      <c r="DS19" s="33"/>
      <c r="DT19" s="33"/>
      <c r="DU19" s="33"/>
    </row>
    <row r="20" spans="1:125" ht="12.75">
      <c r="A20" s="19">
        <v>42278</v>
      </c>
      <c r="D20" s="35">
        <v>1565243</v>
      </c>
      <c r="E20" s="35">
        <f t="shared" si="0"/>
        <v>1565243</v>
      </c>
      <c r="F20" s="35">
        <v>58072</v>
      </c>
      <c r="H20" s="51"/>
      <c r="I20" s="51">
        <v>158588</v>
      </c>
      <c r="J20" s="51">
        <f t="shared" si="42"/>
        <v>158588</v>
      </c>
      <c r="K20" s="51">
        <v>5883.7737392</v>
      </c>
      <c r="M20" s="51">
        <f t="shared" si="1"/>
        <v>0</v>
      </c>
      <c r="N20" s="41">
        <f t="shared" si="2"/>
        <v>1406654.7705801998</v>
      </c>
      <c r="O20" s="33">
        <f t="shared" si="3"/>
        <v>1406654.7705801998</v>
      </c>
      <c r="P20" s="41">
        <f t="shared" si="2"/>
        <v>52188.22626080002</v>
      </c>
      <c r="R20" s="65"/>
      <c r="S20" s="65">
        <f t="shared" si="43"/>
        <v>391864.53297339997</v>
      </c>
      <c r="T20" s="20">
        <f t="shared" si="4"/>
        <v>391864.53297339997</v>
      </c>
      <c r="U20" s="20">
        <f t="shared" si="21"/>
        <v>14538.5458736</v>
      </c>
      <c r="W20" s="65"/>
      <c r="X20" s="65">
        <f t="shared" si="44"/>
        <v>30234.233788</v>
      </c>
      <c r="Y20" s="20">
        <f t="shared" si="5"/>
        <v>30234.233788</v>
      </c>
      <c r="Z20" s="20">
        <f t="shared" si="22"/>
        <v>1121.718752</v>
      </c>
      <c r="AC20" s="33">
        <f t="shared" si="45"/>
        <v>37448.438775</v>
      </c>
      <c r="AD20" s="33">
        <f t="shared" si="88"/>
        <v>37448.438775</v>
      </c>
      <c r="AE20" s="20">
        <f t="shared" si="23"/>
        <v>1389.3726</v>
      </c>
      <c r="AG20" s="65"/>
      <c r="AH20" s="65">
        <f t="shared" si="46"/>
        <v>18554.547046300002</v>
      </c>
      <c r="AI20" s="20">
        <f t="shared" si="6"/>
        <v>18554.547046300002</v>
      </c>
      <c r="AJ20" s="20">
        <f t="shared" si="24"/>
        <v>688.3912952</v>
      </c>
      <c r="AL20" s="65"/>
      <c r="AM20" s="65">
        <f t="shared" si="47"/>
        <v>338269.6735076</v>
      </c>
      <c r="AN20" s="20">
        <f t="shared" si="7"/>
        <v>338269.6735076</v>
      </c>
      <c r="AO20" s="20">
        <f t="shared" si="25"/>
        <v>12550.1257504</v>
      </c>
      <c r="AP20" s="33"/>
      <c r="AQ20" s="65"/>
      <c r="AR20" s="65">
        <f t="shared" si="48"/>
        <v>44605.51239249999</v>
      </c>
      <c r="AS20" s="20">
        <f t="shared" si="8"/>
        <v>44605.51239249999</v>
      </c>
      <c r="AT20" s="20">
        <f t="shared" si="26"/>
        <v>1654.90682</v>
      </c>
      <c r="AU20" s="33"/>
      <c r="AV20" s="51"/>
      <c r="AW20" s="51">
        <f t="shared" si="49"/>
        <v>13230.999079</v>
      </c>
      <c r="AX20" s="33">
        <f t="shared" si="9"/>
        <v>13230.999079</v>
      </c>
      <c r="AY20" s="20">
        <f t="shared" si="27"/>
        <v>490.88261600000004</v>
      </c>
      <c r="AZ20" s="33"/>
      <c r="BA20" s="33"/>
      <c r="BB20" s="33">
        <f t="shared" si="50"/>
        <v>5818.7908525</v>
      </c>
      <c r="BC20" s="33">
        <f t="shared" si="51"/>
        <v>5818.7908525</v>
      </c>
      <c r="BD20" s="20">
        <f t="shared" si="28"/>
        <v>215.88266</v>
      </c>
      <c r="BE20" s="33"/>
      <c r="BF20" s="51"/>
      <c r="BG20" s="51">
        <f t="shared" si="52"/>
        <v>50994.2082213</v>
      </c>
      <c r="BH20" s="33">
        <f t="shared" si="10"/>
        <v>50994.2082213</v>
      </c>
      <c r="BI20" s="20">
        <f t="shared" si="29"/>
        <v>1891.9334952</v>
      </c>
      <c r="BJ20" s="33"/>
      <c r="BK20" s="51"/>
      <c r="BL20" s="51">
        <f t="shared" si="53"/>
        <v>3949.1080890000007</v>
      </c>
      <c r="BM20" s="33">
        <f t="shared" si="11"/>
        <v>3949.1080890000007</v>
      </c>
      <c r="BN20" s="20">
        <f t="shared" si="30"/>
        <v>146.515656</v>
      </c>
      <c r="BO20" s="33"/>
      <c r="BP20" s="51"/>
      <c r="BQ20" s="51">
        <f t="shared" si="54"/>
        <v>170078.05218559998</v>
      </c>
      <c r="BR20" s="33">
        <f t="shared" si="12"/>
        <v>170078.05218559998</v>
      </c>
      <c r="BS20" s="20">
        <f t="shared" si="31"/>
        <v>6310.0570624</v>
      </c>
      <c r="BT20" s="33"/>
      <c r="BU20" s="51"/>
      <c r="BV20" s="51">
        <f t="shared" si="55"/>
        <v>7222.9703478</v>
      </c>
      <c r="BW20" s="33">
        <f t="shared" si="13"/>
        <v>7222.9703478</v>
      </c>
      <c r="BX20" s="20">
        <f t="shared" si="32"/>
        <v>267.9790512</v>
      </c>
      <c r="BY20" s="33"/>
      <c r="BZ20" s="33"/>
      <c r="CA20" s="33">
        <f t="shared" si="56"/>
        <v>19.878586100000003</v>
      </c>
      <c r="CB20" s="33">
        <f t="shared" si="57"/>
        <v>19.878586100000003</v>
      </c>
      <c r="CC20" s="20">
        <f t="shared" si="33"/>
        <v>0.7375144</v>
      </c>
      <c r="CD20" s="33"/>
      <c r="CE20" s="51"/>
      <c r="CF20" s="51">
        <f t="shared" si="58"/>
        <v>5016.4472907</v>
      </c>
      <c r="CG20" s="33">
        <f t="shared" si="14"/>
        <v>5016.4472907</v>
      </c>
      <c r="CH20" s="20">
        <f t="shared" si="34"/>
        <v>186.1149528</v>
      </c>
      <c r="CI20" s="33"/>
      <c r="CJ20" s="51"/>
      <c r="CK20" s="51">
        <f t="shared" si="59"/>
        <v>12816.679256899999</v>
      </c>
      <c r="CL20" s="33">
        <f t="shared" si="15"/>
        <v>12816.679256899999</v>
      </c>
      <c r="CM20" s="20">
        <f t="shared" si="35"/>
        <v>475.51095760000004</v>
      </c>
      <c r="CN20" s="33"/>
      <c r="CO20" s="51"/>
      <c r="CP20" s="51">
        <f t="shared" si="60"/>
        <v>21662.023974199998</v>
      </c>
      <c r="CQ20" s="33">
        <f t="shared" si="16"/>
        <v>21662.023974199998</v>
      </c>
      <c r="CR20" s="20">
        <f t="shared" si="36"/>
        <v>803.6816368</v>
      </c>
      <c r="CS20" s="33"/>
      <c r="CT20" s="51"/>
      <c r="CU20" s="51">
        <f t="shared" si="61"/>
        <v>178193.83714060002</v>
      </c>
      <c r="CV20" s="33">
        <f t="shared" si="17"/>
        <v>178193.83714060002</v>
      </c>
      <c r="CW20" s="20">
        <f t="shared" si="37"/>
        <v>6611.1603824</v>
      </c>
      <c r="CX20" s="33"/>
      <c r="CY20" s="51"/>
      <c r="CZ20" s="51">
        <f t="shared" si="62"/>
        <v>3345.7069125</v>
      </c>
      <c r="DA20" s="33">
        <f t="shared" si="18"/>
        <v>3345.7069125</v>
      </c>
      <c r="DB20" s="20">
        <f t="shared" si="38"/>
        <v>124.1289</v>
      </c>
      <c r="DC20" s="33"/>
      <c r="DD20" s="51"/>
      <c r="DE20" s="51">
        <f t="shared" si="63"/>
        <v>15944.8173924</v>
      </c>
      <c r="DF20" s="33">
        <f t="shared" si="19"/>
        <v>15944.8173924</v>
      </c>
      <c r="DG20" s="20">
        <f t="shared" si="39"/>
        <v>591.5678495999999</v>
      </c>
      <c r="DH20" s="33"/>
      <c r="DI20" s="33"/>
      <c r="DJ20" s="33">
        <f t="shared" si="64"/>
        <v>28711.5653976</v>
      </c>
      <c r="DK20" s="33">
        <f t="shared" si="65"/>
        <v>28711.5653976</v>
      </c>
      <c r="DL20" s="20">
        <f t="shared" si="40"/>
        <v>1065.2263104</v>
      </c>
      <c r="DM20" s="33"/>
      <c r="DN20" s="51"/>
      <c r="DO20" s="51">
        <f t="shared" si="66"/>
        <v>28672.747371199996</v>
      </c>
      <c r="DP20" s="33">
        <f t="shared" si="20"/>
        <v>28672.747371199996</v>
      </c>
      <c r="DQ20" s="20">
        <f t="shared" si="41"/>
        <v>1063.7861248</v>
      </c>
      <c r="DR20" s="33"/>
      <c r="DS20" s="33"/>
      <c r="DT20" s="33"/>
      <c r="DU20" s="33"/>
    </row>
    <row r="21" spans="1:125" ht="12.75">
      <c r="A21" s="19">
        <v>42461</v>
      </c>
      <c r="C21" s="35">
        <v>3885000</v>
      </c>
      <c r="D21" s="35">
        <v>1565243</v>
      </c>
      <c r="E21" s="35">
        <f t="shared" si="0"/>
        <v>5450243</v>
      </c>
      <c r="F21" s="35">
        <v>58072</v>
      </c>
      <c r="H21" s="51">
        <v>393623</v>
      </c>
      <c r="I21" s="51">
        <v>158588</v>
      </c>
      <c r="J21" s="51">
        <f t="shared" si="42"/>
        <v>552211</v>
      </c>
      <c r="K21" s="51">
        <v>5883.7737392</v>
      </c>
      <c r="M21" s="51">
        <f t="shared" si="1"/>
        <v>3491377.2389999996</v>
      </c>
      <c r="N21" s="41">
        <f t="shared" si="2"/>
        <v>1406654.7705801998</v>
      </c>
      <c r="O21" s="33">
        <f t="shared" si="3"/>
        <v>4898032.0095802</v>
      </c>
      <c r="P21" s="41">
        <f t="shared" si="2"/>
        <v>52188.22626080002</v>
      </c>
      <c r="R21" s="65">
        <f t="shared" si="67"/>
        <v>972624.5129999999</v>
      </c>
      <c r="S21" s="65">
        <f t="shared" si="43"/>
        <v>391864.53297339997</v>
      </c>
      <c r="T21" s="20">
        <f t="shared" si="4"/>
        <v>1364489.0459734</v>
      </c>
      <c r="U21" s="20">
        <f t="shared" si="21"/>
        <v>14538.5458736</v>
      </c>
      <c r="W21" s="65">
        <f t="shared" si="68"/>
        <v>75042.66</v>
      </c>
      <c r="X21" s="65">
        <f t="shared" si="44"/>
        <v>30234.233788</v>
      </c>
      <c r="Y21" s="20">
        <f t="shared" si="5"/>
        <v>105276.893788</v>
      </c>
      <c r="Z21" s="20">
        <f t="shared" si="22"/>
        <v>1121.718752</v>
      </c>
      <c r="AB21" s="33">
        <f t="shared" si="69"/>
        <v>92948.625</v>
      </c>
      <c r="AC21" s="33">
        <f t="shared" si="45"/>
        <v>37448.438775</v>
      </c>
      <c r="AD21" s="33">
        <f t="shared" si="88"/>
        <v>130397.063775</v>
      </c>
      <c r="AE21" s="20">
        <f t="shared" si="23"/>
        <v>1389.3726</v>
      </c>
      <c r="AG21" s="65">
        <f t="shared" si="70"/>
        <v>46053.17850000001</v>
      </c>
      <c r="AH21" s="65">
        <f t="shared" si="46"/>
        <v>18554.547046300002</v>
      </c>
      <c r="AI21" s="20">
        <f t="shared" si="6"/>
        <v>64607.72554630001</v>
      </c>
      <c r="AJ21" s="20">
        <f t="shared" si="24"/>
        <v>688.3912952</v>
      </c>
      <c r="AL21" s="65">
        <f t="shared" si="71"/>
        <v>839599.782</v>
      </c>
      <c r="AM21" s="65">
        <f t="shared" si="47"/>
        <v>338269.6735076</v>
      </c>
      <c r="AN21" s="20">
        <f t="shared" si="7"/>
        <v>1177869.4555076</v>
      </c>
      <c r="AO21" s="20">
        <f t="shared" si="25"/>
        <v>12550.1257504</v>
      </c>
      <c r="AP21" s="33"/>
      <c r="AQ21" s="65">
        <f t="shared" si="72"/>
        <v>110712.7875</v>
      </c>
      <c r="AR21" s="65">
        <f t="shared" si="48"/>
        <v>44605.51239249999</v>
      </c>
      <c r="AS21" s="20">
        <f t="shared" si="8"/>
        <v>155318.29989249998</v>
      </c>
      <c r="AT21" s="20">
        <f t="shared" si="26"/>
        <v>1654.90682</v>
      </c>
      <c r="AU21" s="33"/>
      <c r="AV21" s="51">
        <f t="shared" si="73"/>
        <v>32839.905</v>
      </c>
      <c r="AW21" s="51">
        <f t="shared" si="49"/>
        <v>13230.999079</v>
      </c>
      <c r="AX21" s="33">
        <f t="shared" si="9"/>
        <v>46070.904079</v>
      </c>
      <c r="AY21" s="20">
        <f t="shared" si="27"/>
        <v>490.88261600000004</v>
      </c>
      <c r="AZ21" s="33"/>
      <c r="BA21" s="33">
        <f t="shared" si="74"/>
        <v>14442.4875</v>
      </c>
      <c r="BB21" s="33">
        <f t="shared" si="50"/>
        <v>5818.7908525</v>
      </c>
      <c r="BC21" s="33">
        <f t="shared" si="51"/>
        <v>20261.278352499998</v>
      </c>
      <c r="BD21" s="20">
        <f t="shared" si="28"/>
        <v>215.88266</v>
      </c>
      <c r="BE21" s="33"/>
      <c r="BF21" s="51">
        <f t="shared" si="75"/>
        <v>126569.8035</v>
      </c>
      <c r="BG21" s="51">
        <f t="shared" si="52"/>
        <v>50994.2082213</v>
      </c>
      <c r="BH21" s="33">
        <f t="shared" si="10"/>
        <v>177564.0117213</v>
      </c>
      <c r="BI21" s="20">
        <f t="shared" si="29"/>
        <v>1891.9334952</v>
      </c>
      <c r="BJ21" s="33"/>
      <c r="BK21" s="51">
        <f t="shared" si="76"/>
        <v>9801.855000000001</v>
      </c>
      <c r="BL21" s="51">
        <f t="shared" si="53"/>
        <v>3949.1080890000007</v>
      </c>
      <c r="BM21" s="33">
        <f t="shared" si="11"/>
        <v>13750.963089000003</v>
      </c>
      <c r="BN21" s="20">
        <f t="shared" si="30"/>
        <v>146.515656</v>
      </c>
      <c r="BO21" s="33"/>
      <c r="BP21" s="51">
        <f t="shared" si="77"/>
        <v>422140.99199999997</v>
      </c>
      <c r="BQ21" s="51">
        <f t="shared" si="54"/>
        <v>170078.05218559998</v>
      </c>
      <c r="BR21" s="33">
        <f t="shared" si="12"/>
        <v>592219.0441856</v>
      </c>
      <c r="BS21" s="20">
        <f t="shared" si="31"/>
        <v>6310.0570624</v>
      </c>
      <c r="BT21" s="33"/>
      <c r="BU21" s="51">
        <f t="shared" si="78"/>
        <v>17927.720999999998</v>
      </c>
      <c r="BV21" s="51">
        <f t="shared" si="55"/>
        <v>7222.9703478</v>
      </c>
      <c r="BW21" s="33">
        <f t="shared" si="13"/>
        <v>25150.6913478</v>
      </c>
      <c r="BX21" s="20">
        <f t="shared" si="32"/>
        <v>267.9790512</v>
      </c>
      <c r="BY21" s="33"/>
      <c r="BZ21" s="33">
        <f t="shared" si="79"/>
        <v>49.33950000000001</v>
      </c>
      <c r="CA21" s="33">
        <f t="shared" si="56"/>
        <v>19.878586100000003</v>
      </c>
      <c r="CB21" s="33">
        <f t="shared" si="57"/>
        <v>69.21808610000001</v>
      </c>
      <c r="CC21" s="20">
        <f t="shared" si="33"/>
        <v>0.7375144</v>
      </c>
      <c r="CD21" s="33"/>
      <c r="CE21" s="51">
        <f t="shared" si="80"/>
        <v>12451.036499999998</v>
      </c>
      <c r="CF21" s="51">
        <f t="shared" si="58"/>
        <v>5016.4472907</v>
      </c>
      <c r="CG21" s="33">
        <f t="shared" si="14"/>
        <v>17467.483790699996</v>
      </c>
      <c r="CH21" s="20">
        <f t="shared" si="34"/>
        <v>186.1149528</v>
      </c>
      <c r="CI21" s="33"/>
      <c r="CJ21" s="51">
        <f t="shared" si="81"/>
        <v>31811.545499999997</v>
      </c>
      <c r="CK21" s="51">
        <f t="shared" si="59"/>
        <v>12816.679256899999</v>
      </c>
      <c r="CL21" s="33">
        <f t="shared" si="15"/>
        <v>44628.224756899996</v>
      </c>
      <c r="CM21" s="20">
        <f t="shared" si="35"/>
        <v>475.51095760000004</v>
      </c>
      <c r="CN21" s="33"/>
      <c r="CO21" s="51">
        <f t="shared" si="82"/>
        <v>53766.068999999996</v>
      </c>
      <c r="CP21" s="51">
        <f t="shared" si="60"/>
        <v>21662.023974199998</v>
      </c>
      <c r="CQ21" s="33">
        <f t="shared" si="16"/>
        <v>75428.0929742</v>
      </c>
      <c r="CR21" s="20">
        <f t="shared" si="36"/>
        <v>803.6816368</v>
      </c>
      <c r="CS21" s="33"/>
      <c r="CT21" s="51">
        <f t="shared" si="83"/>
        <v>442284.717</v>
      </c>
      <c r="CU21" s="51">
        <f t="shared" si="61"/>
        <v>178193.83714060002</v>
      </c>
      <c r="CV21" s="33">
        <f t="shared" si="17"/>
        <v>620478.5541406</v>
      </c>
      <c r="CW21" s="20">
        <f t="shared" si="37"/>
        <v>6611.1603824</v>
      </c>
      <c r="CX21" s="33"/>
      <c r="CY21" s="51">
        <f t="shared" si="84"/>
        <v>8304.1875</v>
      </c>
      <c r="CZ21" s="51">
        <f t="shared" si="62"/>
        <v>3345.7069125</v>
      </c>
      <c r="DA21" s="33">
        <f t="shared" si="18"/>
        <v>11649.8944125</v>
      </c>
      <c r="DB21" s="20">
        <f t="shared" si="38"/>
        <v>124.1289</v>
      </c>
      <c r="DC21" s="33"/>
      <c r="DD21" s="51">
        <f t="shared" si="85"/>
        <v>39575.718</v>
      </c>
      <c r="DE21" s="51">
        <f t="shared" si="63"/>
        <v>15944.8173924</v>
      </c>
      <c r="DF21" s="33">
        <f t="shared" si="19"/>
        <v>55520.5353924</v>
      </c>
      <c r="DG21" s="20">
        <f t="shared" si="39"/>
        <v>591.5678495999999</v>
      </c>
      <c r="DH21" s="33"/>
      <c r="DI21" s="33">
        <f t="shared" si="86"/>
        <v>71263.332</v>
      </c>
      <c r="DJ21" s="33">
        <f t="shared" si="64"/>
        <v>28711.5653976</v>
      </c>
      <c r="DK21" s="33">
        <f t="shared" si="65"/>
        <v>99974.8973976</v>
      </c>
      <c r="DL21" s="20">
        <f t="shared" si="40"/>
        <v>1065.2263104</v>
      </c>
      <c r="DM21" s="33"/>
      <c r="DN21" s="51">
        <f t="shared" si="87"/>
        <v>71166.984</v>
      </c>
      <c r="DO21" s="51">
        <f t="shared" si="66"/>
        <v>28672.747371199996</v>
      </c>
      <c r="DP21" s="33">
        <f t="shared" si="20"/>
        <v>99839.73137119999</v>
      </c>
      <c r="DQ21" s="20">
        <f t="shared" si="41"/>
        <v>1063.7861248</v>
      </c>
      <c r="DR21" s="33"/>
      <c r="DS21" s="33"/>
      <c r="DT21" s="33"/>
      <c r="DU21" s="33"/>
    </row>
    <row r="22" spans="1:125" ht="12.75">
      <c r="A22" s="19">
        <v>42644</v>
      </c>
      <c r="D22" s="35">
        <v>1468118</v>
      </c>
      <c r="E22" s="35">
        <f t="shared" si="0"/>
        <v>1468118</v>
      </c>
      <c r="F22" s="35">
        <v>58072</v>
      </c>
      <c r="H22" s="51"/>
      <c r="I22" s="51">
        <v>148748</v>
      </c>
      <c r="J22" s="51">
        <f t="shared" si="42"/>
        <v>148748</v>
      </c>
      <c r="K22" s="51">
        <v>5883.7737392</v>
      </c>
      <c r="M22" s="51">
        <f t="shared" si="1"/>
        <v>0</v>
      </c>
      <c r="N22" s="41">
        <f t="shared" si="2"/>
        <v>1319370.3396051999</v>
      </c>
      <c r="O22" s="33">
        <f t="shared" si="3"/>
        <v>1319370.3396051999</v>
      </c>
      <c r="P22" s="41">
        <f t="shared" si="2"/>
        <v>52188.22626080002</v>
      </c>
      <c r="R22" s="65"/>
      <c r="S22" s="65">
        <f t="shared" si="43"/>
        <v>367548.9201484</v>
      </c>
      <c r="T22" s="20">
        <f t="shared" si="4"/>
        <v>367548.9201484</v>
      </c>
      <c r="U22" s="20">
        <f t="shared" si="21"/>
        <v>14538.5458736</v>
      </c>
      <c r="W22" s="65"/>
      <c r="X22" s="65">
        <f t="shared" si="44"/>
        <v>28358.167288</v>
      </c>
      <c r="Y22" s="20">
        <f t="shared" si="5"/>
        <v>28358.167288</v>
      </c>
      <c r="Z22" s="20">
        <f t="shared" si="22"/>
        <v>1121.718752</v>
      </c>
      <c r="AC22" s="33">
        <f t="shared" si="45"/>
        <v>35124.72315</v>
      </c>
      <c r="AD22" s="33">
        <f t="shared" si="88"/>
        <v>35124.72315</v>
      </c>
      <c r="AE22" s="20">
        <f t="shared" si="23"/>
        <v>1389.3726</v>
      </c>
      <c r="AG22" s="65"/>
      <c r="AH22" s="65">
        <f t="shared" si="46"/>
        <v>17403.2175838</v>
      </c>
      <c r="AI22" s="20">
        <f t="shared" si="6"/>
        <v>17403.2175838</v>
      </c>
      <c r="AJ22" s="20">
        <f t="shared" si="24"/>
        <v>688.3912952</v>
      </c>
      <c r="AL22" s="65"/>
      <c r="AM22" s="65">
        <f t="shared" si="47"/>
        <v>317279.6789576</v>
      </c>
      <c r="AN22" s="20">
        <f t="shared" si="7"/>
        <v>317279.6789576</v>
      </c>
      <c r="AO22" s="20">
        <f t="shared" si="25"/>
        <v>12550.1257504</v>
      </c>
      <c r="AP22" s="33"/>
      <c r="AQ22" s="65"/>
      <c r="AR22" s="65">
        <f t="shared" si="48"/>
        <v>41837.692704999994</v>
      </c>
      <c r="AS22" s="20">
        <f t="shared" si="8"/>
        <v>41837.692704999994</v>
      </c>
      <c r="AT22" s="20">
        <f t="shared" si="26"/>
        <v>1654.90682</v>
      </c>
      <c r="AU22" s="33"/>
      <c r="AV22" s="51"/>
      <c r="AW22" s="51">
        <f t="shared" si="49"/>
        <v>12410.001454000001</v>
      </c>
      <c r="AX22" s="33">
        <f t="shared" si="9"/>
        <v>12410.001454000001</v>
      </c>
      <c r="AY22" s="20">
        <f t="shared" si="27"/>
        <v>490.88261600000004</v>
      </c>
      <c r="AZ22" s="33"/>
      <c r="BA22" s="33"/>
      <c r="BB22" s="33">
        <f t="shared" si="50"/>
        <v>5457.728665</v>
      </c>
      <c r="BC22" s="33">
        <f t="shared" si="51"/>
        <v>5457.728665</v>
      </c>
      <c r="BD22" s="20">
        <f t="shared" si="28"/>
        <v>215.88266</v>
      </c>
      <c r="BE22" s="33"/>
      <c r="BF22" s="51"/>
      <c r="BG22" s="51">
        <f t="shared" si="52"/>
        <v>47829.9631338</v>
      </c>
      <c r="BH22" s="33">
        <f t="shared" si="10"/>
        <v>47829.9631338</v>
      </c>
      <c r="BI22" s="20">
        <f t="shared" si="29"/>
        <v>1891.9334952</v>
      </c>
      <c r="BJ22" s="33"/>
      <c r="BK22" s="51"/>
      <c r="BL22" s="51">
        <f t="shared" si="53"/>
        <v>3704.0617140000004</v>
      </c>
      <c r="BM22" s="33">
        <f t="shared" si="11"/>
        <v>3704.0617140000004</v>
      </c>
      <c r="BN22" s="20">
        <f t="shared" si="30"/>
        <v>146.515656</v>
      </c>
      <c r="BO22" s="33"/>
      <c r="BP22" s="51"/>
      <c r="BQ22" s="51">
        <f t="shared" si="54"/>
        <v>159524.5273856</v>
      </c>
      <c r="BR22" s="33">
        <f t="shared" si="12"/>
        <v>159524.5273856</v>
      </c>
      <c r="BS22" s="20">
        <f t="shared" si="31"/>
        <v>6310.0570624</v>
      </c>
      <c r="BT22" s="33"/>
      <c r="BU22" s="51"/>
      <c r="BV22" s="51">
        <f t="shared" si="55"/>
        <v>6774.7773228</v>
      </c>
      <c r="BW22" s="33">
        <f t="shared" si="13"/>
        <v>6774.7773228</v>
      </c>
      <c r="BX22" s="20">
        <f t="shared" si="32"/>
        <v>267.9790512</v>
      </c>
      <c r="BY22" s="33"/>
      <c r="BZ22" s="33"/>
      <c r="CA22" s="33">
        <f t="shared" si="56"/>
        <v>18.6450986</v>
      </c>
      <c r="CB22" s="33">
        <f t="shared" si="57"/>
        <v>18.6450986</v>
      </c>
      <c r="CC22" s="20">
        <f t="shared" si="33"/>
        <v>0.7375144</v>
      </c>
      <c r="CD22" s="33"/>
      <c r="CE22" s="51"/>
      <c r="CF22" s="51">
        <f t="shared" si="58"/>
        <v>4705.1713782</v>
      </c>
      <c r="CG22" s="33">
        <f t="shared" si="14"/>
        <v>4705.1713782</v>
      </c>
      <c r="CH22" s="20">
        <f t="shared" si="34"/>
        <v>186.1149528</v>
      </c>
      <c r="CI22" s="33"/>
      <c r="CJ22" s="51"/>
      <c r="CK22" s="51">
        <f t="shared" si="59"/>
        <v>12021.3906194</v>
      </c>
      <c r="CL22" s="33">
        <f t="shared" si="15"/>
        <v>12021.3906194</v>
      </c>
      <c r="CM22" s="20">
        <f t="shared" si="35"/>
        <v>475.51095760000004</v>
      </c>
      <c r="CN22" s="33"/>
      <c r="CO22" s="51"/>
      <c r="CP22" s="51">
        <f t="shared" si="60"/>
        <v>20317.872249199998</v>
      </c>
      <c r="CQ22" s="33">
        <f t="shared" si="16"/>
        <v>20317.872249199998</v>
      </c>
      <c r="CR22" s="20">
        <f t="shared" si="36"/>
        <v>803.6816368</v>
      </c>
      <c r="CS22" s="33"/>
      <c r="CT22" s="51"/>
      <c r="CU22" s="51">
        <f t="shared" si="61"/>
        <v>167136.7192156</v>
      </c>
      <c r="CV22" s="33">
        <f t="shared" si="17"/>
        <v>167136.7192156</v>
      </c>
      <c r="CW22" s="20">
        <f t="shared" si="37"/>
        <v>6611.1603824</v>
      </c>
      <c r="CX22" s="33"/>
      <c r="CY22" s="51"/>
      <c r="CZ22" s="51">
        <f t="shared" si="62"/>
        <v>3138.1022249999996</v>
      </c>
      <c r="DA22" s="33">
        <f t="shared" si="18"/>
        <v>3138.1022249999996</v>
      </c>
      <c r="DB22" s="20">
        <f t="shared" si="38"/>
        <v>124.1289</v>
      </c>
      <c r="DC22" s="33"/>
      <c r="DD22" s="51"/>
      <c r="DE22" s="51">
        <f t="shared" si="63"/>
        <v>14955.4244424</v>
      </c>
      <c r="DF22" s="33">
        <f t="shared" si="19"/>
        <v>14955.4244424</v>
      </c>
      <c r="DG22" s="20">
        <f t="shared" si="39"/>
        <v>591.5678495999999</v>
      </c>
      <c r="DH22" s="33"/>
      <c r="DI22" s="33"/>
      <c r="DJ22" s="33">
        <f t="shared" si="64"/>
        <v>26929.9820976</v>
      </c>
      <c r="DK22" s="33">
        <f t="shared" si="65"/>
        <v>26929.9820976</v>
      </c>
      <c r="DL22" s="20">
        <f t="shared" si="40"/>
        <v>1065.2263104</v>
      </c>
      <c r="DM22" s="33"/>
      <c r="DN22" s="51"/>
      <c r="DO22" s="51">
        <f t="shared" si="66"/>
        <v>26893.572771199997</v>
      </c>
      <c r="DP22" s="33">
        <f t="shared" si="20"/>
        <v>26893.572771199997</v>
      </c>
      <c r="DQ22" s="20">
        <f t="shared" si="41"/>
        <v>1063.7861248</v>
      </c>
      <c r="DR22" s="33"/>
      <c r="DS22" s="33"/>
      <c r="DT22" s="33"/>
      <c r="DU22" s="33"/>
    </row>
    <row r="23" spans="1:125" ht="12.75">
      <c r="A23" s="19">
        <v>42826</v>
      </c>
      <c r="C23" s="35">
        <v>4080000</v>
      </c>
      <c r="D23" s="35">
        <v>1468118</v>
      </c>
      <c r="E23" s="35">
        <f t="shared" si="0"/>
        <v>5548118</v>
      </c>
      <c r="F23" s="35">
        <v>58072</v>
      </c>
      <c r="H23" s="51">
        <v>413380</v>
      </c>
      <c r="I23" s="51">
        <v>148748</v>
      </c>
      <c r="J23" s="51">
        <f t="shared" si="42"/>
        <v>562128</v>
      </c>
      <c r="K23" s="51">
        <v>5883.7737392</v>
      </c>
      <c r="M23" s="51">
        <f t="shared" si="1"/>
        <v>3666620.1119999997</v>
      </c>
      <c r="N23" s="41">
        <f t="shared" si="2"/>
        <v>1319370.3396051999</v>
      </c>
      <c r="O23" s="33">
        <f t="shared" si="3"/>
        <v>4985990.4516052</v>
      </c>
      <c r="P23" s="41">
        <f t="shared" si="2"/>
        <v>52188.22626080002</v>
      </c>
      <c r="R23" s="65">
        <f t="shared" si="67"/>
        <v>1021443.5040000001</v>
      </c>
      <c r="S23" s="65">
        <f t="shared" si="43"/>
        <v>367548.9201484</v>
      </c>
      <c r="T23" s="20">
        <f t="shared" si="4"/>
        <v>1388992.4241484</v>
      </c>
      <c r="U23" s="20">
        <f t="shared" si="21"/>
        <v>14538.5458736</v>
      </c>
      <c r="W23" s="65">
        <f t="shared" si="68"/>
        <v>78809.28</v>
      </c>
      <c r="X23" s="65">
        <f t="shared" si="44"/>
        <v>28358.167288</v>
      </c>
      <c r="Y23" s="20">
        <f t="shared" si="5"/>
        <v>107167.447288</v>
      </c>
      <c r="Z23" s="20">
        <f t="shared" si="22"/>
        <v>1121.718752</v>
      </c>
      <c r="AB23" s="33">
        <f t="shared" si="69"/>
        <v>97614</v>
      </c>
      <c r="AC23" s="33">
        <f t="shared" si="45"/>
        <v>35124.72315</v>
      </c>
      <c r="AD23" s="33">
        <f t="shared" si="88"/>
        <v>132738.72315</v>
      </c>
      <c r="AE23" s="20">
        <f t="shared" si="23"/>
        <v>1389.3726</v>
      </c>
      <c r="AG23" s="65">
        <f t="shared" si="70"/>
        <v>48364.72800000001</v>
      </c>
      <c r="AH23" s="65">
        <f t="shared" si="46"/>
        <v>17403.2175838</v>
      </c>
      <c r="AI23" s="20">
        <f t="shared" si="6"/>
        <v>65767.94558380001</v>
      </c>
      <c r="AJ23" s="20">
        <f t="shared" si="24"/>
        <v>688.3912952</v>
      </c>
      <c r="AL23" s="65">
        <f t="shared" si="71"/>
        <v>881741.8559999999</v>
      </c>
      <c r="AM23" s="65">
        <f t="shared" si="47"/>
        <v>317279.6789576</v>
      </c>
      <c r="AN23" s="20">
        <f t="shared" si="7"/>
        <v>1199021.5349575998</v>
      </c>
      <c r="AO23" s="20">
        <f t="shared" si="25"/>
        <v>12550.1257504</v>
      </c>
      <c r="AP23" s="33"/>
      <c r="AQ23" s="65">
        <f t="shared" si="72"/>
        <v>116269.8</v>
      </c>
      <c r="AR23" s="65">
        <f t="shared" si="48"/>
        <v>41837.692704999994</v>
      </c>
      <c r="AS23" s="20">
        <f t="shared" si="8"/>
        <v>158107.49270499998</v>
      </c>
      <c r="AT23" s="20">
        <f t="shared" si="26"/>
        <v>1654.90682</v>
      </c>
      <c r="AU23" s="33"/>
      <c r="AV23" s="51">
        <f t="shared" si="73"/>
        <v>34488.24</v>
      </c>
      <c r="AW23" s="51">
        <f t="shared" si="49"/>
        <v>12410.001454000001</v>
      </c>
      <c r="AX23" s="33">
        <f t="shared" si="9"/>
        <v>46898.241454</v>
      </c>
      <c r="AY23" s="20">
        <f t="shared" si="27"/>
        <v>490.88261600000004</v>
      </c>
      <c r="AZ23" s="33"/>
      <c r="BA23" s="33">
        <f t="shared" si="74"/>
        <v>15167.4</v>
      </c>
      <c r="BB23" s="33">
        <f t="shared" si="50"/>
        <v>5457.728665</v>
      </c>
      <c r="BC23" s="33">
        <f t="shared" si="51"/>
        <v>20625.128665</v>
      </c>
      <c r="BD23" s="20">
        <f t="shared" si="28"/>
        <v>215.88266</v>
      </c>
      <c r="BE23" s="33"/>
      <c r="BF23" s="51">
        <f t="shared" si="75"/>
        <v>132922.728</v>
      </c>
      <c r="BG23" s="51">
        <f t="shared" si="52"/>
        <v>47829.9631338</v>
      </c>
      <c r="BH23" s="33">
        <f t="shared" si="10"/>
        <v>180752.69113380002</v>
      </c>
      <c r="BI23" s="20">
        <f t="shared" si="29"/>
        <v>1891.9334952</v>
      </c>
      <c r="BJ23" s="33"/>
      <c r="BK23" s="51">
        <f t="shared" si="76"/>
        <v>10293.840000000002</v>
      </c>
      <c r="BL23" s="51">
        <f t="shared" si="53"/>
        <v>3704.0617140000004</v>
      </c>
      <c r="BM23" s="33">
        <f t="shared" si="11"/>
        <v>13997.901714000003</v>
      </c>
      <c r="BN23" s="20">
        <f t="shared" si="30"/>
        <v>146.515656</v>
      </c>
      <c r="BO23" s="33"/>
      <c r="BP23" s="51">
        <f t="shared" si="77"/>
        <v>443329.53599999996</v>
      </c>
      <c r="BQ23" s="51">
        <f t="shared" si="54"/>
        <v>159524.5273856</v>
      </c>
      <c r="BR23" s="33">
        <f t="shared" si="12"/>
        <v>602854.0633856</v>
      </c>
      <c r="BS23" s="20">
        <f t="shared" si="31"/>
        <v>6310.0570624</v>
      </c>
      <c r="BT23" s="33"/>
      <c r="BU23" s="51">
        <f t="shared" si="78"/>
        <v>18827.568</v>
      </c>
      <c r="BV23" s="51">
        <f t="shared" si="55"/>
        <v>6774.7773228</v>
      </c>
      <c r="BW23" s="33">
        <f t="shared" si="13"/>
        <v>25602.3453228</v>
      </c>
      <c r="BX23" s="20">
        <f t="shared" si="32"/>
        <v>267.9790512</v>
      </c>
      <c r="BY23" s="33"/>
      <c r="BZ23" s="33">
        <f t="shared" si="79"/>
        <v>51.816</v>
      </c>
      <c r="CA23" s="33">
        <f t="shared" si="56"/>
        <v>18.6450986</v>
      </c>
      <c r="CB23" s="33">
        <f t="shared" si="57"/>
        <v>70.4610986</v>
      </c>
      <c r="CC23" s="20">
        <f t="shared" si="33"/>
        <v>0.7375144</v>
      </c>
      <c r="CD23" s="33"/>
      <c r="CE23" s="51">
        <f t="shared" si="80"/>
        <v>13075.992</v>
      </c>
      <c r="CF23" s="51">
        <f t="shared" si="58"/>
        <v>4705.1713782</v>
      </c>
      <c r="CG23" s="33">
        <f t="shared" si="14"/>
        <v>17781.1633782</v>
      </c>
      <c r="CH23" s="20">
        <f t="shared" si="34"/>
        <v>186.1149528</v>
      </c>
      <c r="CI23" s="33"/>
      <c r="CJ23" s="51">
        <f t="shared" si="81"/>
        <v>33408.263999999996</v>
      </c>
      <c r="CK23" s="51">
        <f t="shared" si="59"/>
        <v>12021.3906194</v>
      </c>
      <c r="CL23" s="33">
        <f t="shared" si="15"/>
        <v>45429.6546194</v>
      </c>
      <c r="CM23" s="20">
        <f t="shared" si="35"/>
        <v>475.51095760000004</v>
      </c>
      <c r="CN23" s="33"/>
      <c r="CO23" s="51">
        <f t="shared" si="82"/>
        <v>56464.752</v>
      </c>
      <c r="CP23" s="51">
        <f t="shared" si="60"/>
        <v>20317.872249199998</v>
      </c>
      <c r="CQ23" s="33">
        <f t="shared" si="16"/>
        <v>76782.6242492</v>
      </c>
      <c r="CR23" s="20">
        <f t="shared" si="36"/>
        <v>803.6816368</v>
      </c>
      <c r="CS23" s="33"/>
      <c r="CT23" s="51">
        <f t="shared" si="83"/>
        <v>464484.336</v>
      </c>
      <c r="CU23" s="51">
        <f t="shared" si="61"/>
        <v>167136.7192156</v>
      </c>
      <c r="CV23" s="33">
        <f t="shared" si="17"/>
        <v>631621.0552156</v>
      </c>
      <c r="CW23" s="20">
        <f t="shared" si="37"/>
        <v>6611.1603824</v>
      </c>
      <c r="CX23" s="33"/>
      <c r="CY23" s="51">
        <f t="shared" si="84"/>
        <v>8721</v>
      </c>
      <c r="CZ23" s="51">
        <f t="shared" si="62"/>
        <v>3138.1022249999996</v>
      </c>
      <c r="DA23" s="33">
        <f t="shared" si="18"/>
        <v>11859.102224999999</v>
      </c>
      <c r="DB23" s="20">
        <f t="shared" si="38"/>
        <v>124.1289</v>
      </c>
      <c r="DC23" s="33"/>
      <c r="DD23" s="51">
        <f t="shared" si="85"/>
        <v>41562.144</v>
      </c>
      <c r="DE23" s="51">
        <f t="shared" si="63"/>
        <v>14955.4244424</v>
      </c>
      <c r="DF23" s="33">
        <f t="shared" si="19"/>
        <v>56517.5684424</v>
      </c>
      <c r="DG23" s="20">
        <f t="shared" si="39"/>
        <v>591.5678495999999</v>
      </c>
      <c r="DH23" s="33"/>
      <c r="DI23" s="33">
        <f t="shared" si="86"/>
        <v>74840.256</v>
      </c>
      <c r="DJ23" s="33">
        <f t="shared" si="64"/>
        <v>26929.9820976</v>
      </c>
      <c r="DK23" s="33">
        <f t="shared" si="65"/>
        <v>101770.2380976</v>
      </c>
      <c r="DL23" s="20">
        <f t="shared" si="40"/>
        <v>1065.2263104</v>
      </c>
      <c r="DM23" s="33"/>
      <c r="DN23" s="51">
        <f t="shared" si="87"/>
        <v>74739.07199999999</v>
      </c>
      <c r="DO23" s="51">
        <f t="shared" si="66"/>
        <v>26893.572771199997</v>
      </c>
      <c r="DP23" s="33">
        <f t="shared" si="20"/>
        <v>101632.64477119998</v>
      </c>
      <c r="DQ23" s="20">
        <f t="shared" si="41"/>
        <v>1063.7861248</v>
      </c>
      <c r="DR23" s="33"/>
      <c r="DS23" s="33"/>
      <c r="DT23" s="33"/>
      <c r="DU23" s="33"/>
    </row>
    <row r="24" spans="1:125" ht="12.75">
      <c r="A24" s="19">
        <v>43009</v>
      </c>
      <c r="B24" s="27"/>
      <c r="D24" s="35">
        <v>1366118</v>
      </c>
      <c r="E24" s="35">
        <f t="shared" si="0"/>
        <v>1366118</v>
      </c>
      <c r="F24" s="35">
        <v>58072</v>
      </c>
      <c r="H24" s="51"/>
      <c r="I24" s="51">
        <v>138413</v>
      </c>
      <c r="J24" s="51">
        <f t="shared" si="42"/>
        <v>138413</v>
      </c>
      <c r="K24" s="51">
        <v>5883.7737392</v>
      </c>
      <c r="M24" s="51">
        <f t="shared" si="1"/>
        <v>0</v>
      </c>
      <c r="N24" s="41">
        <f t="shared" si="2"/>
        <v>1227704.8368052</v>
      </c>
      <c r="O24" s="33">
        <f t="shared" si="3"/>
        <v>1227704.8368052</v>
      </c>
      <c r="P24" s="41">
        <f t="shared" si="2"/>
        <v>52188.22626080002</v>
      </c>
      <c r="R24" s="65"/>
      <c r="S24" s="65">
        <f t="shared" si="43"/>
        <v>342012.83254840004</v>
      </c>
      <c r="T24" s="20">
        <f t="shared" si="4"/>
        <v>342012.83254840004</v>
      </c>
      <c r="U24" s="20">
        <f t="shared" si="21"/>
        <v>14538.5458736</v>
      </c>
      <c r="W24" s="65"/>
      <c r="X24" s="65">
        <f t="shared" si="44"/>
        <v>26387.935288</v>
      </c>
      <c r="Y24" s="20">
        <f t="shared" si="5"/>
        <v>26387.935288</v>
      </c>
      <c r="Z24" s="20">
        <f t="shared" si="22"/>
        <v>1121.718752</v>
      </c>
      <c r="AC24" s="33">
        <f t="shared" si="45"/>
        <v>32684.37315</v>
      </c>
      <c r="AD24" s="33">
        <f t="shared" si="88"/>
        <v>32684.37315</v>
      </c>
      <c r="AE24" s="20">
        <f t="shared" si="23"/>
        <v>1389.3726</v>
      </c>
      <c r="AG24" s="65"/>
      <c r="AH24" s="65">
        <f t="shared" si="46"/>
        <v>16194.099383800001</v>
      </c>
      <c r="AI24" s="20">
        <f t="shared" si="6"/>
        <v>16194.099383800001</v>
      </c>
      <c r="AJ24" s="20">
        <f t="shared" si="24"/>
        <v>688.3912952</v>
      </c>
      <c r="AL24" s="65"/>
      <c r="AM24" s="65">
        <f t="shared" si="47"/>
        <v>295236.1325576</v>
      </c>
      <c r="AN24" s="20">
        <f t="shared" si="7"/>
        <v>295236.1325576</v>
      </c>
      <c r="AO24" s="20">
        <f t="shared" si="25"/>
        <v>12550.1257504</v>
      </c>
      <c r="AP24" s="33"/>
      <c r="AQ24" s="65"/>
      <c r="AR24" s="65">
        <f t="shared" si="48"/>
        <v>38930.947705</v>
      </c>
      <c r="AS24" s="20">
        <f t="shared" si="8"/>
        <v>38930.947705</v>
      </c>
      <c r="AT24" s="20">
        <f t="shared" si="26"/>
        <v>1654.90682</v>
      </c>
      <c r="AU24" s="33"/>
      <c r="AV24" s="51"/>
      <c r="AW24" s="51">
        <f t="shared" si="49"/>
        <v>11547.795454000001</v>
      </c>
      <c r="AX24" s="33">
        <f t="shared" si="9"/>
        <v>11547.795454000001</v>
      </c>
      <c r="AY24" s="20">
        <f t="shared" si="27"/>
        <v>490.88261600000004</v>
      </c>
      <c r="AZ24" s="33"/>
      <c r="BA24" s="33"/>
      <c r="BB24" s="33">
        <f t="shared" si="50"/>
        <v>5078.543665000001</v>
      </c>
      <c r="BC24" s="33">
        <f t="shared" si="51"/>
        <v>5078.543665000001</v>
      </c>
      <c r="BD24" s="20">
        <f t="shared" si="28"/>
        <v>215.88266</v>
      </c>
      <c r="BE24" s="33"/>
      <c r="BF24" s="51"/>
      <c r="BG24" s="51">
        <f t="shared" si="52"/>
        <v>44506.8949338</v>
      </c>
      <c r="BH24" s="33">
        <f t="shared" si="10"/>
        <v>44506.8949338</v>
      </c>
      <c r="BI24" s="20">
        <f t="shared" si="29"/>
        <v>1891.9334952</v>
      </c>
      <c r="BJ24" s="33"/>
      <c r="BK24" s="51"/>
      <c r="BL24" s="51">
        <f t="shared" si="53"/>
        <v>3446.715714</v>
      </c>
      <c r="BM24" s="33">
        <f t="shared" si="11"/>
        <v>3446.715714</v>
      </c>
      <c r="BN24" s="20">
        <f t="shared" si="30"/>
        <v>146.515656</v>
      </c>
      <c r="BO24" s="33"/>
      <c r="BP24" s="51"/>
      <c r="BQ24" s="51">
        <f t="shared" si="54"/>
        <v>148441.2889856</v>
      </c>
      <c r="BR24" s="33">
        <f t="shared" si="12"/>
        <v>148441.2889856</v>
      </c>
      <c r="BS24" s="20">
        <f t="shared" si="31"/>
        <v>6310.0570624</v>
      </c>
      <c r="BT24" s="33"/>
      <c r="BU24" s="51"/>
      <c r="BV24" s="51">
        <f t="shared" si="55"/>
        <v>6304.0881228</v>
      </c>
      <c r="BW24" s="33">
        <f t="shared" si="13"/>
        <v>6304.0881228</v>
      </c>
      <c r="BX24" s="20">
        <f t="shared" si="32"/>
        <v>267.9790512</v>
      </c>
      <c r="BY24" s="33"/>
      <c r="BZ24" s="33"/>
      <c r="CA24" s="33">
        <f t="shared" si="56"/>
        <v>17.3496986</v>
      </c>
      <c r="CB24" s="33">
        <f t="shared" si="57"/>
        <v>17.3496986</v>
      </c>
      <c r="CC24" s="20">
        <f t="shared" si="33"/>
        <v>0.7375144</v>
      </c>
      <c r="CD24" s="33"/>
      <c r="CE24" s="51"/>
      <c r="CF24" s="51">
        <f t="shared" si="58"/>
        <v>4378.2715782000005</v>
      </c>
      <c r="CG24" s="33">
        <f t="shared" si="14"/>
        <v>4378.2715782000005</v>
      </c>
      <c r="CH24" s="20">
        <f t="shared" si="34"/>
        <v>186.1149528</v>
      </c>
      <c r="CI24" s="33"/>
      <c r="CJ24" s="51"/>
      <c r="CK24" s="51">
        <f t="shared" si="59"/>
        <v>11186.1840194</v>
      </c>
      <c r="CL24" s="33">
        <f t="shared" si="15"/>
        <v>11186.1840194</v>
      </c>
      <c r="CM24" s="20">
        <f t="shared" si="35"/>
        <v>475.51095760000004</v>
      </c>
      <c r="CN24" s="33"/>
      <c r="CO24" s="51"/>
      <c r="CP24" s="51">
        <f t="shared" si="60"/>
        <v>18906.253449199998</v>
      </c>
      <c r="CQ24" s="33">
        <f t="shared" si="16"/>
        <v>18906.253449199998</v>
      </c>
      <c r="CR24" s="20">
        <f t="shared" si="36"/>
        <v>803.6816368</v>
      </c>
      <c r="CS24" s="33"/>
      <c r="CT24" s="51"/>
      <c r="CU24" s="51">
        <f t="shared" si="61"/>
        <v>155524.6108156</v>
      </c>
      <c r="CV24" s="33">
        <f t="shared" si="17"/>
        <v>155524.6108156</v>
      </c>
      <c r="CW24" s="20">
        <f t="shared" si="37"/>
        <v>6611.1603824</v>
      </c>
      <c r="CX24" s="33"/>
      <c r="CY24" s="51"/>
      <c r="CZ24" s="51">
        <f t="shared" si="62"/>
        <v>2920.0772249999995</v>
      </c>
      <c r="DA24" s="33">
        <f t="shared" si="18"/>
        <v>2920.0772249999995</v>
      </c>
      <c r="DB24" s="20">
        <f t="shared" si="38"/>
        <v>124.1289</v>
      </c>
      <c r="DC24" s="33"/>
      <c r="DD24" s="51"/>
      <c r="DE24" s="51">
        <f t="shared" si="63"/>
        <v>13916.3708424</v>
      </c>
      <c r="DF24" s="33">
        <f t="shared" si="19"/>
        <v>13916.3708424</v>
      </c>
      <c r="DG24" s="20">
        <f t="shared" si="39"/>
        <v>591.5678495999999</v>
      </c>
      <c r="DH24" s="33"/>
      <c r="DI24" s="33"/>
      <c r="DJ24" s="33">
        <f t="shared" si="64"/>
        <v>25058.9756976</v>
      </c>
      <c r="DK24" s="33">
        <f t="shared" si="65"/>
        <v>25058.9756976</v>
      </c>
      <c r="DL24" s="20">
        <f t="shared" si="40"/>
        <v>1065.2263104</v>
      </c>
      <c r="DM24" s="33"/>
      <c r="DN24" s="51"/>
      <c r="DO24" s="51">
        <f t="shared" si="66"/>
        <v>25025.0959712</v>
      </c>
      <c r="DP24" s="33">
        <f t="shared" si="20"/>
        <v>25025.0959712</v>
      </c>
      <c r="DQ24" s="20">
        <f t="shared" si="41"/>
        <v>1063.7861248</v>
      </c>
      <c r="DR24" s="33"/>
      <c r="DS24" s="33"/>
      <c r="DT24" s="33"/>
      <c r="DU24" s="33"/>
    </row>
    <row r="25" spans="1:125" ht="12.75">
      <c r="A25" s="19">
        <v>43191</v>
      </c>
      <c r="C25" s="35">
        <v>4285000</v>
      </c>
      <c r="D25" s="35">
        <v>1366118</v>
      </c>
      <c r="E25" s="35">
        <f t="shared" si="0"/>
        <v>5651118</v>
      </c>
      <c r="F25" s="35">
        <v>58072</v>
      </c>
      <c r="H25" s="51">
        <v>434150</v>
      </c>
      <c r="I25" s="51">
        <v>138413</v>
      </c>
      <c r="J25" s="51">
        <f t="shared" si="42"/>
        <v>572563</v>
      </c>
      <c r="K25" s="51">
        <v>5883.7737392</v>
      </c>
      <c r="M25" s="51">
        <f t="shared" si="1"/>
        <v>3850849.799</v>
      </c>
      <c r="N25" s="41">
        <f t="shared" si="2"/>
        <v>1227704.8368052</v>
      </c>
      <c r="O25" s="33">
        <f t="shared" si="3"/>
        <v>5078554.6358052</v>
      </c>
      <c r="P25" s="41">
        <f t="shared" si="2"/>
        <v>52188.22626080002</v>
      </c>
      <c r="R25" s="65">
        <f t="shared" si="67"/>
        <v>1072766.033</v>
      </c>
      <c r="S25" s="65">
        <f t="shared" si="43"/>
        <v>342012.83254840004</v>
      </c>
      <c r="T25" s="20">
        <f t="shared" si="4"/>
        <v>1414778.8655484002</v>
      </c>
      <c r="U25" s="20">
        <f t="shared" si="21"/>
        <v>14538.5458736</v>
      </c>
      <c r="W25" s="65">
        <f t="shared" si="68"/>
        <v>82769.06</v>
      </c>
      <c r="X25" s="65">
        <f t="shared" si="44"/>
        <v>26387.935288</v>
      </c>
      <c r="Y25" s="20">
        <f t="shared" si="5"/>
        <v>109156.995288</v>
      </c>
      <c r="Z25" s="20">
        <f t="shared" si="22"/>
        <v>1121.718752</v>
      </c>
      <c r="AB25" s="33">
        <f t="shared" si="69"/>
        <v>102518.625</v>
      </c>
      <c r="AC25" s="33">
        <f t="shared" si="45"/>
        <v>32684.37315</v>
      </c>
      <c r="AD25" s="33">
        <f t="shared" si="88"/>
        <v>135202.99815</v>
      </c>
      <c r="AE25" s="20">
        <f t="shared" si="23"/>
        <v>1389.3726</v>
      </c>
      <c r="AG25" s="65">
        <f t="shared" si="70"/>
        <v>50794.81850000001</v>
      </c>
      <c r="AH25" s="65">
        <f t="shared" si="46"/>
        <v>16194.099383800001</v>
      </c>
      <c r="AI25" s="20">
        <f t="shared" si="6"/>
        <v>66988.91788380001</v>
      </c>
      <c r="AJ25" s="20">
        <f t="shared" si="24"/>
        <v>688.3912952</v>
      </c>
      <c r="AL25" s="65">
        <f t="shared" si="71"/>
        <v>926045.062</v>
      </c>
      <c r="AM25" s="65">
        <f t="shared" si="47"/>
        <v>295236.1325576</v>
      </c>
      <c r="AN25" s="20">
        <f t="shared" si="7"/>
        <v>1221281.1945576</v>
      </c>
      <c r="AO25" s="20">
        <f t="shared" si="25"/>
        <v>12550.1257504</v>
      </c>
      <c r="AP25" s="33"/>
      <c r="AQ25" s="65">
        <f t="shared" si="72"/>
        <v>122111.7875</v>
      </c>
      <c r="AR25" s="65">
        <f t="shared" si="48"/>
        <v>38930.947705</v>
      </c>
      <c r="AS25" s="20">
        <f t="shared" si="8"/>
        <v>161042.735205</v>
      </c>
      <c r="AT25" s="20">
        <f t="shared" si="26"/>
        <v>1654.90682</v>
      </c>
      <c r="AU25" s="33"/>
      <c r="AV25" s="51">
        <f t="shared" si="73"/>
        <v>36221.105</v>
      </c>
      <c r="AW25" s="51">
        <f t="shared" si="49"/>
        <v>11547.795454000001</v>
      </c>
      <c r="AX25" s="33">
        <f t="shared" si="9"/>
        <v>47768.900454</v>
      </c>
      <c r="AY25" s="20">
        <f t="shared" si="27"/>
        <v>490.88261600000004</v>
      </c>
      <c r="AZ25" s="33"/>
      <c r="BA25" s="33">
        <f t="shared" si="74"/>
        <v>15929.4875</v>
      </c>
      <c r="BB25" s="33">
        <f t="shared" si="50"/>
        <v>5078.543665000001</v>
      </c>
      <c r="BC25" s="33">
        <f t="shared" si="51"/>
        <v>21008.031165</v>
      </c>
      <c r="BD25" s="20">
        <f t="shared" si="28"/>
        <v>215.88266</v>
      </c>
      <c r="BE25" s="33"/>
      <c r="BF25" s="51">
        <f t="shared" si="75"/>
        <v>139601.4435</v>
      </c>
      <c r="BG25" s="51">
        <f t="shared" si="52"/>
        <v>44506.8949338</v>
      </c>
      <c r="BH25" s="33">
        <f t="shared" si="10"/>
        <v>184108.3384338</v>
      </c>
      <c r="BI25" s="20">
        <f t="shared" si="29"/>
        <v>1891.9334952</v>
      </c>
      <c r="BJ25" s="33"/>
      <c r="BK25" s="51">
        <f t="shared" si="76"/>
        <v>10811.055</v>
      </c>
      <c r="BL25" s="51">
        <f t="shared" si="53"/>
        <v>3446.715714</v>
      </c>
      <c r="BM25" s="33">
        <f t="shared" si="11"/>
        <v>14257.770714</v>
      </c>
      <c r="BN25" s="20">
        <f t="shared" si="30"/>
        <v>146.515656</v>
      </c>
      <c r="BO25" s="33"/>
      <c r="BP25" s="51">
        <f t="shared" si="77"/>
        <v>465604.67199999996</v>
      </c>
      <c r="BQ25" s="51">
        <f t="shared" si="54"/>
        <v>148441.2889856</v>
      </c>
      <c r="BR25" s="33">
        <f t="shared" si="12"/>
        <v>614045.9609856</v>
      </c>
      <c r="BS25" s="20">
        <f t="shared" si="31"/>
        <v>6310.0570624</v>
      </c>
      <c r="BT25" s="33"/>
      <c r="BU25" s="51">
        <f t="shared" si="78"/>
        <v>19773.560999999998</v>
      </c>
      <c r="BV25" s="51">
        <f t="shared" si="55"/>
        <v>6304.0881228</v>
      </c>
      <c r="BW25" s="33">
        <f t="shared" si="13"/>
        <v>26077.649122799998</v>
      </c>
      <c r="BX25" s="20">
        <f t="shared" si="32"/>
        <v>267.9790512</v>
      </c>
      <c r="BY25" s="33"/>
      <c r="BZ25" s="33">
        <f t="shared" si="79"/>
        <v>54.419500000000006</v>
      </c>
      <c r="CA25" s="33">
        <f t="shared" si="56"/>
        <v>17.3496986</v>
      </c>
      <c r="CB25" s="33">
        <f t="shared" si="57"/>
        <v>71.76919860000001</v>
      </c>
      <c r="CC25" s="20">
        <f t="shared" si="33"/>
        <v>0.7375144</v>
      </c>
      <c r="CD25" s="33"/>
      <c r="CE25" s="51">
        <f t="shared" si="80"/>
        <v>13732.9965</v>
      </c>
      <c r="CF25" s="51">
        <f t="shared" si="58"/>
        <v>4378.2715782000005</v>
      </c>
      <c r="CG25" s="33">
        <f t="shared" si="14"/>
        <v>18111.2680782</v>
      </c>
      <c r="CH25" s="20">
        <f t="shared" si="34"/>
        <v>186.1149528</v>
      </c>
      <c r="CI25" s="33"/>
      <c r="CJ25" s="51">
        <f t="shared" si="81"/>
        <v>35086.8655</v>
      </c>
      <c r="CK25" s="51">
        <f t="shared" si="59"/>
        <v>11186.1840194</v>
      </c>
      <c r="CL25" s="33">
        <f t="shared" si="15"/>
        <v>46273.049519399996</v>
      </c>
      <c r="CM25" s="20">
        <f t="shared" si="35"/>
        <v>475.51095760000004</v>
      </c>
      <c r="CN25" s="33"/>
      <c r="CO25" s="51">
        <f t="shared" si="82"/>
        <v>59301.829</v>
      </c>
      <c r="CP25" s="51">
        <f t="shared" si="60"/>
        <v>18906.253449199998</v>
      </c>
      <c r="CQ25" s="33">
        <f t="shared" si="16"/>
        <v>78208.0824492</v>
      </c>
      <c r="CR25" s="20">
        <f t="shared" si="36"/>
        <v>803.6816368</v>
      </c>
      <c r="CS25" s="33"/>
      <c r="CT25" s="51">
        <f t="shared" si="83"/>
        <v>487822.39700000006</v>
      </c>
      <c r="CU25" s="51">
        <f t="shared" si="61"/>
        <v>155524.6108156</v>
      </c>
      <c r="CV25" s="33">
        <f t="shared" si="17"/>
        <v>643347.0078156</v>
      </c>
      <c r="CW25" s="20">
        <f t="shared" si="37"/>
        <v>6611.1603824</v>
      </c>
      <c r="CX25" s="33"/>
      <c r="CY25" s="51">
        <f t="shared" si="84"/>
        <v>9159.1875</v>
      </c>
      <c r="CZ25" s="51">
        <f t="shared" si="62"/>
        <v>2920.0772249999995</v>
      </c>
      <c r="DA25" s="33">
        <f t="shared" si="18"/>
        <v>12079.264724999999</v>
      </c>
      <c r="DB25" s="20">
        <f t="shared" si="38"/>
        <v>124.1289</v>
      </c>
      <c r="DC25" s="33"/>
      <c r="DD25" s="51">
        <f t="shared" si="85"/>
        <v>43650.437999999995</v>
      </c>
      <c r="DE25" s="51">
        <f t="shared" si="63"/>
        <v>13916.3708424</v>
      </c>
      <c r="DF25" s="33">
        <f t="shared" si="19"/>
        <v>57566.808842399994</v>
      </c>
      <c r="DG25" s="20">
        <f t="shared" si="39"/>
        <v>591.5678495999999</v>
      </c>
      <c r="DH25" s="33"/>
      <c r="DI25" s="33">
        <f t="shared" si="86"/>
        <v>78600.61200000001</v>
      </c>
      <c r="DJ25" s="33">
        <f t="shared" si="64"/>
        <v>25058.9756976</v>
      </c>
      <c r="DK25" s="33">
        <f t="shared" si="65"/>
        <v>103659.58769760001</v>
      </c>
      <c r="DL25" s="20">
        <f t="shared" si="40"/>
        <v>1065.2263104</v>
      </c>
      <c r="DM25" s="33"/>
      <c r="DN25" s="51">
        <f t="shared" si="87"/>
        <v>78494.344</v>
      </c>
      <c r="DO25" s="51">
        <f t="shared" si="66"/>
        <v>25025.0959712</v>
      </c>
      <c r="DP25" s="33">
        <f t="shared" si="20"/>
        <v>103519.4399712</v>
      </c>
      <c r="DQ25" s="20">
        <f t="shared" si="41"/>
        <v>1063.7861248</v>
      </c>
      <c r="DR25" s="33"/>
      <c r="DS25" s="33"/>
      <c r="DT25" s="33"/>
      <c r="DU25" s="33"/>
    </row>
    <row r="26" spans="1:125" ht="12.75">
      <c r="A26" s="19">
        <v>43374</v>
      </c>
      <c r="D26" s="35">
        <v>1258993</v>
      </c>
      <c r="E26" s="35">
        <f t="shared" si="0"/>
        <v>1258993</v>
      </c>
      <c r="F26" s="35">
        <v>58072</v>
      </c>
      <c r="H26" s="51"/>
      <c r="I26" s="51">
        <v>127559</v>
      </c>
      <c r="J26" s="51">
        <f t="shared" si="42"/>
        <v>127559</v>
      </c>
      <c r="K26" s="51">
        <v>5883.7737392</v>
      </c>
      <c r="M26" s="51">
        <f t="shared" si="1"/>
        <v>0</v>
      </c>
      <c r="N26" s="41">
        <f t="shared" si="2"/>
        <v>1131433.5918301998</v>
      </c>
      <c r="O26" s="33">
        <f t="shared" si="3"/>
        <v>1131433.5918301998</v>
      </c>
      <c r="P26" s="41">
        <f t="shared" si="2"/>
        <v>52188.22626080002</v>
      </c>
      <c r="R26" s="65"/>
      <c r="S26" s="65">
        <f t="shared" si="43"/>
        <v>315193.68172339996</v>
      </c>
      <c r="T26" s="20">
        <f t="shared" si="4"/>
        <v>315193.68172339996</v>
      </c>
      <c r="U26" s="20">
        <f t="shared" si="21"/>
        <v>14538.5458736</v>
      </c>
      <c r="W26" s="65"/>
      <c r="X26" s="65">
        <f t="shared" si="44"/>
        <v>24318.708788</v>
      </c>
      <c r="Y26" s="20">
        <f t="shared" si="5"/>
        <v>24318.708788</v>
      </c>
      <c r="Z26" s="20">
        <f t="shared" si="22"/>
        <v>1121.718752</v>
      </c>
      <c r="AC26" s="33">
        <f t="shared" si="45"/>
        <v>30121.407525</v>
      </c>
      <c r="AD26" s="33">
        <f t="shared" si="88"/>
        <v>30121.407525</v>
      </c>
      <c r="AE26" s="20">
        <f t="shared" si="23"/>
        <v>1389.3726</v>
      </c>
      <c r="AG26" s="65"/>
      <c r="AH26" s="65">
        <f t="shared" si="46"/>
        <v>14924.2289213</v>
      </c>
      <c r="AI26" s="20">
        <f t="shared" si="6"/>
        <v>14924.2289213</v>
      </c>
      <c r="AJ26" s="20">
        <f t="shared" si="24"/>
        <v>688.3912952</v>
      </c>
      <c r="AL26" s="65"/>
      <c r="AM26" s="65">
        <f t="shared" si="47"/>
        <v>272085.0060076</v>
      </c>
      <c r="AN26" s="20">
        <f t="shared" si="7"/>
        <v>272085.0060076</v>
      </c>
      <c r="AO26" s="20">
        <f t="shared" si="25"/>
        <v>12550.1257504</v>
      </c>
      <c r="AP26" s="33"/>
      <c r="AQ26" s="65"/>
      <c r="AR26" s="65">
        <f t="shared" si="48"/>
        <v>35878.15301749999</v>
      </c>
      <c r="AS26" s="20">
        <f t="shared" si="8"/>
        <v>35878.15301749999</v>
      </c>
      <c r="AT26" s="20">
        <f t="shared" si="26"/>
        <v>1654.90682</v>
      </c>
      <c r="AU26" s="33"/>
      <c r="AV26" s="51"/>
      <c r="AW26" s="51">
        <f t="shared" si="49"/>
        <v>10642.267829</v>
      </c>
      <c r="AX26" s="33">
        <f t="shared" si="9"/>
        <v>10642.267829</v>
      </c>
      <c r="AY26" s="20">
        <f t="shared" si="27"/>
        <v>490.88261600000004</v>
      </c>
      <c r="AZ26" s="33"/>
      <c r="BA26" s="33"/>
      <c r="BB26" s="33">
        <f t="shared" si="50"/>
        <v>4680.3064775</v>
      </c>
      <c r="BC26" s="33">
        <f t="shared" si="51"/>
        <v>4680.3064775</v>
      </c>
      <c r="BD26" s="20">
        <f t="shared" si="28"/>
        <v>215.88266</v>
      </c>
      <c r="BE26" s="33"/>
      <c r="BF26" s="51"/>
      <c r="BG26" s="51">
        <f t="shared" si="52"/>
        <v>41016.8588463</v>
      </c>
      <c r="BH26" s="33">
        <f t="shared" si="10"/>
        <v>41016.8588463</v>
      </c>
      <c r="BI26" s="20">
        <f t="shared" si="29"/>
        <v>1891.9334952</v>
      </c>
      <c r="BJ26" s="33"/>
      <c r="BK26" s="51"/>
      <c r="BL26" s="51">
        <f t="shared" si="53"/>
        <v>3176.439339</v>
      </c>
      <c r="BM26" s="33">
        <f t="shared" si="11"/>
        <v>3176.439339</v>
      </c>
      <c r="BN26" s="20">
        <f t="shared" si="30"/>
        <v>146.515656</v>
      </c>
      <c r="BO26" s="33"/>
      <c r="BP26" s="51"/>
      <c r="BQ26" s="51">
        <f t="shared" si="54"/>
        <v>136801.17218559998</v>
      </c>
      <c r="BR26" s="33">
        <f t="shared" si="12"/>
        <v>136801.17218559998</v>
      </c>
      <c r="BS26" s="20">
        <f t="shared" si="31"/>
        <v>6310.0570624</v>
      </c>
      <c r="BT26" s="33"/>
      <c r="BU26" s="51"/>
      <c r="BV26" s="51">
        <f t="shared" si="55"/>
        <v>5809.7490978</v>
      </c>
      <c r="BW26" s="33">
        <f t="shared" si="13"/>
        <v>5809.7490978</v>
      </c>
      <c r="BX26" s="20">
        <f t="shared" si="32"/>
        <v>267.9790512</v>
      </c>
      <c r="BY26" s="33"/>
      <c r="BZ26" s="33"/>
      <c r="CA26" s="33">
        <f t="shared" si="56"/>
        <v>15.9892111</v>
      </c>
      <c r="CB26" s="33">
        <f t="shared" si="57"/>
        <v>15.9892111</v>
      </c>
      <c r="CC26" s="20">
        <f t="shared" si="33"/>
        <v>0.7375144</v>
      </c>
      <c r="CD26" s="33"/>
      <c r="CE26" s="51"/>
      <c r="CF26" s="51">
        <f t="shared" si="58"/>
        <v>4034.9466657</v>
      </c>
      <c r="CG26" s="33">
        <f t="shared" si="14"/>
        <v>4034.9466657</v>
      </c>
      <c r="CH26" s="20">
        <f t="shared" si="34"/>
        <v>186.1149528</v>
      </c>
      <c r="CI26" s="33"/>
      <c r="CJ26" s="51"/>
      <c r="CK26" s="51">
        <f t="shared" si="59"/>
        <v>10309.0123819</v>
      </c>
      <c r="CL26" s="33">
        <f t="shared" si="15"/>
        <v>10309.0123819</v>
      </c>
      <c r="CM26" s="20">
        <f t="shared" si="35"/>
        <v>475.51095760000004</v>
      </c>
      <c r="CN26" s="33"/>
      <c r="CO26" s="51"/>
      <c r="CP26" s="51">
        <f t="shared" si="60"/>
        <v>17423.707724199998</v>
      </c>
      <c r="CQ26" s="33">
        <f t="shared" si="16"/>
        <v>17423.707724199998</v>
      </c>
      <c r="CR26" s="20">
        <f t="shared" si="36"/>
        <v>803.6816368</v>
      </c>
      <c r="CS26" s="33"/>
      <c r="CT26" s="51"/>
      <c r="CU26" s="51">
        <f t="shared" si="61"/>
        <v>143329.05089060002</v>
      </c>
      <c r="CV26" s="33">
        <f t="shared" si="17"/>
        <v>143329.05089060002</v>
      </c>
      <c r="CW26" s="20">
        <f t="shared" si="37"/>
        <v>6611.1603824</v>
      </c>
      <c r="CX26" s="33"/>
      <c r="CY26" s="51"/>
      <c r="CZ26" s="51">
        <f t="shared" si="62"/>
        <v>2691.0975375</v>
      </c>
      <c r="DA26" s="33">
        <f t="shared" si="18"/>
        <v>2691.0975375</v>
      </c>
      <c r="DB26" s="20">
        <f t="shared" si="38"/>
        <v>124.1289</v>
      </c>
      <c r="DC26" s="33"/>
      <c r="DD26" s="51"/>
      <c r="DE26" s="51">
        <f t="shared" si="63"/>
        <v>12825.1098924</v>
      </c>
      <c r="DF26" s="33">
        <f t="shared" si="19"/>
        <v>12825.1098924</v>
      </c>
      <c r="DG26" s="20">
        <f t="shared" si="39"/>
        <v>591.5678495999999</v>
      </c>
      <c r="DH26" s="33"/>
      <c r="DI26" s="33"/>
      <c r="DJ26" s="33">
        <f t="shared" si="64"/>
        <v>23093.9603976</v>
      </c>
      <c r="DK26" s="33">
        <f t="shared" si="65"/>
        <v>23093.9603976</v>
      </c>
      <c r="DL26" s="20">
        <f t="shared" si="40"/>
        <v>1065.2263104</v>
      </c>
      <c r="DM26" s="33"/>
      <c r="DN26" s="51"/>
      <c r="DO26" s="51">
        <f t="shared" si="66"/>
        <v>23062.737371199997</v>
      </c>
      <c r="DP26" s="33">
        <f t="shared" si="20"/>
        <v>23062.737371199997</v>
      </c>
      <c r="DQ26" s="20">
        <f t="shared" si="41"/>
        <v>1063.7861248</v>
      </c>
      <c r="DR26" s="33"/>
      <c r="DS26" s="33"/>
      <c r="DT26" s="33"/>
      <c r="DU26" s="33"/>
    </row>
    <row r="27" spans="1:125" ht="12.75">
      <c r="A27" s="19">
        <v>43556</v>
      </c>
      <c r="C27" s="35">
        <v>4495000</v>
      </c>
      <c r="D27" s="35">
        <v>1258993</v>
      </c>
      <c r="E27" s="35">
        <f t="shared" si="0"/>
        <v>5753993</v>
      </c>
      <c r="F27" s="35">
        <v>58072</v>
      </c>
      <c r="H27" s="51">
        <v>455427</v>
      </c>
      <c r="I27" s="51">
        <v>127559</v>
      </c>
      <c r="J27" s="51">
        <f t="shared" si="42"/>
        <v>582986</v>
      </c>
      <c r="K27" s="51">
        <v>5883.7737392</v>
      </c>
      <c r="M27" s="51">
        <f t="shared" si="1"/>
        <v>4039572.893</v>
      </c>
      <c r="N27" s="41">
        <f t="shared" si="2"/>
        <v>1131433.5918301998</v>
      </c>
      <c r="O27" s="33">
        <f t="shared" si="3"/>
        <v>5171006.4848302</v>
      </c>
      <c r="P27" s="41">
        <f t="shared" si="2"/>
        <v>52188.22626080002</v>
      </c>
      <c r="R27" s="65">
        <f t="shared" si="67"/>
        <v>1125340.331</v>
      </c>
      <c r="S27" s="65">
        <f t="shared" si="43"/>
        <v>315193.68172339996</v>
      </c>
      <c r="T27" s="20">
        <f t="shared" si="4"/>
        <v>1440534.0127234</v>
      </c>
      <c r="U27" s="20">
        <f t="shared" si="21"/>
        <v>14538.5458736</v>
      </c>
      <c r="W27" s="65">
        <f t="shared" si="68"/>
        <v>86825.42</v>
      </c>
      <c r="X27" s="65">
        <f t="shared" si="44"/>
        <v>24318.708788</v>
      </c>
      <c r="Y27" s="20">
        <f t="shared" si="5"/>
        <v>111144.128788</v>
      </c>
      <c r="Z27" s="20">
        <f t="shared" si="22"/>
        <v>1121.718752</v>
      </c>
      <c r="AB27" s="33">
        <f t="shared" si="69"/>
        <v>107542.875</v>
      </c>
      <c r="AC27" s="33">
        <f t="shared" si="45"/>
        <v>30121.407525</v>
      </c>
      <c r="AD27" s="33">
        <f t="shared" si="88"/>
        <v>137664.282525</v>
      </c>
      <c r="AE27" s="20">
        <f t="shared" si="23"/>
        <v>1389.3726</v>
      </c>
      <c r="AG27" s="65">
        <f t="shared" si="70"/>
        <v>53284.1795</v>
      </c>
      <c r="AH27" s="65">
        <f t="shared" si="46"/>
        <v>14924.2289213</v>
      </c>
      <c r="AI27" s="20">
        <f t="shared" si="6"/>
        <v>68208.4084213</v>
      </c>
      <c r="AJ27" s="20">
        <f t="shared" si="24"/>
        <v>688.3912952</v>
      </c>
      <c r="AL27" s="65">
        <f t="shared" si="71"/>
        <v>971428.8339999999</v>
      </c>
      <c r="AM27" s="65">
        <f t="shared" si="47"/>
        <v>272085.0060076</v>
      </c>
      <c r="AN27" s="20">
        <f t="shared" si="7"/>
        <v>1243513.8400076</v>
      </c>
      <c r="AO27" s="20">
        <f t="shared" si="25"/>
        <v>12550.1257504</v>
      </c>
      <c r="AP27" s="33"/>
      <c r="AQ27" s="65">
        <f t="shared" si="72"/>
        <v>128096.26249999998</v>
      </c>
      <c r="AR27" s="65">
        <f t="shared" si="48"/>
        <v>35878.15301749999</v>
      </c>
      <c r="AS27" s="20">
        <f t="shared" si="8"/>
        <v>163974.41551749996</v>
      </c>
      <c r="AT27" s="20">
        <f t="shared" si="26"/>
        <v>1654.90682</v>
      </c>
      <c r="AU27" s="33"/>
      <c r="AV27" s="51">
        <f t="shared" si="73"/>
        <v>37996.235</v>
      </c>
      <c r="AW27" s="51">
        <f t="shared" si="49"/>
        <v>10642.267829</v>
      </c>
      <c r="AX27" s="33">
        <f t="shared" si="9"/>
        <v>48638.502829000005</v>
      </c>
      <c r="AY27" s="20">
        <f t="shared" si="27"/>
        <v>490.88261600000004</v>
      </c>
      <c r="AZ27" s="33"/>
      <c r="BA27" s="33">
        <f t="shared" si="74"/>
        <v>16710.1625</v>
      </c>
      <c r="BB27" s="33">
        <f t="shared" si="50"/>
        <v>4680.3064775</v>
      </c>
      <c r="BC27" s="33">
        <f t="shared" si="51"/>
        <v>21390.4689775</v>
      </c>
      <c r="BD27" s="20">
        <f t="shared" si="28"/>
        <v>215.88266</v>
      </c>
      <c r="BE27" s="33"/>
      <c r="BF27" s="51">
        <f t="shared" si="75"/>
        <v>146443.0545</v>
      </c>
      <c r="BG27" s="51">
        <f t="shared" si="52"/>
        <v>41016.8588463</v>
      </c>
      <c r="BH27" s="33">
        <f t="shared" si="10"/>
        <v>187459.9133463</v>
      </c>
      <c r="BI27" s="20">
        <f t="shared" si="29"/>
        <v>1891.9334952</v>
      </c>
      <c r="BJ27" s="33"/>
      <c r="BK27" s="51">
        <f t="shared" si="76"/>
        <v>11340.885</v>
      </c>
      <c r="BL27" s="51">
        <f t="shared" si="53"/>
        <v>3176.439339</v>
      </c>
      <c r="BM27" s="33">
        <f t="shared" si="11"/>
        <v>14517.324339</v>
      </c>
      <c r="BN27" s="20">
        <f t="shared" si="30"/>
        <v>146.515656</v>
      </c>
      <c r="BO27" s="33"/>
      <c r="BP27" s="51">
        <f t="shared" si="77"/>
        <v>488423.104</v>
      </c>
      <c r="BQ27" s="51">
        <f t="shared" si="54"/>
        <v>136801.17218559998</v>
      </c>
      <c r="BR27" s="33">
        <f t="shared" si="12"/>
        <v>625224.2761856</v>
      </c>
      <c r="BS27" s="20">
        <f t="shared" si="31"/>
        <v>6310.0570624</v>
      </c>
      <c r="BT27" s="33"/>
      <c r="BU27" s="51">
        <f t="shared" si="78"/>
        <v>20742.627</v>
      </c>
      <c r="BV27" s="51">
        <f t="shared" si="55"/>
        <v>5809.7490978</v>
      </c>
      <c r="BW27" s="33">
        <f t="shared" si="13"/>
        <v>26552.3760978</v>
      </c>
      <c r="BX27" s="20">
        <f t="shared" si="32"/>
        <v>267.9790512</v>
      </c>
      <c r="BY27" s="33"/>
      <c r="BZ27" s="33">
        <f t="shared" si="79"/>
        <v>57.08650000000001</v>
      </c>
      <c r="CA27" s="33">
        <f t="shared" si="56"/>
        <v>15.9892111</v>
      </c>
      <c r="CB27" s="33">
        <f t="shared" si="57"/>
        <v>73.0757111</v>
      </c>
      <c r="CC27" s="20">
        <f t="shared" si="33"/>
        <v>0.7375144</v>
      </c>
      <c r="CD27" s="33"/>
      <c r="CE27" s="51">
        <f t="shared" si="80"/>
        <v>14406.0255</v>
      </c>
      <c r="CF27" s="51">
        <f t="shared" si="58"/>
        <v>4034.9466657</v>
      </c>
      <c r="CG27" s="33">
        <f t="shared" si="14"/>
        <v>18440.9721657</v>
      </c>
      <c r="CH27" s="20">
        <f t="shared" si="34"/>
        <v>186.1149528</v>
      </c>
      <c r="CI27" s="33"/>
      <c r="CJ27" s="51">
        <f t="shared" si="81"/>
        <v>36806.4085</v>
      </c>
      <c r="CK27" s="51">
        <f t="shared" si="59"/>
        <v>10309.0123819</v>
      </c>
      <c r="CL27" s="33">
        <f t="shared" si="15"/>
        <v>47115.4208819</v>
      </c>
      <c r="CM27" s="20">
        <f t="shared" si="35"/>
        <v>475.51095760000004</v>
      </c>
      <c r="CN27" s="33"/>
      <c r="CO27" s="51">
        <f t="shared" si="82"/>
        <v>62208.102999999996</v>
      </c>
      <c r="CP27" s="51">
        <f t="shared" si="60"/>
        <v>17423.707724199998</v>
      </c>
      <c r="CQ27" s="33">
        <f t="shared" si="16"/>
        <v>79631.8107242</v>
      </c>
      <c r="CR27" s="20">
        <f t="shared" si="36"/>
        <v>803.6816368</v>
      </c>
      <c r="CS27" s="33"/>
      <c r="CT27" s="51">
        <f t="shared" si="83"/>
        <v>511729.679</v>
      </c>
      <c r="CU27" s="51">
        <f t="shared" si="61"/>
        <v>143329.05089060002</v>
      </c>
      <c r="CV27" s="33">
        <f t="shared" si="17"/>
        <v>655058.7298906001</v>
      </c>
      <c r="CW27" s="20">
        <f t="shared" si="37"/>
        <v>6611.1603824</v>
      </c>
      <c r="CX27" s="33"/>
      <c r="CY27" s="51">
        <f t="shared" si="84"/>
        <v>9608.0625</v>
      </c>
      <c r="CZ27" s="51">
        <f t="shared" si="62"/>
        <v>2691.0975375</v>
      </c>
      <c r="DA27" s="33">
        <f t="shared" si="18"/>
        <v>12299.1600375</v>
      </c>
      <c r="DB27" s="20">
        <f t="shared" si="38"/>
        <v>124.1289</v>
      </c>
      <c r="DC27" s="33"/>
      <c r="DD27" s="51">
        <f t="shared" si="85"/>
        <v>45789.666000000005</v>
      </c>
      <c r="DE27" s="51">
        <f t="shared" si="63"/>
        <v>12825.1098924</v>
      </c>
      <c r="DF27" s="33">
        <f t="shared" si="19"/>
        <v>58614.77589240001</v>
      </c>
      <c r="DG27" s="20">
        <f t="shared" si="39"/>
        <v>591.5678495999999</v>
      </c>
      <c r="DH27" s="33"/>
      <c r="DI27" s="33">
        <f t="shared" si="86"/>
        <v>82452.684</v>
      </c>
      <c r="DJ27" s="33">
        <f t="shared" si="64"/>
        <v>23093.9603976</v>
      </c>
      <c r="DK27" s="33">
        <f t="shared" si="65"/>
        <v>105546.6443976</v>
      </c>
      <c r="DL27" s="20">
        <f t="shared" si="40"/>
        <v>1065.2263104</v>
      </c>
      <c r="DM27" s="33"/>
      <c r="DN27" s="51">
        <f t="shared" si="87"/>
        <v>82341.208</v>
      </c>
      <c r="DO27" s="51">
        <f t="shared" si="66"/>
        <v>23062.737371199997</v>
      </c>
      <c r="DP27" s="33">
        <f t="shared" si="20"/>
        <v>105403.9453712</v>
      </c>
      <c r="DQ27" s="20">
        <f t="shared" si="41"/>
        <v>1063.7861248</v>
      </c>
      <c r="DR27" s="33"/>
      <c r="DS27" s="33"/>
      <c r="DT27" s="33"/>
      <c r="DU27" s="33"/>
    </row>
    <row r="28" spans="1:125" ht="12.75">
      <c r="A28" s="19">
        <v>43739</v>
      </c>
      <c r="D28" s="35">
        <v>1146618</v>
      </c>
      <c r="E28" s="35">
        <f t="shared" si="0"/>
        <v>1146618</v>
      </c>
      <c r="F28" s="35">
        <v>58072</v>
      </c>
      <c r="H28" s="51"/>
      <c r="I28" s="51">
        <v>116174</v>
      </c>
      <c r="J28" s="51">
        <f t="shared" si="42"/>
        <v>116174</v>
      </c>
      <c r="K28" s="51">
        <v>5883.7737392</v>
      </c>
      <c r="M28" s="51">
        <f t="shared" si="1"/>
        <v>0</v>
      </c>
      <c r="N28" s="41">
        <f t="shared" si="2"/>
        <v>1030444.2695052</v>
      </c>
      <c r="O28" s="33">
        <f t="shared" si="3"/>
        <v>1030444.2695052</v>
      </c>
      <c r="P28" s="41">
        <f t="shared" si="2"/>
        <v>52188.22626080002</v>
      </c>
      <c r="R28" s="65"/>
      <c r="S28" s="65">
        <f t="shared" si="43"/>
        <v>287060.1734484</v>
      </c>
      <c r="T28" s="20">
        <f t="shared" si="4"/>
        <v>287060.1734484</v>
      </c>
      <c r="U28" s="20">
        <f t="shared" si="21"/>
        <v>14538.5458736</v>
      </c>
      <c r="W28" s="65"/>
      <c r="X28" s="65">
        <f t="shared" si="44"/>
        <v>22148.073288</v>
      </c>
      <c r="Y28" s="20">
        <f t="shared" si="5"/>
        <v>22148.073288</v>
      </c>
      <c r="Z28" s="20">
        <f t="shared" si="22"/>
        <v>1121.718752</v>
      </c>
      <c r="AC28" s="33">
        <f t="shared" si="45"/>
        <v>27432.83565</v>
      </c>
      <c r="AD28" s="33">
        <f t="shared" si="88"/>
        <v>27432.83565</v>
      </c>
      <c r="AE28" s="20">
        <f t="shared" si="23"/>
        <v>1389.3726</v>
      </c>
      <c r="AG28" s="65"/>
      <c r="AH28" s="65">
        <f t="shared" si="46"/>
        <v>13592.124433800001</v>
      </c>
      <c r="AI28" s="20">
        <f t="shared" si="6"/>
        <v>13592.124433800001</v>
      </c>
      <c r="AJ28" s="20">
        <f t="shared" si="24"/>
        <v>688.3912952</v>
      </c>
      <c r="AL28" s="65"/>
      <c r="AM28" s="65">
        <f t="shared" si="47"/>
        <v>247799.2851576</v>
      </c>
      <c r="AN28" s="20">
        <f t="shared" si="7"/>
        <v>247799.2851576</v>
      </c>
      <c r="AO28" s="20">
        <f t="shared" si="25"/>
        <v>12550.1257504</v>
      </c>
      <c r="AP28" s="33"/>
      <c r="AQ28" s="65"/>
      <c r="AR28" s="65">
        <f t="shared" si="48"/>
        <v>32675.746454999997</v>
      </c>
      <c r="AS28" s="20">
        <f t="shared" si="8"/>
        <v>32675.746454999997</v>
      </c>
      <c r="AT28" s="20">
        <f t="shared" si="26"/>
        <v>1654.90682</v>
      </c>
      <c r="AU28" s="33"/>
      <c r="AV28" s="51"/>
      <c r="AW28" s="51">
        <f t="shared" si="49"/>
        <v>9692.361954</v>
      </c>
      <c r="AX28" s="33">
        <f t="shared" si="9"/>
        <v>9692.361954</v>
      </c>
      <c r="AY28" s="20">
        <f t="shared" si="27"/>
        <v>490.88261600000004</v>
      </c>
      <c r="AZ28" s="33"/>
      <c r="BA28" s="33"/>
      <c r="BB28" s="33">
        <f t="shared" si="50"/>
        <v>4262.552415</v>
      </c>
      <c r="BC28" s="33">
        <f t="shared" si="51"/>
        <v>4262.552415</v>
      </c>
      <c r="BD28" s="20">
        <f t="shared" si="28"/>
        <v>215.88266</v>
      </c>
      <c r="BE28" s="33"/>
      <c r="BF28" s="51"/>
      <c r="BG28" s="51">
        <f t="shared" si="52"/>
        <v>37355.782483799994</v>
      </c>
      <c r="BH28" s="33">
        <f t="shared" si="10"/>
        <v>37355.782483799994</v>
      </c>
      <c r="BI28" s="20">
        <f t="shared" si="29"/>
        <v>1891.9334952</v>
      </c>
      <c r="BJ28" s="33"/>
      <c r="BK28" s="51"/>
      <c r="BL28" s="51">
        <f t="shared" si="53"/>
        <v>2892.9172140000005</v>
      </c>
      <c r="BM28" s="33">
        <f t="shared" si="11"/>
        <v>2892.9172140000005</v>
      </c>
      <c r="BN28" s="20">
        <f t="shared" si="30"/>
        <v>146.515656</v>
      </c>
      <c r="BO28" s="33"/>
      <c r="BP28" s="51"/>
      <c r="BQ28" s="51">
        <f t="shared" si="54"/>
        <v>124590.59458559999</v>
      </c>
      <c r="BR28" s="33">
        <f t="shared" si="12"/>
        <v>124590.59458559999</v>
      </c>
      <c r="BS28" s="20">
        <f t="shared" si="31"/>
        <v>6310.0570624</v>
      </c>
      <c r="BT28" s="33"/>
      <c r="BU28" s="51"/>
      <c r="BV28" s="51">
        <f t="shared" si="55"/>
        <v>5291.1834228</v>
      </c>
      <c r="BW28" s="33">
        <f t="shared" si="13"/>
        <v>5291.1834228</v>
      </c>
      <c r="BX28" s="20">
        <f t="shared" si="32"/>
        <v>267.9790512</v>
      </c>
      <c r="BY28" s="33"/>
      <c r="BZ28" s="33"/>
      <c r="CA28" s="33">
        <f t="shared" si="56"/>
        <v>14.5620486</v>
      </c>
      <c r="CB28" s="33">
        <f t="shared" si="57"/>
        <v>14.5620486</v>
      </c>
      <c r="CC28" s="20">
        <f t="shared" si="33"/>
        <v>0.7375144</v>
      </c>
      <c r="CD28" s="33"/>
      <c r="CE28" s="51"/>
      <c r="CF28" s="51">
        <f t="shared" si="58"/>
        <v>3674.7960282</v>
      </c>
      <c r="CG28" s="33">
        <f t="shared" si="14"/>
        <v>3674.7960282</v>
      </c>
      <c r="CH28" s="20">
        <f t="shared" si="34"/>
        <v>186.1149528</v>
      </c>
      <c r="CI28" s="33"/>
      <c r="CJ28" s="51"/>
      <c r="CK28" s="51">
        <f t="shared" si="59"/>
        <v>9388.8521694</v>
      </c>
      <c r="CL28" s="33">
        <f t="shared" si="15"/>
        <v>9388.8521694</v>
      </c>
      <c r="CM28" s="20">
        <f t="shared" si="35"/>
        <v>475.51095760000004</v>
      </c>
      <c r="CN28" s="33"/>
      <c r="CO28" s="51"/>
      <c r="CP28" s="51">
        <f t="shared" si="60"/>
        <v>15868.5051492</v>
      </c>
      <c r="CQ28" s="33">
        <f t="shared" si="16"/>
        <v>15868.5051492</v>
      </c>
      <c r="CR28" s="20">
        <f t="shared" si="36"/>
        <v>803.6816368</v>
      </c>
      <c r="CS28" s="33"/>
      <c r="CT28" s="51"/>
      <c r="CU28" s="51">
        <f t="shared" si="61"/>
        <v>130535.8089156</v>
      </c>
      <c r="CV28" s="33">
        <f t="shared" si="17"/>
        <v>130535.8089156</v>
      </c>
      <c r="CW28" s="20">
        <f t="shared" si="37"/>
        <v>6611.1603824</v>
      </c>
      <c r="CX28" s="33"/>
      <c r="CY28" s="51"/>
      <c r="CZ28" s="51">
        <f t="shared" si="62"/>
        <v>2450.895975</v>
      </c>
      <c r="DA28" s="33">
        <f t="shared" si="18"/>
        <v>2450.895975</v>
      </c>
      <c r="DB28" s="20">
        <f t="shared" si="38"/>
        <v>124.1289</v>
      </c>
      <c r="DC28" s="33"/>
      <c r="DD28" s="51"/>
      <c r="DE28" s="51">
        <f t="shared" si="63"/>
        <v>11680.3682424</v>
      </c>
      <c r="DF28" s="33">
        <f t="shared" si="19"/>
        <v>11680.3682424</v>
      </c>
      <c r="DG28" s="20">
        <f t="shared" si="39"/>
        <v>591.5678495999999</v>
      </c>
      <c r="DH28" s="33"/>
      <c r="DI28" s="33"/>
      <c r="DJ28" s="33">
        <f t="shared" si="64"/>
        <v>21032.6432976</v>
      </c>
      <c r="DK28" s="33">
        <f t="shared" si="65"/>
        <v>21032.6432976</v>
      </c>
      <c r="DL28" s="20">
        <f t="shared" si="40"/>
        <v>1065.2263104</v>
      </c>
      <c r="DM28" s="33"/>
      <c r="DN28" s="51"/>
      <c r="DO28" s="51">
        <f t="shared" si="66"/>
        <v>21004.207171199996</v>
      </c>
      <c r="DP28" s="33">
        <f t="shared" si="20"/>
        <v>21004.207171199996</v>
      </c>
      <c r="DQ28" s="20">
        <f t="shared" si="41"/>
        <v>1063.7861248</v>
      </c>
      <c r="DR28" s="33"/>
      <c r="DS28" s="33"/>
      <c r="DT28" s="33"/>
      <c r="DU28" s="33"/>
    </row>
    <row r="29" spans="1:125" ht="12.75">
      <c r="A29" s="52">
        <v>43922</v>
      </c>
      <c r="C29" s="35">
        <v>4720000</v>
      </c>
      <c r="D29" s="35">
        <v>1146618</v>
      </c>
      <c r="E29" s="35">
        <f t="shared" si="0"/>
        <v>5866618</v>
      </c>
      <c r="F29" s="35">
        <v>58072</v>
      </c>
      <c r="H29" s="51">
        <v>478224</v>
      </c>
      <c r="I29" s="51">
        <v>116174</v>
      </c>
      <c r="J29" s="51">
        <f t="shared" si="42"/>
        <v>594398</v>
      </c>
      <c r="K29" s="51">
        <v>5883.7737392</v>
      </c>
      <c r="M29" s="51">
        <f t="shared" si="1"/>
        <v>4241776.208000001</v>
      </c>
      <c r="N29" s="41">
        <f t="shared" si="2"/>
        <v>1030444.2695052</v>
      </c>
      <c r="O29" s="33">
        <f t="shared" si="3"/>
        <v>5272220.477505201</v>
      </c>
      <c r="P29" s="41">
        <f t="shared" si="2"/>
        <v>52188.22626080002</v>
      </c>
      <c r="R29" s="65">
        <f t="shared" si="67"/>
        <v>1181669.936</v>
      </c>
      <c r="S29" s="65">
        <f t="shared" si="43"/>
        <v>287060.1734484</v>
      </c>
      <c r="T29" s="20">
        <f t="shared" si="4"/>
        <v>1468730.1094483999</v>
      </c>
      <c r="U29" s="20">
        <f t="shared" si="21"/>
        <v>14538.5458736</v>
      </c>
      <c r="W29" s="65">
        <f t="shared" si="68"/>
        <v>91171.52</v>
      </c>
      <c r="X29" s="65">
        <f t="shared" si="44"/>
        <v>22148.073288</v>
      </c>
      <c r="Y29" s="20">
        <f t="shared" si="5"/>
        <v>113319.593288</v>
      </c>
      <c r="Z29" s="20">
        <f t="shared" si="22"/>
        <v>1121.718752</v>
      </c>
      <c r="AB29" s="33">
        <f t="shared" si="69"/>
        <v>112926</v>
      </c>
      <c r="AC29" s="33">
        <f t="shared" si="45"/>
        <v>27432.83565</v>
      </c>
      <c r="AD29" s="33">
        <f t="shared" si="88"/>
        <v>140358.83565</v>
      </c>
      <c r="AE29" s="20">
        <f t="shared" si="23"/>
        <v>1389.3726</v>
      </c>
      <c r="AG29" s="65">
        <f t="shared" si="70"/>
        <v>55951.352</v>
      </c>
      <c r="AH29" s="65">
        <f t="shared" si="46"/>
        <v>13592.124433800001</v>
      </c>
      <c r="AI29" s="20">
        <f t="shared" si="6"/>
        <v>69543.4764338</v>
      </c>
      <c r="AJ29" s="20">
        <f t="shared" si="24"/>
        <v>688.3912952</v>
      </c>
      <c r="AL29" s="65">
        <f t="shared" si="71"/>
        <v>1020054.3039999999</v>
      </c>
      <c r="AM29" s="65">
        <f t="shared" si="47"/>
        <v>247799.2851576</v>
      </c>
      <c r="AN29" s="20">
        <f t="shared" si="7"/>
        <v>1267853.5891576</v>
      </c>
      <c r="AO29" s="20">
        <f t="shared" si="25"/>
        <v>12550.1257504</v>
      </c>
      <c r="AP29" s="33"/>
      <c r="AQ29" s="65">
        <f t="shared" si="72"/>
        <v>134508.19999999998</v>
      </c>
      <c r="AR29" s="65">
        <f t="shared" si="48"/>
        <v>32675.746454999997</v>
      </c>
      <c r="AS29" s="20">
        <f t="shared" si="8"/>
        <v>167183.94645499997</v>
      </c>
      <c r="AT29" s="20">
        <f t="shared" si="26"/>
        <v>1654.90682</v>
      </c>
      <c r="AU29" s="33"/>
      <c r="AV29" s="51">
        <f t="shared" si="73"/>
        <v>39898.16</v>
      </c>
      <c r="AW29" s="51">
        <f t="shared" si="49"/>
        <v>9692.361954</v>
      </c>
      <c r="AX29" s="33">
        <f t="shared" si="9"/>
        <v>49590.521954</v>
      </c>
      <c r="AY29" s="20">
        <f t="shared" si="27"/>
        <v>490.88261600000004</v>
      </c>
      <c r="AZ29" s="33"/>
      <c r="BA29" s="33">
        <f t="shared" si="74"/>
        <v>17546.600000000002</v>
      </c>
      <c r="BB29" s="33">
        <f t="shared" si="50"/>
        <v>4262.552415</v>
      </c>
      <c r="BC29" s="33">
        <f t="shared" si="51"/>
        <v>21809.152415000004</v>
      </c>
      <c r="BD29" s="20">
        <f t="shared" si="28"/>
        <v>215.88266</v>
      </c>
      <c r="BE29" s="33"/>
      <c r="BF29" s="51">
        <f t="shared" si="75"/>
        <v>153773.35199999998</v>
      </c>
      <c r="BG29" s="51">
        <f t="shared" si="52"/>
        <v>37355.782483799994</v>
      </c>
      <c r="BH29" s="33">
        <f t="shared" si="10"/>
        <v>191129.13448379998</v>
      </c>
      <c r="BI29" s="20">
        <f t="shared" si="29"/>
        <v>1891.9334952</v>
      </c>
      <c r="BJ29" s="33"/>
      <c r="BK29" s="51">
        <f t="shared" si="76"/>
        <v>11908.56</v>
      </c>
      <c r="BL29" s="51">
        <f t="shared" si="53"/>
        <v>2892.9172140000005</v>
      </c>
      <c r="BM29" s="33">
        <f t="shared" si="11"/>
        <v>14801.477214</v>
      </c>
      <c r="BN29" s="20">
        <f t="shared" si="30"/>
        <v>146.515656</v>
      </c>
      <c r="BO29" s="33"/>
      <c r="BP29" s="51">
        <f t="shared" si="77"/>
        <v>512871.424</v>
      </c>
      <c r="BQ29" s="51">
        <f t="shared" si="54"/>
        <v>124590.59458559999</v>
      </c>
      <c r="BR29" s="33">
        <f t="shared" si="12"/>
        <v>637462.0185856</v>
      </c>
      <c r="BS29" s="20">
        <f t="shared" si="31"/>
        <v>6310.0570624</v>
      </c>
      <c r="BT29" s="33"/>
      <c r="BU29" s="51">
        <f t="shared" si="78"/>
        <v>21780.911999999997</v>
      </c>
      <c r="BV29" s="51">
        <f t="shared" si="55"/>
        <v>5291.1834228</v>
      </c>
      <c r="BW29" s="33">
        <f t="shared" si="13"/>
        <v>27072.095422799997</v>
      </c>
      <c r="BX29" s="20">
        <f t="shared" si="32"/>
        <v>267.9790512</v>
      </c>
      <c r="BY29" s="33"/>
      <c r="BZ29" s="33">
        <f t="shared" si="79"/>
        <v>59.944</v>
      </c>
      <c r="CA29" s="33">
        <f t="shared" si="56"/>
        <v>14.5620486</v>
      </c>
      <c r="CB29" s="33">
        <f t="shared" si="57"/>
        <v>74.5060486</v>
      </c>
      <c r="CC29" s="20">
        <f t="shared" si="33"/>
        <v>0.7375144</v>
      </c>
      <c r="CD29" s="33"/>
      <c r="CE29" s="51">
        <f t="shared" si="80"/>
        <v>15127.128</v>
      </c>
      <c r="CF29" s="51">
        <f t="shared" si="58"/>
        <v>3674.7960282</v>
      </c>
      <c r="CG29" s="33">
        <f t="shared" si="14"/>
        <v>18801.9240282</v>
      </c>
      <c r="CH29" s="20">
        <f t="shared" si="34"/>
        <v>186.1149528</v>
      </c>
      <c r="CI29" s="33"/>
      <c r="CJ29" s="51">
        <f t="shared" si="81"/>
        <v>38648.776</v>
      </c>
      <c r="CK29" s="51">
        <f t="shared" si="59"/>
        <v>9388.8521694</v>
      </c>
      <c r="CL29" s="33">
        <f t="shared" si="15"/>
        <v>48037.6281694</v>
      </c>
      <c r="CM29" s="20">
        <f t="shared" si="35"/>
        <v>475.51095760000004</v>
      </c>
      <c r="CN29" s="33"/>
      <c r="CO29" s="51">
        <f t="shared" si="82"/>
        <v>65321.968</v>
      </c>
      <c r="CP29" s="51">
        <f t="shared" si="60"/>
        <v>15868.5051492</v>
      </c>
      <c r="CQ29" s="33">
        <f t="shared" si="16"/>
        <v>81190.4731492</v>
      </c>
      <c r="CR29" s="20">
        <f t="shared" si="36"/>
        <v>803.6816368</v>
      </c>
      <c r="CS29" s="33"/>
      <c r="CT29" s="51">
        <f t="shared" si="83"/>
        <v>537344.624</v>
      </c>
      <c r="CU29" s="51">
        <f t="shared" si="61"/>
        <v>130535.8089156</v>
      </c>
      <c r="CV29" s="33">
        <f t="shared" si="17"/>
        <v>667880.4329156</v>
      </c>
      <c r="CW29" s="20">
        <f t="shared" si="37"/>
        <v>6611.1603824</v>
      </c>
      <c r="CX29" s="33"/>
      <c r="CY29" s="51">
        <f t="shared" si="84"/>
        <v>10089</v>
      </c>
      <c r="CZ29" s="51">
        <f t="shared" si="62"/>
        <v>2450.895975</v>
      </c>
      <c r="DA29" s="33">
        <f t="shared" si="18"/>
        <v>12539.895975</v>
      </c>
      <c r="DB29" s="20">
        <f t="shared" si="38"/>
        <v>124.1289</v>
      </c>
      <c r="DC29" s="33"/>
      <c r="DD29" s="51">
        <f t="shared" si="85"/>
        <v>48081.696</v>
      </c>
      <c r="DE29" s="51">
        <f t="shared" si="63"/>
        <v>11680.3682424</v>
      </c>
      <c r="DF29" s="33">
        <f t="shared" si="19"/>
        <v>59762.0642424</v>
      </c>
      <c r="DG29" s="20">
        <f t="shared" si="39"/>
        <v>591.5678495999999</v>
      </c>
      <c r="DH29" s="33"/>
      <c r="DI29" s="33">
        <f t="shared" si="86"/>
        <v>86579.90400000001</v>
      </c>
      <c r="DJ29" s="33">
        <f t="shared" si="64"/>
        <v>21032.6432976</v>
      </c>
      <c r="DK29" s="33">
        <f t="shared" si="65"/>
        <v>107612.54729760002</v>
      </c>
      <c r="DL29" s="20">
        <f t="shared" si="40"/>
        <v>1065.2263104</v>
      </c>
      <c r="DM29" s="33"/>
      <c r="DN29" s="51">
        <f t="shared" si="87"/>
        <v>86462.84799999998</v>
      </c>
      <c r="DO29" s="51">
        <f t="shared" si="66"/>
        <v>21004.207171199996</v>
      </c>
      <c r="DP29" s="33">
        <f t="shared" si="20"/>
        <v>107467.05517119999</v>
      </c>
      <c r="DQ29" s="20">
        <f t="shared" si="41"/>
        <v>1063.7861248</v>
      </c>
      <c r="DR29" s="33"/>
      <c r="DS29" s="33"/>
      <c r="DT29" s="33"/>
      <c r="DU29" s="33"/>
    </row>
    <row r="30" spans="1:125" ht="12.75">
      <c r="A30" s="52">
        <v>44105</v>
      </c>
      <c r="D30" s="35">
        <v>1052218</v>
      </c>
      <c r="E30" s="35">
        <f t="shared" si="0"/>
        <v>1052218</v>
      </c>
      <c r="F30" s="35">
        <v>58072</v>
      </c>
      <c r="H30" s="51"/>
      <c r="I30" s="51">
        <v>106609</v>
      </c>
      <c r="J30" s="51">
        <f t="shared" si="42"/>
        <v>106609</v>
      </c>
      <c r="K30" s="51">
        <v>5883.7737392</v>
      </c>
      <c r="M30" s="51">
        <f t="shared" si="1"/>
        <v>0</v>
      </c>
      <c r="N30" s="41">
        <f t="shared" si="2"/>
        <v>945608.7453451998</v>
      </c>
      <c r="O30" s="33">
        <f t="shared" si="3"/>
        <v>945608.7453451998</v>
      </c>
      <c r="P30" s="41">
        <f t="shared" si="2"/>
        <v>52188.22626080002</v>
      </c>
      <c r="R30" s="65"/>
      <c r="S30" s="65">
        <f t="shared" si="43"/>
        <v>263426.7747284</v>
      </c>
      <c r="T30" s="20">
        <f t="shared" si="4"/>
        <v>263426.7747284</v>
      </c>
      <c r="U30" s="20">
        <f t="shared" si="21"/>
        <v>14538.5458736</v>
      </c>
      <c r="W30" s="65"/>
      <c r="X30" s="65">
        <f t="shared" si="44"/>
        <v>20324.642888</v>
      </c>
      <c r="Y30" s="20">
        <f t="shared" si="5"/>
        <v>20324.642888</v>
      </c>
      <c r="Z30" s="20">
        <f t="shared" si="22"/>
        <v>1121.718752</v>
      </c>
      <c r="AC30" s="33">
        <f t="shared" si="45"/>
        <v>25174.31565</v>
      </c>
      <c r="AD30" s="33">
        <f t="shared" si="88"/>
        <v>25174.31565</v>
      </c>
      <c r="AE30" s="20">
        <f t="shared" si="23"/>
        <v>1389.3726</v>
      </c>
      <c r="AG30" s="65"/>
      <c r="AH30" s="65">
        <f t="shared" si="46"/>
        <v>12473.097393800002</v>
      </c>
      <c r="AI30" s="20">
        <f t="shared" si="6"/>
        <v>12473.097393800002</v>
      </c>
      <c r="AJ30" s="20">
        <f t="shared" si="24"/>
        <v>688.3912952</v>
      </c>
      <c r="AL30" s="65"/>
      <c r="AM30" s="65">
        <f t="shared" si="47"/>
        <v>227398.19907759997</v>
      </c>
      <c r="AN30" s="20">
        <f t="shared" si="7"/>
        <v>227398.19907759997</v>
      </c>
      <c r="AO30" s="20">
        <f t="shared" si="25"/>
        <v>12550.1257504</v>
      </c>
      <c r="AP30" s="33"/>
      <c r="AQ30" s="65"/>
      <c r="AR30" s="65">
        <f t="shared" si="48"/>
        <v>29985.582454999996</v>
      </c>
      <c r="AS30" s="20">
        <f t="shared" si="8"/>
        <v>29985.582454999996</v>
      </c>
      <c r="AT30" s="20">
        <f t="shared" si="26"/>
        <v>1654.90682</v>
      </c>
      <c r="AU30" s="33"/>
      <c r="AV30" s="51"/>
      <c r="AW30" s="51">
        <f t="shared" si="49"/>
        <v>8894.398754</v>
      </c>
      <c r="AX30" s="33">
        <f t="shared" si="9"/>
        <v>8894.398754</v>
      </c>
      <c r="AY30" s="20">
        <f t="shared" si="27"/>
        <v>490.88261600000004</v>
      </c>
      <c r="AZ30" s="33"/>
      <c r="BA30" s="33"/>
      <c r="BB30" s="33">
        <f t="shared" si="50"/>
        <v>3911.6204150000003</v>
      </c>
      <c r="BC30" s="33">
        <f t="shared" si="51"/>
        <v>3911.6204150000003</v>
      </c>
      <c r="BD30" s="20">
        <f t="shared" si="28"/>
        <v>215.88266</v>
      </c>
      <c r="BE30" s="33"/>
      <c r="BF30" s="51"/>
      <c r="BG30" s="51">
        <f t="shared" si="52"/>
        <v>34280.3154438</v>
      </c>
      <c r="BH30" s="33">
        <f t="shared" si="10"/>
        <v>34280.3154438</v>
      </c>
      <c r="BI30" s="20">
        <f t="shared" si="29"/>
        <v>1891.9334952</v>
      </c>
      <c r="BJ30" s="33"/>
      <c r="BK30" s="51"/>
      <c r="BL30" s="51">
        <f t="shared" si="53"/>
        <v>2654.7460140000003</v>
      </c>
      <c r="BM30" s="33">
        <f t="shared" si="11"/>
        <v>2654.7460140000003</v>
      </c>
      <c r="BN30" s="20">
        <f t="shared" si="30"/>
        <v>146.515656</v>
      </c>
      <c r="BO30" s="33"/>
      <c r="BP30" s="51"/>
      <c r="BQ30" s="51">
        <f t="shared" si="54"/>
        <v>114333.1661056</v>
      </c>
      <c r="BR30" s="33">
        <f t="shared" si="12"/>
        <v>114333.1661056</v>
      </c>
      <c r="BS30" s="20">
        <f t="shared" si="31"/>
        <v>6310.0570624</v>
      </c>
      <c r="BT30" s="33"/>
      <c r="BU30" s="51"/>
      <c r="BV30" s="51">
        <f t="shared" si="55"/>
        <v>4855.5651828</v>
      </c>
      <c r="BW30" s="33">
        <f t="shared" si="13"/>
        <v>4855.5651828</v>
      </c>
      <c r="BX30" s="20">
        <f t="shared" si="32"/>
        <v>267.9790512</v>
      </c>
      <c r="BY30" s="33"/>
      <c r="BZ30" s="33"/>
      <c r="CA30" s="33">
        <f t="shared" si="56"/>
        <v>13.363168600000002</v>
      </c>
      <c r="CB30" s="33">
        <f t="shared" si="57"/>
        <v>13.363168600000002</v>
      </c>
      <c r="CC30" s="20">
        <f t="shared" si="33"/>
        <v>0.7375144</v>
      </c>
      <c r="CD30" s="33"/>
      <c r="CE30" s="51"/>
      <c r="CF30" s="51">
        <f t="shared" si="58"/>
        <v>3372.2534681999996</v>
      </c>
      <c r="CG30" s="33">
        <f t="shared" si="14"/>
        <v>3372.2534681999996</v>
      </c>
      <c r="CH30" s="20">
        <f t="shared" si="34"/>
        <v>186.1149528</v>
      </c>
      <c r="CI30" s="33"/>
      <c r="CJ30" s="51"/>
      <c r="CK30" s="51">
        <f t="shared" si="59"/>
        <v>8615.8766494</v>
      </c>
      <c r="CL30" s="33">
        <f t="shared" si="15"/>
        <v>8615.8766494</v>
      </c>
      <c r="CM30" s="20">
        <f t="shared" si="35"/>
        <v>475.51095760000004</v>
      </c>
      <c r="CN30" s="33"/>
      <c r="CO30" s="51"/>
      <c r="CP30" s="51">
        <f t="shared" si="60"/>
        <v>14562.0657892</v>
      </c>
      <c r="CQ30" s="33">
        <f t="shared" si="16"/>
        <v>14562.0657892</v>
      </c>
      <c r="CR30" s="20">
        <f t="shared" si="36"/>
        <v>803.6816368</v>
      </c>
      <c r="CS30" s="33"/>
      <c r="CT30" s="51"/>
      <c r="CU30" s="51">
        <f t="shared" si="61"/>
        <v>119788.9164356</v>
      </c>
      <c r="CV30" s="33">
        <f t="shared" si="17"/>
        <v>119788.9164356</v>
      </c>
      <c r="CW30" s="20">
        <f t="shared" si="37"/>
        <v>6611.1603824</v>
      </c>
      <c r="CX30" s="33"/>
      <c r="CY30" s="51"/>
      <c r="CZ30" s="51">
        <f t="shared" si="62"/>
        <v>2249.115975</v>
      </c>
      <c r="DA30" s="33">
        <f t="shared" si="18"/>
        <v>2249.115975</v>
      </c>
      <c r="DB30" s="20">
        <f t="shared" si="38"/>
        <v>124.1289</v>
      </c>
      <c r="DC30" s="33"/>
      <c r="DD30" s="51"/>
      <c r="DE30" s="51">
        <f t="shared" si="63"/>
        <v>10718.7343224</v>
      </c>
      <c r="DF30" s="33">
        <f t="shared" si="19"/>
        <v>10718.7343224</v>
      </c>
      <c r="DG30" s="20">
        <f t="shared" si="39"/>
        <v>591.5678495999999</v>
      </c>
      <c r="DH30" s="33"/>
      <c r="DI30" s="33"/>
      <c r="DJ30" s="33">
        <f t="shared" si="64"/>
        <v>19301.0452176</v>
      </c>
      <c r="DK30" s="33">
        <f t="shared" si="65"/>
        <v>19301.0452176</v>
      </c>
      <c r="DL30" s="20">
        <f t="shared" si="40"/>
        <v>1065.2263104</v>
      </c>
      <c r="DM30" s="33"/>
      <c r="DN30" s="51"/>
      <c r="DO30" s="51">
        <f t="shared" si="66"/>
        <v>19274.9502112</v>
      </c>
      <c r="DP30" s="33">
        <f t="shared" si="20"/>
        <v>19274.9502112</v>
      </c>
      <c r="DQ30" s="20">
        <f t="shared" si="41"/>
        <v>1063.7861248</v>
      </c>
      <c r="DR30" s="33"/>
      <c r="DS30" s="33"/>
      <c r="DT30" s="33"/>
      <c r="DU30" s="33"/>
    </row>
    <row r="31" spans="1:125" ht="12.75">
      <c r="A31" s="52">
        <v>44287</v>
      </c>
      <c r="C31" s="35">
        <v>4910000</v>
      </c>
      <c r="D31" s="35">
        <v>1052218</v>
      </c>
      <c r="E31" s="35">
        <f t="shared" si="0"/>
        <v>5962218</v>
      </c>
      <c r="F31" s="35">
        <v>58072</v>
      </c>
      <c r="H31" s="51">
        <v>497474</v>
      </c>
      <c r="I31" s="51">
        <v>106609</v>
      </c>
      <c r="J31" s="51">
        <f t="shared" si="42"/>
        <v>604083</v>
      </c>
      <c r="K31" s="51">
        <v>5883.7737392</v>
      </c>
      <c r="M31" s="51">
        <f t="shared" si="1"/>
        <v>4412525.673999999</v>
      </c>
      <c r="N31" s="41">
        <f t="shared" si="2"/>
        <v>945608.7453451998</v>
      </c>
      <c r="O31" s="33">
        <f t="shared" si="3"/>
        <v>5358134.419345198</v>
      </c>
      <c r="P31" s="41">
        <f t="shared" si="2"/>
        <v>52188.22626080002</v>
      </c>
      <c r="R31" s="65">
        <f t="shared" si="67"/>
        <v>1229237.158</v>
      </c>
      <c r="S31" s="65">
        <f t="shared" si="43"/>
        <v>263426.7747284</v>
      </c>
      <c r="T31" s="20">
        <f t="shared" si="4"/>
        <v>1492663.9327284</v>
      </c>
      <c r="U31" s="20">
        <f t="shared" si="21"/>
        <v>14538.5458736</v>
      </c>
      <c r="W31" s="65">
        <f t="shared" si="68"/>
        <v>94841.56</v>
      </c>
      <c r="X31" s="65">
        <f t="shared" si="44"/>
        <v>20324.642888</v>
      </c>
      <c r="Y31" s="20">
        <f t="shared" si="5"/>
        <v>115166.202888</v>
      </c>
      <c r="Z31" s="20">
        <f t="shared" si="22"/>
        <v>1121.718752</v>
      </c>
      <c r="AB31" s="33">
        <f t="shared" si="69"/>
        <v>117471.75</v>
      </c>
      <c r="AC31" s="33">
        <f t="shared" si="45"/>
        <v>25174.31565</v>
      </c>
      <c r="AD31" s="33">
        <f t="shared" si="88"/>
        <v>142646.06565</v>
      </c>
      <c r="AE31" s="20">
        <f t="shared" si="23"/>
        <v>1389.3726</v>
      </c>
      <c r="AG31" s="65">
        <f t="shared" si="70"/>
        <v>58203.63100000001</v>
      </c>
      <c r="AH31" s="65">
        <f t="shared" si="46"/>
        <v>12473.097393800002</v>
      </c>
      <c r="AI31" s="20">
        <f t="shared" si="6"/>
        <v>70676.7283938</v>
      </c>
      <c r="AJ31" s="20">
        <f t="shared" si="24"/>
        <v>688.3912952</v>
      </c>
      <c r="AL31" s="65">
        <f t="shared" si="71"/>
        <v>1061115.812</v>
      </c>
      <c r="AM31" s="65">
        <f t="shared" si="47"/>
        <v>227398.19907759997</v>
      </c>
      <c r="AN31" s="20">
        <f t="shared" si="7"/>
        <v>1288514.0110775998</v>
      </c>
      <c r="AO31" s="20">
        <f t="shared" si="25"/>
        <v>12550.1257504</v>
      </c>
      <c r="AP31" s="33"/>
      <c r="AQ31" s="65">
        <f t="shared" si="72"/>
        <v>139922.72499999998</v>
      </c>
      <c r="AR31" s="65">
        <f t="shared" si="48"/>
        <v>29985.582454999996</v>
      </c>
      <c r="AS31" s="20">
        <f t="shared" si="8"/>
        <v>169908.30745499997</v>
      </c>
      <c r="AT31" s="20">
        <f t="shared" si="26"/>
        <v>1654.90682</v>
      </c>
      <c r="AU31" s="33"/>
      <c r="AV31" s="51">
        <f t="shared" si="73"/>
        <v>41504.23</v>
      </c>
      <c r="AW31" s="51">
        <f t="shared" si="49"/>
        <v>8894.398754</v>
      </c>
      <c r="AX31" s="33">
        <f t="shared" si="9"/>
        <v>50398.628754000005</v>
      </c>
      <c r="AY31" s="20">
        <f t="shared" si="27"/>
        <v>490.88261600000004</v>
      </c>
      <c r="AZ31" s="33"/>
      <c r="BA31" s="33">
        <f t="shared" si="74"/>
        <v>18252.925000000003</v>
      </c>
      <c r="BB31" s="33">
        <f t="shared" si="50"/>
        <v>3911.6204150000003</v>
      </c>
      <c r="BC31" s="33">
        <f t="shared" si="51"/>
        <v>22164.545415000004</v>
      </c>
      <c r="BD31" s="20">
        <f t="shared" si="28"/>
        <v>215.88266</v>
      </c>
      <c r="BE31" s="33"/>
      <c r="BF31" s="51">
        <f t="shared" si="75"/>
        <v>159963.381</v>
      </c>
      <c r="BG31" s="51">
        <f t="shared" si="52"/>
        <v>34280.3154438</v>
      </c>
      <c r="BH31" s="33">
        <f t="shared" si="10"/>
        <v>194243.6964438</v>
      </c>
      <c r="BI31" s="20">
        <f t="shared" si="29"/>
        <v>1891.9334952</v>
      </c>
      <c r="BJ31" s="33"/>
      <c r="BK31" s="51">
        <f t="shared" si="76"/>
        <v>12387.930000000002</v>
      </c>
      <c r="BL31" s="51">
        <f t="shared" si="53"/>
        <v>2654.7460140000003</v>
      </c>
      <c r="BM31" s="33">
        <f t="shared" si="11"/>
        <v>15042.676014000002</v>
      </c>
      <c r="BN31" s="20">
        <f t="shared" si="30"/>
        <v>146.515656</v>
      </c>
      <c r="BO31" s="33"/>
      <c r="BP31" s="51">
        <f t="shared" si="77"/>
        <v>533516.6719999999</v>
      </c>
      <c r="BQ31" s="51">
        <f t="shared" si="54"/>
        <v>114333.1661056</v>
      </c>
      <c r="BR31" s="33">
        <f t="shared" si="12"/>
        <v>647849.8381055999</v>
      </c>
      <c r="BS31" s="20">
        <f t="shared" si="31"/>
        <v>6310.0570624</v>
      </c>
      <c r="BT31" s="33"/>
      <c r="BU31" s="51">
        <f t="shared" si="78"/>
        <v>22657.686</v>
      </c>
      <c r="BV31" s="51">
        <f t="shared" si="55"/>
        <v>4855.5651828</v>
      </c>
      <c r="BW31" s="33">
        <f t="shared" si="13"/>
        <v>27513.251182800002</v>
      </c>
      <c r="BX31" s="20">
        <f t="shared" si="32"/>
        <v>267.9790512</v>
      </c>
      <c r="BY31" s="33"/>
      <c r="BZ31" s="33">
        <f t="shared" si="79"/>
        <v>62.357000000000006</v>
      </c>
      <c r="CA31" s="33">
        <f t="shared" si="56"/>
        <v>13.363168600000002</v>
      </c>
      <c r="CB31" s="33">
        <f t="shared" si="57"/>
        <v>75.72016860000001</v>
      </c>
      <c r="CC31" s="20">
        <f t="shared" si="33"/>
        <v>0.7375144</v>
      </c>
      <c r="CD31" s="33"/>
      <c r="CE31" s="51">
        <f t="shared" si="80"/>
        <v>15736.059</v>
      </c>
      <c r="CF31" s="51">
        <f t="shared" si="58"/>
        <v>3372.2534681999996</v>
      </c>
      <c r="CG31" s="33">
        <f t="shared" si="14"/>
        <v>19108.312468199998</v>
      </c>
      <c r="CH31" s="20">
        <f t="shared" si="34"/>
        <v>186.1149528</v>
      </c>
      <c r="CI31" s="33"/>
      <c r="CJ31" s="51">
        <f t="shared" si="81"/>
        <v>40204.553</v>
      </c>
      <c r="CK31" s="51">
        <f t="shared" si="59"/>
        <v>8615.8766494</v>
      </c>
      <c r="CL31" s="33">
        <f t="shared" si="15"/>
        <v>48820.4296494</v>
      </c>
      <c r="CM31" s="20">
        <f t="shared" si="35"/>
        <v>475.51095760000004</v>
      </c>
      <c r="CN31" s="33"/>
      <c r="CO31" s="51">
        <f t="shared" si="82"/>
        <v>67951.454</v>
      </c>
      <c r="CP31" s="51">
        <f t="shared" si="60"/>
        <v>14562.0657892</v>
      </c>
      <c r="CQ31" s="33">
        <f t="shared" si="16"/>
        <v>82513.5197892</v>
      </c>
      <c r="CR31" s="20">
        <f t="shared" si="36"/>
        <v>803.6816368</v>
      </c>
      <c r="CS31" s="33"/>
      <c r="CT31" s="51">
        <f t="shared" si="83"/>
        <v>558975.022</v>
      </c>
      <c r="CU31" s="51">
        <f t="shared" si="61"/>
        <v>119788.9164356</v>
      </c>
      <c r="CV31" s="33">
        <f t="shared" si="17"/>
        <v>678763.9384356</v>
      </c>
      <c r="CW31" s="20">
        <f t="shared" si="37"/>
        <v>6611.1603824</v>
      </c>
      <c r="CX31" s="33"/>
      <c r="CY31" s="51">
        <f t="shared" si="84"/>
        <v>10495.125</v>
      </c>
      <c r="CZ31" s="51">
        <f t="shared" si="62"/>
        <v>2249.115975</v>
      </c>
      <c r="DA31" s="33">
        <f t="shared" si="18"/>
        <v>12744.240975</v>
      </c>
      <c r="DB31" s="20">
        <f t="shared" si="38"/>
        <v>124.1289</v>
      </c>
      <c r="DC31" s="33"/>
      <c r="DD31" s="51">
        <f t="shared" si="85"/>
        <v>50017.187999999995</v>
      </c>
      <c r="DE31" s="51">
        <f t="shared" si="63"/>
        <v>10718.7343224</v>
      </c>
      <c r="DF31" s="33">
        <f t="shared" si="19"/>
        <v>60735.922322399994</v>
      </c>
      <c r="DG31" s="20">
        <f t="shared" si="39"/>
        <v>591.5678495999999</v>
      </c>
      <c r="DH31" s="33"/>
      <c r="DI31" s="33">
        <f t="shared" si="86"/>
        <v>90065.112</v>
      </c>
      <c r="DJ31" s="33">
        <f t="shared" si="64"/>
        <v>19301.0452176</v>
      </c>
      <c r="DK31" s="33">
        <f t="shared" si="65"/>
        <v>109366.15721759999</v>
      </c>
      <c r="DL31" s="20">
        <f t="shared" si="40"/>
        <v>1065.2263104</v>
      </c>
      <c r="DM31" s="33"/>
      <c r="DN31" s="51">
        <f t="shared" si="87"/>
        <v>89943.344</v>
      </c>
      <c r="DO31" s="51">
        <f t="shared" si="66"/>
        <v>19274.9502112</v>
      </c>
      <c r="DP31" s="33">
        <f t="shared" si="20"/>
        <v>109218.2942112</v>
      </c>
      <c r="DQ31" s="20">
        <f t="shared" si="41"/>
        <v>1063.7861248</v>
      </c>
      <c r="DR31" s="33"/>
      <c r="DS31" s="33"/>
      <c r="DT31" s="33"/>
      <c r="DU31" s="33"/>
    </row>
    <row r="32" spans="1:125" ht="12.75">
      <c r="A32" s="52">
        <v>44470</v>
      </c>
      <c r="D32" s="35">
        <v>954018</v>
      </c>
      <c r="E32" s="35">
        <f t="shared" si="0"/>
        <v>954018</v>
      </c>
      <c r="F32" s="35">
        <v>58072</v>
      </c>
      <c r="H32" s="51"/>
      <c r="I32" s="51">
        <v>96660</v>
      </c>
      <c r="J32" s="51">
        <f t="shared" si="42"/>
        <v>96660</v>
      </c>
      <c r="K32" s="51">
        <v>5883.7737392</v>
      </c>
      <c r="M32" s="51">
        <f t="shared" si="1"/>
        <v>0</v>
      </c>
      <c r="N32" s="41">
        <f t="shared" si="2"/>
        <v>857358.2318651999</v>
      </c>
      <c r="O32" s="33">
        <f t="shared" si="3"/>
        <v>857358.2318651999</v>
      </c>
      <c r="P32" s="41">
        <f t="shared" si="2"/>
        <v>52188.22626080002</v>
      </c>
      <c r="R32" s="65"/>
      <c r="S32" s="65">
        <f t="shared" si="43"/>
        <v>238842.0315684</v>
      </c>
      <c r="T32" s="20">
        <f t="shared" si="4"/>
        <v>238842.0315684</v>
      </c>
      <c r="U32" s="20">
        <f t="shared" si="21"/>
        <v>14538.5458736</v>
      </c>
      <c r="W32" s="65"/>
      <c r="X32" s="65">
        <f t="shared" si="44"/>
        <v>18427.811687999998</v>
      </c>
      <c r="Y32" s="20">
        <f t="shared" si="5"/>
        <v>18427.811687999998</v>
      </c>
      <c r="Z32" s="20">
        <f t="shared" si="22"/>
        <v>1121.718752</v>
      </c>
      <c r="AC32" s="33">
        <f t="shared" si="45"/>
        <v>22824.88065</v>
      </c>
      <c r="AD32" s="33">
        <f t="shared" si="88"/>
        <v>22824.88065</v>
      </c>
      <c r="AE32" s="20">
        <f t="shared" si="23"/>
        <v>1389.3726</v>
      </c>
      <c r="AG32" s="65"/>
      <c r="AH32" s="65">
        <f t="shared" si="46"/>
        <v>11309.0247738</v>
      </c>
      <c r="AI32" s="20">
        <f t="shared" si="6"/>
        <v>11309.0247738</v>
      </c>
      <c r="AJ32" s="20">
        <f t="shared" si="24"/>
        <v>688.3912952</v>
      </c>
      <c r="AL32" s="65"/>
      <c r="AM32" s="65">
        <f t="shared" si="47"/>
        <v>206175.8828376</v>
      </c>
      <c r="AN32" s="20">
        <f t="shared" si="7"/>
        <v>206175.8828376</v>
      </c>
      <c r="AO32" s="20">
        <f t="shared" si="25"/>
        <v>12550.1257504</v>
      </c>
      <c r="AP32" s="33"/>
      <c r="AQ32" s="65"/>
      <c r="AR32" s="65">
        <f t="shared" si="48"/>
        <v>27187.127955</v>
      </c>
      <c r="AS32" s="20">
        <f t="shared" si="8"/>
        <v>27187.127955</v>
      </c>
      <c r="AT32" s="20">
        <f t="shared" si="26"/>
        <v>1654.90682</v>
      </c>
      <c r="AU32" s="33"/>
      <c r="AV32" s="51"/>
      <c r="AW32" s="51">
        <f t="shared" si="49"/>
        <v>8064.314154000001</v>
      </c>
      <c r="AX32" s="33">
        <f t="shared" si="9"/>
        <v>8064.314154000001</v>
      </c>
      <c r="AY32" s="20">
        <f t="shared" si="27"/>
        <v>490.88261600000004</v>
      </c>
      <c r="AZ32" s="33"/>
      <c r="BA32" s="33"/>
      <c r="BB32" s="33">
        <f t="shared" si="50"/>
        <v>3546.561915</v>
      </c>
      <c r="BC32" s="33">
        <f t="shared" si="51"/>
        <v>3546.561915</v>
      </c>
      <c r="BD32" s="20">
        <f t="shared" si="28"/>
        <v>215.88266</v>
      </c>
      <c r="BE32" s="33"/>
      <c r="BF32" s="51"/>
      <c r="BG32" s="51">
        <f t="shared" si="52"/>
        <v>31081.047823799996</v>
      </c>
      <c r="BH32" s="33">
        <f t="shared" si="10"/>
        <v>31081.047823799996</v>
      </c>
      <c r="BI32" s="20">
        <f t="shared" si="29"/>
        <v>1891.9334952</v>
      </c>
      <c r="BJ32" s="33"/>
      <c r="BK32" s="51"/>
      <c r="BL32" s="51">
        <f t="shared" si="53"/>
        <v>2406.987414</v>
      </c>
      <c r="BM32" s="33">
        <f t="shared" si="11"/>
        <v>2406.987414</v>
      </c>
      <c r="BN32" s="20">
        <f t="shared" si="30"/>
        <v>146.515656</v>
      </c>
      <c r="BO32" s="33"/>
      <c r="BP32" s="51"/>
      <c r="BQ32" s="51">
        <f t="shared" si="54"/>
        <v>103662.8326656</v>
      </c>
      <c r="BR32" s="33">
        <f t="shared" si="12"/>
        <v>103662.8326656</v>
      </c>
      <c r="BS32" s="20">
        <f t="shared" si="31"/>
        <v>6310.0570624</v>
      </c>
      <c r="BT32" s="33"/>
      <c r="BU32" s="51"/>
      <c r="BV32" s="51">
        <f t="shared" si="55"/>
        <v>4402.4114628</v>
      </c>
      <c r="BW32" s="33">
        <f t="shared" si="13"/>
        <v>4402.4114628</v>
      </c>
      <c r="BX32" s="20">
        <f t="shared" si="32"/>
        <v>267.9790512</v>
      </c>
      <c r="BY32" s="33"/>
      <c r="BZ32" s="33"/>
      <c r="CA32" s="33">
        <f t="shared" si="56"/>
        <v>12.1160286</v>
      </c>
      <c r="CB32" s="33">
        <f t="shared" si="57"/>
        <v>12.1160286</v>
      </c>
      <c r="CC32" s="20">
        <f t="shared" si="33"/>
        <v>0.7375144</v>
      </c>
      <c r="CD32" s="33"/>
      <c r="CE32" s="51"/>
      <c r="CF32" s="51">
        <f t="shared" si="58"/>
        <v>3057.5322882</v>
      </c>
      <c r="CG32" s="33">
        <f t="shared" si="14"/>
        <v>3057.5322882</v>
      </c>
      <c r="CH32" s="20">
        <f t="shared" si="34"/>
        <v>186.1149528</v>
      </c>
      <c r="CI32" s="33"/>
      <c r="CJ32" s="51"/>
      <c r="CK32" s="51">
        <f t="shared" si="59"/>
        <v>7811.785589399999</v>
      </c>
      <c r="CL32" s="33">
        <f t="shared" si="15"/>
        <v>7811.785589399999</v>
      </c>
      <c r="CM32" s="20">
        <f t="shared" si="35"/>
        <v>475.51095760000004</v>
      </c>
      <c r="CN32" s="33"/>
      <c r="CO32" s="51"/>
      <c r="CP32" s="51">
        <f t="shared" si="60"/>
        <v>13203.0367092</v>
      </c>
      <c r="CQ32" s="33">
        <f t="shared" si="16"/>
        <v>13203.0367092</v>
      </c>
      <c r="CR32" s="20">
        <f t="shared" si="36"/>
        <v>803.6816368</v>
      </c>
      <c r="CS32" s="33"/>
      <c r="CT32" s="51"/>
      <c r="CU32" s="51">
        <f t="shared" si="61"/>
        <v>108609.4159956</v>
      </c>
      <c r="CV32" s="33">
        <f t="shared" si="17"/>
        <v>108609.4159956</v>
      </c>
      <c r="CW32" s="20">
        <f t="shared" si="37"/>
        <v>6611.1603824</v>
      </c>
      <c r="CX32" s="33"/>
      <c r="CY32" s="51"/>
      <c r="CZ32" s="51">
        <f t="shared" si="62"/>
        <v>2039.213475</v>
      </c>
      <c r="DA32" s="33">
        <f t="shared" si="18"/>
        <v>2039.213475</v>
      </c>
      <c r="DB32" s="20">
        <f t="shared" si="38"/>
        <v>124.1289</v>
      </c>
      <c r="DC32" s="33"/>
      <c r="DD32" s="51"/>
      <c r="DE32" s="51">
        <f t="shared" si="63"/>
        <v>9718.3905624</v>
      </c>
      <c r="DF32" s="33">
        <f t="shared" si="19"/>
        <v>9718.3905624</v>
      </c>
      <c r="DG32" s="20">
        <f t="shared" si="39"/>
        <v>591.5678495999999</v>
      </c>
      <c r="DH32" s="33"/>
      <c r="DI32" s="33"/>
      <c r="DJ32" s="33">
        <f t="shared" si="64"/>
        <v>17499.7429776</v>
      </c>
      <c r="DK32" s="33">
        <f t="shared" si="65"/>
        <v>17499.7429776</v>
      </c>
      <c r="DL32" s="20">
        <f t="shared" si="40"/>
        <v>1065.2263104</v>
      </c>
      <c r="DM32" s="33"/>
      <c r="DN32" s="51"/>
      <c r="DO32" s="51">
        <f t="shared" si="66"/>
        <v>17476.0833312</v>
      </c>
      <c r="DP32" s="33">
        <f t="shared" si="20"/>
        <v>17476.0833312</v>
      </c>
      <c r="DQ32" s="20">
        <f t="shared" si="41"/>
        <v>1063.7861248</v>
      </c>
      <c r="DR32" s="33"/>
      <c r="DS32" s="33"/>
      <c r="DT32" s="33"/>
      <c r="DU32" s="33"/>
    </row>
    <row r="33" spans="1:125" s="53" customFormat="1" ht="12.75">
      <c r="A33" s="52">
        <v>44652</v>
      </c>
      <c r="C33" s="41">
        <v>5105000</v>
      </c>
      <c r="D33" s="41">
        <v>954018</v>
      </c>
      <c r="E33" s="35">
        <f t="shared" si="0"/>
        <v>6059018</v>
      </c>
      <c r="F33" s="35">
        <v>58072</v>
      </c>
      <c r="G33" s="51"/>
      <c r="H33" s="51">
        <v>517231</v>
      </c>
      <c r="I33" s="51">
        <v>96660</v>
      </c>
      <c r="J33" s="51">
        <f t="shared" si="42"/>
        <v>613891</v>
      </c>
      <c r="K33" s="51">
        <v>5883.7737392</v>
      </c>
      <c r="L33" s="51"/>
      <c r="M33" s="51">
        <f t="shared" si="1"/>
        <v>4587768.546999999</v>
      </c>
      <c r="N33" s="41">
        <f t="shared" si="2"/>
        <v>857358.2318651999</v>
      </c>
      <c r="O33" s="33">
        <f t="shared" si="3"/>
        <v>5445126.7788652</v>
      </c>
      <c r="P33" s="41">
        <f t="shared" si="2"/>
        <v>52188.22626080002</v>
      </c>
      <c r="Q33" s="51"/>
      <c r="R33" s="65">
        <f t="shared" si="67"/>
        <v>1278056.149</v>
      </c>
      <c r="S33" s="65">
        <f t="shared" si="43"/>
        <v>238842.0315684</v>
      </c>
      <c r="T33" s="20">
        <f t="shared" si="4"/>
        <v>1516898.1805684</v>
      </c>
      <c r="U33" s="20">
        <f t="shared" si="21"/>
        <v>14538.5458736</v>
      </c>
      <c r="V33" s="51"/>
      <c r="W33" s="65">
        <f t="shared" si="68"/>
        <v>98608.18</v>
      </c>
      <c r="X33" s="65">
        <f t="shared" si="44"/>
        <v>18427.811687999998</v>
      </c>
      <c r="Y33" s="20">
        <f t="shared" si="5"/>
        <v>117035.991688</v>
      </c>
      <c r="Z33" s="20">
        <f t="shared" si="22"/>
        <v>1121.718752</v>
      </c>
      <c r="AA33" s="51"/>
      <c r="AB33" s="33">
        <f t="shared" si="69"/>
        <v>122137.125</v>
      </c>
      <c r="AC33" s="33">
        <f t="shared" si="45"/>
        <v>22824.88065</v>
      </c>
      <c r="AD33" s="33">
        <f t="shared" si="88"/>
        <v>144962.00565</v>
      </c>
      <c r="AE33" s="20">
        <f t="shared" si="23"/>
        <v>1389.3726</v>
      </c>
      <c r="AF33" s="51"/>
      <c r="AG33" s="65">
        <f t="shared" si="70"/>
        <v>60515.18050000001</v>
      </c>
      <c r="AH33" s="65">
        <f t="shared" si="46"/>
        <v>11309.0247738</v>
      </c>
      <c r="AI33" s="20">
        <f t="shared" si="6"/>
        <v>71824.2052738</v>
      </c>
      <c r="AJ33" s="20">
        <f t="shared" si="24"/>
        <v>688.3912952</v>
      </c>
      <c r="AK33" s="51"/>
      <c r="AL33" s="65">
        <f t="shared" si="71"/>
        <v>1103257.886</v>
      </c>
      <c r="AM33" s="65">
        <f t="shared" si="47"/>
        <v>206175.8828376</v>
      </c>
      <c r="AN33" s="20">
        <f t="shared" si="7"/>
        <v>1309433.7688376</v>
      </c>
      <c r="AO33" s="20">
        <f t="shared" si="25"/>
        <v>12550.1257504</v>
      </c>
      <c r="AP33" s="51"/>
      <c r="AQ33" s="65">
        <f t="shared" si="72"/>
        <v>145479.7375</v>
      </c>
      <c r="AR33" s="65">
        <f t="shared" si="48"/>
        <v>27187.127955</v>
      </c>
      <c r="AS33" s="20">
        <f t="shared" si="8"/>
        <v>172666.865455</v>
      </c>
      <c r="AT33" s="20">
        <f t="shared" si="26"/>
        <v>1654.90682</v>
      </c>
      <c r="AU33" s="51"/>
      <c r="AV33" s="51">
        <f t="shared" si="73"/>
        <v>43152.565</v>
      </c>
      <c r="AW33" s="51">
        <f t="shared" si="49"/>
        <v>8064.314154000001</v>
      </c>
      <c r="AX33" s="33">
        <f t="shared" si="9"/>
        <v>51216.879154</v>
      </c>
      <c r="AY33" s="20">
        <f t="shared" si="27"/>
        <v>490.88261600000004</v>
      </c>
      <c r="AZ33" s="51"/>
      <c r="BA33" s="33">
        <f t="shared" si="74"/>
        <v>18977.8375</v>
      </c>
      <c r="BB33" s="33">
        <f t="shared" si="50"/>
        <v>3546.561915</v>
      </c>
      <c r="BC33" s="33">
        <f t="shared" si="51"/>
        <v>22524.399415</v>
      </c>
      <c r="BD33" s="20">
        <f t="shared" si="28"/>
        <v>215.88266</v>
      </c>
      <c r="BE33" s="51"/>
      <c r="BF33" s="51">
        <f t="shared" si="75"/>
        <v>166316.3055</v>
      </c>
      <c r="BG33" s="51">
        <f t="shared" si="52"/>
        <v>31081.047823799996</v>
      </c>
      <c r="BH33" s="33">
        <f t="shared" si="10"/>
        <v>197397.3533238</v>
      </c>
      <c r="BI33" s="20">
        <f t="shared" si="29"/>
        <v>1891.9334952</v>
      </c>
      <c r="BJ33" s="51"/>
      <c r="BK33" s="51">
        <f t="shared" si="76"/>
        <v>12879.915000000003</v>
      </c>
      <c r="BL33" s="51">
        <f t="shared" si="53"/>
        <v>2406.987414</v>
      </c>
      <c r="BM33" s="33">
        <f t="shared" si="11"/>
        <v>15286.902414000004</v>
      </c>
      <c r="BN33" s="20">
        <f t="shared" si="30"/>
        <v>146.515656</v>
      </c>
      <c r="BO33" s="51"/>
      <c r="BP33" s="51">
        <f t="shared" si="77"/>
        <v>554705.2159999999</v>
      </c>
      <c r="BQ33" s="51">
        <f t="shared" si="54"/>
        <v>103662.8326656</v>
      </c>
      <c r="BR33" s="33">
        <f t="shared" si="12"/>
        <v>658368.0486655999</v>
      </c>
      <c r="BS33" s="20">
        <f t="shared" si="31"/>
        <v>6310.0570624</v>
      </c>
      <c r="BT33" s="51"/>
      <c r="BU33" s="51">
        <f t="shared" si="78"/>
        <v>23557.533</v>
      </c>
      <c r="BV33" s="51">
        <f t="shared" si="55"/>
        <v>4402.4114628</v>
      </c>
      <c r="BW33" s="33">
        <f t="shared" si="13"/>
        <v>27959.9444628</v>
      </c>
      <c r="BX33" s="20">
        <f t="shared" si="32"/>
        <v>267.9790512</v>
      </c>
      <c r="BY33" s="51"/>
      <c r="BZ33" s="33">
        <f t="shared" si="79"/>
        <v>64.8335</v>
      </c>
      <c r="CA33" s="33">
        <f t="shared" si="56"/>
        <v>12.1160286</v>
      </c>
      <c r="CB33" s="33">
        <f t="shared" si="57"/>
        <v>76.94952860000001</v>
      </c>
      <c r="CC33" s="20">
        <f t="shared" si="33"/>
        <v>0.7375144</v>
      </c>
      <c r="CD33" s="51"/>
      <c r="CE33" s="51">
        <f t="shared" si="80"/>
        <v>16361.0145</v>
      </c>
      <c r="CF33" s="51">
        <f t="shared" si="58"/>
        <v>3057.5322882</v>
      </c>
      <c r="CG33" s="33">
        <f t="shared" si="14"/>
        <v>19418.5467882</v>
      </c>
      <c r="CH33" s="20">
        <f t="shared" si="34"/>
        <v>186.1149528</v>
      </c>
      <c r="CI33" s="51"/>
      <c r="CJ33" s="51">
        <f t="shared" si="81"/>
        <v>41801.2715</v>
      </c>
      <c r="CK33" s="51">
        <f t="shared" si="59"/>
        <v>7811.785589399999</v>
      </c>
      <c r="CL33" s="33">
        <f t="shared" si="15"/>
        <v>49613.0570894</v>
      </c>
      <c r="CM33" s="20">
        <f t="shared" si="35"/>
        <v>475.51095760000004</v>
      </c>
      <c r="CN33" s="51"/>
      <c r="CO33" s="51">
        <f t="shared" si="82"/>
        <v>70650.137</v>
      </c>
      <c r="CP33" s="51">
        <f t="shared" si="60"/>
        <v>13203.0367092</v>
      </c>
      <c r="CQ33" s="33">
        <f t="shared" si="16"/>
        <v>83853.1737092</v>
      </c>
      <c r="CR33" s="20">
        <f t="shared" si="36"/>
        <v>803.6816368</v>
      </c>
      <c r="CS33" s="51"/>
      <c r="CT33" s="51">
        <f t="shared" si="83"/>
        <v>581174.6410000001</v>
      </c>
      <c r="CU33" s="51">
        <f t="shared" si="61"/>
        <v>108609.4159956</v>
      </c>
      <c r="CV33" s="33">
        <f t="shared" si="17"/>
        <v>689784.0569956</v>
      </c>
      <c r="CW33" s="20">
        <f t="shared" si="37"/>
        <v>6611.1603824</v>
      </c>
      <c r="CX33" s="51"/>
      <c r="CY33" s="51">
        <f t="shared" si="84"/>
        <v>10911.9375</v>
      </c>
      <c r="CZ33" s="51">
        <f t="shared" si="62"/>
        <v>2039.213475</v>
      </c>
      <c r="DA33" s="33">
        <f t="shared" si="18"/>
        <v>12951.150975</v>
      </c>
      <c r="DB33" s="20">
        <f t="shared" si="38"/>
        <v>124.1289</v>
      </c>
      <c r="DC33" s="51"/>
      <c r="DD33" s="51">
        <f t="shared" si="85"/>
        <v>52003.614</v>
      </c>
      <c r="DE33" s="51">
        <f t="shared" si="63"/>
        <v>9718.3905624</v>
      </c>
      <c r="DF33" s="33">
        <f t="shared" si="19"/>
        <v>61722.004562400005</v>
      </c>
      <c r="DG33" s="20">
        <f t="shared" si="39"/>
        <v>591.5678495999999</v>
      </c>
      <c r="DH33" s="33"/>
      <c r="DI33" s="33">
        <f t="shared" si="86"/>
        <v>93642.036</v>
      </c>
      <c r="DJ33" s="33">
        <f t="shared" si="64"/>
        <v>17499.7429776</v>
      </c>
      <c r="DK33" s="33">
        <f t="shared" si="65"/>
        <v>111141.77897759998</v>
      </c>
      <c r="DL33" s="20">
        <f t="shared" si="40"/>
        <v>1065.2263104</v>
      </c>
      <c r="DM33" s="51"/>
      <c r="DN33" s="51">
        <f t="shared" si="87"/>
        <v>93515.43199999999</v>
      </c>
      <c r="DO33" s="51">
        <f t="shared" si="66"/>
        <v>17476.0833312</v>
      </c>
      <c r="DP33" s="33">
        <f t="shared" si="20"/>
        <v>110991.51533119999</v>
      </c>
      <c r="DQ33" s="20">
        <f t="shared" si="41"/>
        <v>1063.7861248</v>
      </c>
      <c r="DR33" s="51"/>
      <c r="DS33" s="33"/>
      <c r="DT33" s="33"/>
      <c r="DU33" s="33"/>
    </row>
    <row r="34" spans="1:125" s="53" customFormat="1" ht="12.75">
      <c r="A34" s="52">
        <v>44835</v>
      </c>
      <c r="C34" s="41"/>
      <c r="D34" s="41">
        <v>826393</v>
      </c>
      <c r="E34" s="35">
        <f t="shared" si="0"/>
        <v>826393</v>
      </c>
      <c r="F34" s="35">
        <v>58072</v>
      </c>
      <c r="G34" s="51"/>
      <c r="H34" s="51"/>
      <c r="I34" s="51">
        <v>83729</v>
      </c>
      <c r="J34" s="51">
        <f t="shared" si="42"/>
        <v>83729</v>
      </c>
      <c r="K34" s="51">
        <v>5883.7737392</v>
      </c>
      <c r="L34" s="51"/>
      <c r="M34" s="51">
        <f t="shared" si="1"/>
        <v>0</v>
      </c>
      <c r="N34" s="41">
        <f t="shared" si="2"/>
        <v>742664.0181902001</v>
      </c>
      <c r="O34" s="33">
        <f t="shared" si="3"/>
        <v>742664.0181902001</v>
      </c>
      <c r="P34" s="41">
        <f t="shared" si="2"/>
        <v>52188.22626080002</v>
      </c>
      <c r="Q34" s="51"/>
      <c r="R34" s="65"/>
      <c r="S34" s="65">
        <f t="shared" si="43"/>
        <v>206890.62784340003</v>
      </c>
      <c r="T34" s="20">
        <f t="shared" si="4"/>
        <v>206890.62784340003</v>
      </c>
      <c r="U34" s="20">
        <f t="shared" si="21"/>
        <v>14538.5458736</v>
      </c>
      <c r="V34" s="51"/>
      <c r="W34" s="65"/>
      <c r="X34" s="65">
        <f t="shared" si="44"/>
        <v>15962.607188</v>
      </c>
      <c r="Y34" s="20">
        <f t="shared" si="5"/>
        <v>15962.607188</v>
      </c>
      <c r="Z34" s="20">
        <f t="shared" si="22"/>
        <v>1121.718752</v>
      </c>
      <c r="AA34" s="51"/>
      <c r="AB34" s="33"/>
      <c r="AC34" s="33">
        <f t="shared" si="45"/>
        <v>19771.452525</v>
      </c>
      <c r="AD34" s="33">
        <f t="shared" si="88"/>
        <v>19771.452525</v>
      </c>
      <c r="AE34" s="20">
        <f t="shared" si="23"/>
        <v>1389.3726</v>
      </c>
      <c r="AF34" s="51"/>
      <c r="AG34" s="65"/>
      <c r="AH34" s="65">
        <f t="shared" si="46"/>
        <v>9796.1452613</v>
      </c>
      <c r="AI34" s="20">
        <f t="shared" si="6"/>
        <v>9796.1452613</v>
      </c>
      <c r="AJ34" s="20">
        <f t="shared" si="24"/>
        <v>688.3912952</v>
      </c>
      <c r="AK34" s="51"/>
      <c r="AL34" s="65"/>
      <c r="AM34" s="65">
        <f t="shared" si="47"/>
        <v>178594.4356876</v>
      </c>
      <c r="AN34" s="20">
        <f t="shared" si="7"/>
        <v>178594.4356876</v>
      </c>
      <c r="AO34" s="20">
        <f t="shared" si="25"/>
        <v>12550.1257504</v>
      </c>
      <c r="AP34" s="51"/>
      <c r="AQ34" s="65"/>
      <c r="AR34" s="65">
        <f t="shared" si="48"/>
        <v>23550.1345175</v>
      </c>
      <c r="AS34" s="20">
        <f t="shared" si="8"/>
        <v>23550.1345175</v>
      </c>
      <c r="AT34" s="20">
        <f t="shared" si="26"/>
        <v>1654.90682</v>
      </c>
      <c r="AU34" s="51"/>
      <c r="AV34" s="51"/>
      <c r="AW34" s="51">
        <f t="shared" si="49"/>
        <v>6985.500029000001</v>
      </c>
      <c r="AX34" s="33">
        <f t="shared" si="9"/>
        <v>6985.500029000001</v>
      </c>
      <c r="AY34" s="20">
        <f t="shared" si="27"/>
        <v>490.88261600000004</v>
      </c>
      <c r="AZ34" s="51"/>
      <c r="BA34" s="33"/>
      <c r="BB34" s="33">
        <f t="shared" si="50"/>
        <v>3072.1159775</v>
      </c>
      <c r="BC34" s="33">
        <f t="shared" si="51"/>
        <v>3072.1159775</v>
      </c>
      <c r="BD34" s="20">
        <f t="shared" si="28"/>
        <v>215.88266</v>
      </c>
      <c r="BE34" s="51"/>
      <c r="BF34" s="51"/>
      <c r="BG34" s="51">
        <f t="shared" si="52"/>
        <v>26923.1401863</v>
      </c>
      <c r="BH34" s="33">
        <f t="shared" si="10"/>
        <v>26923.1401863</v>
      </c>
      <c r="BI34" s="20">
        <f t="shared" si="29"/>
        <v>1891.9334952</v>
      </c>
      <c r="BJ34" s="51"/>
      <c r="BK34" s="51"/>
      <c r="BL34" s="51">
        <f t="shared" si="53"/>
        <v>2084.989539</v>
      </c>
      <c r="BM34" s="33">
        <f t="shared" si="11"/>
        <v>2084.989539</v>
      </c>
      <c r="BN34" s="20">
        <f t="shared" si="30"/>
        <v>146.515656</v>
      </c>
      <c r="BO34" s="51"/>
      <c r="BP34" s="51"/>
      <c r="BQ34" s="51">
        <f t="shared" si="54"/>
        <v>89795.20226559999</v>
      </c>
      <c r="BR34" s="33">
        <f t="shared" si="12"/>
        <v>89795.20226559999</v>
      </c>
      <c r="BS34" s="20">
        <f t="shared" si="31"/>
        <v>6310.0570624</v>
      </c>
      <c r="BT34" s="51"/>
      <c r="BU34" s="51"/>
      <c r="BV34" s="51">
        <f t="shared" si="55"/>
        <v>3813.4731377999997</v>
      </c>
      <c r="BW34" s="33">
        <f t="shared" si="13"/>
        <v>3813.4731377999997</v>
      </c>
      <c r="BX34" s="20">
        <f t="shared" si="32"/>
        <v>267.9790512</v>
      </c>
      <c r="BY34" s="51"/>
      <c r="BZ34" s="33"/>
      <c r="CA34" s="33">
        <f t="shared" si="56"/>
        <v>10.4951911</v>
      </c>
      <c r="CB34" s="33">
        <f t="shared" si="57"/>
        <v>10.4951911</v>
      </c>
      <c r="CC34" s="20">
        <f t="shared" si="33"/>
        <v>0.7375144</v>
      </c>
      <c r="CD34" s="51"/>
      <c r="CE34" s="51"/>
      <c r="CF34" s="51">
        <f t="shared" si="58"/>
        <v>2648.5069257</v>
      </c>
      <c r="CG34" s="33">
        <f t="shared" si="14"/>
        <v>2648.5069257</v>
      </c>
      <c r="CH34" s="20">
        <f t="shared" si="34"/>
        <v>186.1149528</v>
      </c>
      <c r="CI34" s="51"/>
      <c r="CJ34" s="51"/>
      <c r="CK34" s="51">
        <f t="shared" si="59"/>
        <v>6766.753801899999</v>
      </c>
      <c r="CL34" s="33">
        <f t="shared" si="15"/>
        <v>6766.753801899999</v>
      </c>
      <c r="CM34" s="20">
        <f t="shared" si="35"/>
        <v>475.51095760000004</v>
      </c>
      <c r="CN34" s="51"/>
      <c r="CO34" s="51"/>
      <c r="CP34" s="51">
        <f t="shared" si="60"/>
        <v>11436.783284199999</v>
      </c>
      <c r="CQ34" s="33">
        <f t="shared" si="16"/>
        <v>11436.783284199999</v>
      </c>
      <c r="CR34" s="20">
        <f t="shared" si="36"/>
        <v>803.6816368</v>
      </c>
      <c r="CS34" s="51"/>
      <c r="CT34" s="51"/>
      <c r="CU34" s="51">
        <f t="shared" si="61"/>
        <v>94080.04997060001</v>
      </c>
      <c r="CV34" s="33">
        <f t="shared" si="17"/>
        <v>94080.04997060001</v>
      </c>
      <c r="CW34" s="20">
        <f t="shared" si="37"/>
        <v>6611.1603824</v>
      </c>
      <c r="CX34" s="51"/>
      <c r="CY34" s="51"/>
      <c r="CZ34" s="51">
        <f t="shared" si="62"/>
        <v>1766.4150375</v>
      </c>
      <c r="DA34" s="33">
        <f t="shared" si="18"/>
        <v>1766.4150375</v>
      </c>
      <c r="DB34" s="20">
        <f t="shared" si="38"/>
        <v>124.1289</v>
      </c>
      <c r="DC34" s="51"/>
      <c r="DD34" s="51"/>
      <c r="DE34" s="51">
        <f t="shared" si="63"/>
        <v>8418.3002124</v>
      </c>
      <c r="DF34" s="33">
        <f t="shared" si="19"/>
        <v>8418.3002124</v>
      </c>
      <c r="DG34" s="20">
        <f t="shared" si="39"/>
        <v>591.5678495999999</v>
      </c>
      <c r="DH34" s="33"/>
      <c r="DI34" s="33"/>
      <c r="DJ34" s="33">
        <f t="shared" si="64"/>
        <v>15158.692077599999</v>
      </c>
      <c r="DK34" s="33">
        <f t="shared" si="65"/>
        <v>15158.692077599999</v>
      </c>
      <c r="DL34" s="20">
        <f t="shared" si="40"/>
        <v>1065.2263104</v>
      </c>
      <c r="DM34" s="51"/>
      <c r="DN34" s="51"/>
      <c r="DO34" s="51">
        <f t="shared" si="66"/>
        <v>15138.1975312</v>
      </c>
      <c r="DP34" s="33">
        <f t="shared" si="20"/>
        <v>15138.1975312</v>
      </c>
      <c r="DQ34" s="20">
        <f t="shared" si="41"/>
        <v>1063.7861248</v>
      </c>
      <c r="DR34" s="51"/>
      <c r="DS34" s="33"/>
      <c r="DT34" s="33"/>
      <c r="DU34" s="33"/>
    </row>
    <row r="35" spans="1:125" s="53" customFormat="1" ht="12.75">
      <c r="A35" s="52">
        <v>45017</v>
      </c>
      <c r="C35" s="41">
        <v>5360000</v>
      </c>
      <c r="D35" s="41">
        <v>826393</v>
      </c>
      <c r="E35" s="35">
        <f t="shared" si="0"/>
        <v>6186393</v>
      </c>
      <c r="F35" s="35">
        <v>58072</v>
      </c>
      <c r="G35" s="51"/>
      <c r="H35" s="51">
        <v>543068</v>
      </c>
      <c r="I35" s="51">
        <v>83729</v>
      </c>
      <c r="J35" s="51">
        <f t="shared" si="42"/>
        <v>626797</v>
      </c>
      <c r="K35" s="51">
        <v>5883.7737392</v>
      </c>
      <c r="L35" s="51"/>
      <c r="M35" s="51">
        <f t="shared" si="1"/>
        <v>4816932.304</v>
      </c>
      <c r="N35" s="41">
        <f t="shared" si="2"/>
        <v>742664.0181902001</v>
      </c>
      <c r="O35" s="33">
        <f t="shared" si="3"/>
        <v>5559596.3221902</v>
      </c>
      <c r="P35" s="41">
        <f t="shared" si="2"/>
        <v>52188.22626080002</v>
      </c>
      <c r="Q35" s="51"/>
      <c r="R35" s="65">
        <f t="shared" si="67"/>
        <v>1341896.368</v>
      </c>
      <c r="S35" s="65">
        <f t="shared" si="43"/>
        <v>206890.62784340003</v>
      </c>
      <c r="T35" s="20">
        <f t="shared" si="4"/>
        <v>1548786.9958434</v>
      </c>
      <c r="U35" s="20">
        <f t="shared" si="21"/>
        <v>14538.5458736</v>
      </c>
      <c r="V35" s="51"/>
      <c r="W35" s="65">
        <f t="shared" si="68"/>
        <v>103533.76</v>
      </c>
      <c r="X35" s="65">
        <f t="shared" si="44"/>
        <v>15962.607188</v>
      </c>
      <c r="Y35" s="20">
        <f t="shared" si="5"/>
        <v>119496.36718799999</v>
      </c>
      <c r="Z35" s="20">
        <f t="shared" si="22"/>
        <v>1121.718752</v>
      </c>
      <c r="AA35" s="51"/>
      <c r="AB35" s="33">
        <f t="shared" si="69"/>
        <v>128238</v>
      </c>
      <c r="AC35" s="33">
        <f t="shared" si="45"/>
        <v>19771.452525</v>
      </c>
      <c r="AD35" s="33">
        <f t="shared" si="88"/>
        <v>148009.452525</v>
      </c>
      <c r="AE35" s="20">
        <f t="shared" si="23"/>
        <v>1389.3726</v>
      </c>
      <c r="AF35" s="51"/>
      <c r="AG35" s="65">
        <f t="shared" si="70"/>
        <v>63537.976</v>
      </c>
      <c r="AH35" s="65">
        <f t="shared" si="46"/>
        <v>9796.1452613</v>
      </c>
      <c r="AI35" s="20">
        <f t="shared" si="6"/>
        <v>73334.1212613</v>
      </c>
      <c r="AJ35" s="20">
        <f t="shared" si="24"/>
        <v>688.3912952</v>
      </c>
      <c r="AK35" s="51"/>
      <c r="AL35" s="65">
        <f t="shared" si="71"/>
        <v>1158366.752</v>
      </c>
      <c r="AM35" s="65">
        <f t="shared" si="47"/>
        <v>178594.4356876</v>
      </c>
      <c r="AN35" s="20">
        <f t="shared" si="7"/>
        <v>1336961.1876876</v>
      </c>
      <c r="AO35" s="20">
        <f t="shared" si="25"/>
        <v>12550.1257504</v>
      </c>
      <c r="AP35" s="51"/>
      <c r="AQ35" s="65">
        <f t="shared" si="72"/>
        <v>152746.59999999998</v>
      </c>
      <c r="AR35" s="65">
        <f t="shared" si="48"/>
        <v>23550.1345175</v>
      </c>
      <c r="AS35" s="20">
        <f t="shared" si="8"/>
        <v>176296.73451749998</v>
      </c>
      <c r="AT35" s="20">
        <f t="shared" si="26"/>
        <v>1654.90682</v>
      </c>
      <c r="AU35" s="51"/>
      <c r="AV35" s="51">
        <f t="shared" si="73"/>
        <v>45308.08</v>
      </c>
      <c r="AW35" s="51">
        <f t="shared" si="49"/>
        <v>6985.500029000001</v>
      </c>
      <c r="AX35" s="33">
        <f t="shared" si="9"/>
        <v>52293.580029000004</v>
      </c>
      <c r="AY35" s="20">
        <f t="shared" si="27"/>
        <v>490.88261600000004</v>
      </c>
      <c r="AZ35" s="51"/>
      <c r="BA35" s="33">
        <f t="shared" si="74"/>
        <v>19925.800000000003</v>
      </c>
      <c r="BB35" s="33">
        <f t="shared" si="50"/>
        <v>3072.1159775</v>
      </c>
      <c r="BC35" s="33">
        <f t="shared" si="51"/>
        <v>22997.915977500004</v>
      </c>
      <c r="BD35" s="20">
        <f t="shared" si="28"/>
        <v>215.88266</v>
      </c>
      <c r="BE35" s="51"/>
      <c r="BF35" s="51">
        <f t="shared" si="75"/>
        <v>174623.97599999997</v>
      </c>
      <c r="BG35" s="51">
        <f t="shared" si="52"/>
        <v>26923.1401863</v>
      </c>
      <c r="BH35" s="33">
        <f t="shared" si="10"/>
        <v>201547.11618629997</v>
      </c>
      <c r="BI35" s="20">
        <f t="shared" si="29"/>
        <v>1891.9334952</v>
      </c>
      <c r="BJ35" s="51"/>
      <c r="BK35" s="51">
        <f t="shared" si="76"/>
        <v>13523.280000000002</v>
      </c>
      <c r="BL35" s="51">
        <f t="shared" si="53"/>
        <v>2084.989539</v>
      </c>
      <c r="BM35" s="33">
        <f t="shared" si="11"/>
        <v>15608.269539000003</v>
      </c>
      <c r="BN35" s="20">
        <f t="shared" si="30"/>
        <v>146.515656</v>
      </c>
      <c r="BO35" s="51"/>
      <c r="BP35" s="51">
        <f t="shared" si="77"/>
        <v>582413.3119999999</v>
      </c>
      <c r="BQ35" s="51">
        <f t="shared" si="54"/>
        <v>89795.20226559999</v>
      </c>
      <c r="BR35" s="33">
        <f t="shared" si="12"/>
        <v>672208.5142655999</v>
      </c>
      <c r="BS35" s="20">
        <f t="shared" si="31"/>
        <v>6310.0570624</v>
      </c>
      <c r="BT35" s="51"/>
      <c r="BU35" s="51">
        <f t="shared" si="78"/>
        <v>24734.256</v>
      </c>
      <c r="BV35" s="51">
        <f t="shared" si="55"/>
        <v>3813.4731377999997</v>
      </c>
      <c r="BW35" s="33">
        <f t="shared" si="13"/>
        <v>28547.7291378</v>
      </c>
      <c r="BX35" s="20">
        <f t="shared" si="32"/>
        <v>267.9790512</v>
      </c>
      <c r="BY35" s="51"/>
      <c r="BZ35" s="33">
        <f t="shared" si="79"/>
        <v>68.072</v>
      </c>
      <c r="CA35" s="33">
        <f t="shared" si="56"/>
        <v>10.4951911</v>
      </c>
      <c r="CB35" s="33">
        <f t="shared" si="57"/>
        <v>78.5671911</v>
      </c>
      <c r="CC35" s="20">
        <f t="shared" si="33"/>
        <v>0.7375144</v>
      </c>
      <c r="CD35" s="51"/>
      <c r="CE35" s="51">
        <f t="shared" si="80"/>
        <v>17178.264</v>
      </c>
      <c r="CF35" s="51">
        <f t="shared" si="58"/>
        <v>2648.5069257</v>
      </c>
      <c r="CG35" s="33">
        <f t="shared" si="14"/>
        <v>19826.7709257</v>
      </c>
      <c r="CH35" s="20">
        <f t="shared" si="34"/>
        <v>186.1149528</v>
      </c>
      <c r="CI35" s="51"/>
      <c r="CJ35" s="51">
        <f t="shared" si="81"/>
        <v>43889.288</v>
      </c>
      <c r="CK35" s="51">
        <f t="shared" si="59"/>
        <v>6766.753801899999</v>
      </c>
      <c r="CL35" s="33">
        <f t="shared" si="15"/>
        <v>50656.0418019</v>
      </c>
      <c r="CM35" s="20">
        <f t="shared" si="35"/>
        <v>475.51095760000004</v>
      </c>
      <c r="CN35" s="51"/>
      <c r="CO35" s="51">
        <f t="shared" si="82"/>
        <v>74179.184</v>
      </c>
      <c r="CP35" s="51">
        <f t="shared" si="60"/>
        <v>11436.783284199999</v>
      </c>
      <c r="CQ35" s="33">
        <f t="shared" si="16"/>
        <v>85615.96728419999</v>
      </c>
      <c r="CR35" s="20">
        <f t="shared" si="36"/>
        <v>803.6816368</v>
      </c>
      <c r="CS35" s="51"/>
      <c r="CT35" s="51">
        <f t="shared" si="83"/>
        <v>610204.912</v>
      </c>
      <c r="CU35" s="51">
        <f t="shared" si="61"/>
        <v>94080.04997060001</v>
      </c>
      <c r="CV35" s="33">
        <f t="shared" si="17"/>
        <v>704284.9619706001</v>
      </c>
      <c r="CW35" s="20">
        <f t="shared" si="37"/>
        <v>6611.1603824</v>
      </c>
      <c r="CX35" s="51"/>
      <c r="CY35" s="51">
        <f t="shared" si="84"/>
        <v>11457</v>
      </c>
      <c r="CZ35" s="51">
        <f t="shared" si="62"/>
        <v>1766.4150375</v>
      </c>
      <c r="DA35" s="33">
        <f t="shared" si="18"/>
        <v>13223.415037499999</v>
      </c>
      <c r="DB35" s="20">
        <f t="shared" si="38"/>
        <v>124.1289</v>
      </c>
      <c r="DC35" s="51"/>
      <c r="DD35" s="51">
        <f t="shared" si="85"/>
        <v>54601.248</v>
      </c>
      <c r="DE35" s="51">
        <f t="shared" si="63"/>
        <v>8418.3002124</v>
      </c>
      <c r="DF35" s="33">
        <f t="shared" si="19"/>
        <v>63019.5482124</v>
      </c>
      <c r="DG35" s="20">
        <f t="shared" si="39"/>
        <v>591.5678495999999</v>
      </c>
      <c r="DH35" s="33"/>
      <c r="DI35" s="33">
        <f t="shared" si="86"/>
        <v>98319.552</v>
      </c>
      <c r="DJ35" s="33">
        <f t="shared" si="64"/>
        <v>15158.692077599999</v>
      </c>
      <c r="DK35" s="33">
        <f t="shared" si="65"/>
        <v>113478.2440776</v>
      </c>
      <c r="DL35" s="20">
        <f t="shared" si="40"/>
        <v>1065.2263104</v>
      </c>
      <c r="DM35" s="51"/>
      <c r="DN35" s="51">
        <f t="shared" si="87"/>
        <v>98186.62400000001</v>
      </c>
      <c r="DO35" s="51">
        <f t="shared" si="66"/>
        <v>15138.1975312</v>
      </c>
      <c r="DP35" s="33">
        <f t="shared" si="20"/>
        <v>113324.82153120001</v>
      </c>
      <c r="DQ35" s="20">
        <f t="shared" si="41"/>
        <v>1063.7861248</v>
      </c>
      <c r="DR35" s="51"/>
      <c r="DS35" s="33"/>
      <c r="DT35" s="33"/>
      <c r="DU35" s="33"/>
    </row>
    <row r="36" spans="1:125" s="53" customFormat="1" ht="12.75">
      <c r="A36" s="52">
        <v>45200</v>
      </c>
      <c r="C36" s="41"/>
      <c r="D36" s="41">
        <v>703113</v>
      </c>
      <c r="E36" s="35">
        <f t="shared" si="0"/>
        <v>703113</v>
      </c>
      <c r="F36" s="35">
        <v>58072</v>
      </c>
      <c r="G36" s="51"/>
      <c r="H36" s="51"/>
      <c r="I36" s="51">
        <v>71238</v>
      </c>
      <c r="J36" s="51">
        <f t="shared" si="42"/>
        <v>71238</v>
      </c>
      <c r="K36" s="51">
        <v>5883.7737392</v>
      </c>
      <c r="L36" s="51"/>
      <c r="M36" s="51">
        <f t="shared" si="1"/>
        <v>0</v>
      </c>
      <c r="N36" s="41">
        <f t="shared" si="2"/>
        <v>631874.5751982001</v>
      </c>
      <c r="O36" s="33">
        <f t="shared" si="3"/>
        <v>631874.5751982001</v>
      </c>
      <c r="P36" s="41">
        <f t="shared" si="2"/>
        <v>52188.22626080002</v>
      </c>
      <c r="Q36" s="51"/>
      <c r="R36" s="65"/>
      <c r="S36" s="65">
        <f t="shared" si="43"/>
        <v>176027.0113794</v>
      </c>
      <c r="T36" s="20">
        <f t="shared" si="4"/>
        <v>176027.0113794</v>
      </c>
      <c r="U36" s="20">
        <f t="shared" si="21"/>
        <v>14538.5458736</v>
      </c>
      <c r="V36" s="51"/>
      <c r="W36" s="65"/>
      <c r="X36" s="65">
        <f t="shared" si="44"/>
        <v>13581.330708000001</v>
      </c>
      <c r="Y36" s="20">
        <f t="shared" si="5"/>
        <v>13581.330708000001</v>
      </c>
      <c r="Z36" s="20">
        <f t="shared" si="22"/>
        <v>1121.718752</v>
      </c>
      <c r="AA36" s="51"/>
      <c r="AB36" s="33"/>
      <c r="AC36" s="33">
        <f t="shared" si="45"/>
        <v>16821.978525</v>
      </c>
      <c r="AD36" s="33">
        <f t="shared" si="88"/>
        <v>16821.978525</v>
      </c>
      <c r="AE36" s="20">
        <f t="shared" si="23"/>
        <v>1389.3726</v>
      </c>
      <c r="AF36" s="51"/>
      <c r="AG36" s="65"/>
      <c r="AH36" s="65">
        <f t="shared" si="46"/>
        <v>8334.7718133</v>
      </c>
      <c r="AI36" s="20">
        <f t="shared" si="6"/>
        <v>8334.7718133</v>
      </c>
      <c r="AJ36" s="20">
        <f t="shared" si="24"/>
        <v>688.3912952</v>
      </c>
      <c r="AK36" s="51"/>
      <c r="AL36" s="65"/>
      <c r="AM36" s="65">
        <f t="shared" si="47"/>
        <v>151952.0003916</v>
      </c>
      <c r="AN36" s="20">
        <f t="shared" si="7"/>
        <v>151952.0003916</v>
      </c>
      <c r="AO36" s="20">
        <f t="shared" si="25"/>
        <v>12550.1257504</v>
      </c>
      <c r="AP36" s="51"/>
      <c r="AQ36" s="65"/>
      <c r="AR36" s="65">
        <f t="shared" si="48"/>
        <v>20036.9627175</v>
      </c>
      <c r="AS36" s="20">
        <f t="shared" si="8"/>
        <v>20036.9627175</v>
      </c>
      <c r="AT36" s="20">
        <f t="shared" si="26"/>
        <v>1654.90682</v>
      </c>
      <c r="AU36" s="51"/>
      <c r="AV36" s="51"/>
      <c r="AW36" s="51">
        <f t="shared" si="49"/>
        <v>5943.414189</v>
      </c>
      <c r="AX36" s="33">
        <f t="shared" si="9"/>
        <v>5943.414189</v>
      </c>
      <c r="AY36" s="20">
        <f t="shared" si="27"/>
        <v>490.88261600000004</v>
      </c>
      <c r="AZ36" s="51"/>
      <c r="BA36" s="33"/>
      <c r="BB36" s="33">
        <f t="shared" si="50"/>
        <v>2613.8225775</v>
      </c>
      <c r="BC36" s="33">
        <f t="shared" si="51"/>
        <v>2613.8225775</v>
      </c>
      <c r="BD36" s="20">
        <f t="shared" si="28"/>
        <v>215.88266</v>
      </c>
      <c r="BE36" s="51"/>
      <c r="BF36" s="51"/>
      <c r="BG36" s="51">
        <f t="shared" si="52"/>
        <v>22906.788738299998</v>
      </c>
      <c r="BH36" s="33">
        <f t="shared" si="10"/>
        <v>22906.788738299998</v>
      </c>
      <c r="BI36" s="20">
        <f t="shared" si="29"/>
        <v>1891.9334952</v>
      </c>
      <c r="BJ36" s="51"/>
      <c r="BK36" s="51"/>
      <c r="BL36" s="51">
        <f t="shared" si="53"/>
        <v>1773.9540990000003</v>
      </c>
      <c r="BM36" s="33">
        <f t="shared" si="11"/>
        <v>1773.9540990000003</v>
      </c>
      <c r="BN36" s="20">
        <f t="shared" si="30"/>
        <v>146.515656</v>
      </c>
      <c r="BO36" s="51"/>
      <c r="BP36" s="51"/>
      <c r="BQ36" s="51">
        <f t="shared" si="54"/>
        <v>76399.6960896</v>
      </c>
      <c r="BR36" s="33">
        <f t="shared" si="12"/>
        <v>76399.6960896</v>
      </c>
      <c r="BS36" s="20">
        <f t="shared" si="31"/>
        <v>6310.0570624</v>
      </c>
      <c r="BT36" s="51"/>
      <c r="BU36" s="51"/>
      <c r="BV36" s="51">
        <f t="shared" si="55"/>
        <v>3244.5852498</v>
      </c>
      <c r="BW36" s="33">
        <f t="shared" si="13"/>
        <v>3244.5852498</v>
      </c>
      <c r="BX36" s="20">
        <f t="shared" si="32"/>
        <v>267.9790512</v>
      </c>
      <c r="BY36" s="51"/>
      <c r="BZ36" s="33"/>
      <c r="CA36" s="33">
        <f t="shared" si="56"/>
        <v>8.9295351</v>
      </c>
      <c r="CB36" s="33">
        <f t="shared" si="57"/>
        <v>8.9295351</v>
      </c>
      <c r="CC36" s="20">
        <f t="shared" si="33"/>
        <v>0.7375144</v>
      </c>
      <c r="CD36" s="51"/>
      <c r="CE36" s="51"/>
      <c r="CF36" s="51">
        <f t="shared" si="58"/>
        <v>2253.4068537</v>
      </c>
      <c r="CG36" s="33">
        <f t="shared" si="14"/>
        <v>2253.4068537</v>
      </c>
      <c r="CH36" s="20">
        <f t="shared" si="34"/>
        <v>186.1149528</v>
      </c>
      <c r="CI36" s="51"/>
      <c r="CJ36" s="51"/>
      <c r="CK36" s="51">
        <f t="shared" si="59"/>
        <v>5757.3001779</v>
      </c>
      <c r="CL36" s="33">
        <f t="shared" si="15"/>
        <v>5757.3001779</v>
      </c>
      <c r="CM36" s="20">
        <f t="shared" si="35"/>
        <v>475.51095760000004</v>
      </c>
      <c r="CN36" s="51"/>
      <c r="CO36" s="51"/>
      <c r="CP36" s="51">
        <f t="shared" si="60"/>
        <v>9730.6620522</v>
      </c>
      <c r="CQ36" s="33">
        <f t="shared" si="16"/>
        <v>9730.6620522</v>
      </c>
      <c r="CR36" s="20">
        <f t="shared" si="36"/>
        <v>803.6816368</v>
      </c>
      <c r="CS36" s="51"/>
      <c r="CT36" s="51"/>
      <c r="CU36" s="51">
        <f t="shared" si="61"/>
        <v>80045.3369946</v>
      </c>
      <c r="CV36" s="33">
        <f t="shared" si="17"/>
        <v>80045.3369946</v>
      </c>
      <c r="CW36" s="20">
        <f t="shared" si="37"/>
        <v>6611.1603824</v>
      </c>
      <c r="CX36" s="51"/>
      <c r="CY36" s="51"/>
      <c r="CZ36" s="51">
        <f t="shared" si="62"/>
        <v>1502.9040375</v>
      </c>
      <c r="DA36" s="33">
        <f t="shared" si="18"/>
        <v>1502.9040375</v>
      </c>
      <c r="DB36" s="20">
        <f t="shared" si="38"/>
        <v>124.1289</v>
      </c>
      <c r="DC36" s="51"/>
      <c r="DD36" s="51"/>
      <c r="DE36" s="51">
        <f t="shared" si="63"/>
        <v>7162.4715084</v>
      </c>
      <c r="DF36" s="33">
        <f t="shared" si="19"/>
        <v>7162.4715084</v>
      </c>
      <c r="DG36" s="20">
        <f t="shared" si="39"/>
        <v>591.5678495999999</v>
      </c>
      <c r="DH36" s="33"/>
      <c r="DI36" s="33"/>
      <c r="DJ36" s="33">
        <f t="shared" si="64"/>
        <v>12897.3423816</v>
      </c>
      <c r="DK36" s="33">
        <f t="shared" si="65"/>
        <v>12897.3423816</v>
      </c>
      <c r="DL36" s="20">
        <f t="shared" si="40"/>
        <v>1065.2263104</v>
      </c>
      <c r="DM36" s="51"/>
      <c r="DN36" s="51"/>
      <c r="DO36" s="51">
        <f t="shared" si="66"/>
        <v>12879.905179200001</v>
      </c>
      <c r="DP36" s="33">
        <f t="shared" si="20"/>
        <v>12879.905179200001</v>
      </c>
      <c r="DQ36" s="20">
        <f t="shared" si="41"/>
        <v>1063.7861248</v>
      </c>
      <c r="DR36" s="51"/>
      <c r="DS36" s="33"/>
      <c r="DT36" s="33"/>
      <c r="DU36" s="33"/>
    </row>
    <row r="37" spans="1:125" s="53" customFormat="1" ht="12.75">
      <c r="A37" s="52">
        <v>45383</v>
      </c>
      <c r="C37" s="41">
        <v>5610000</v>
      </c>
      <c r="D37" s="41">
        <v>703113</v>
      </c>
      <c r="E37" s="35">
        <f t="shared" si="0"/>
        <v>6313113</v>
      </c>
      <c r="F37" s="35">
        <v>58072</v>
      </c>
      <c r="G37" s="51"/>
      <c r="H37" s="51">
        <v>568397</v>
      </c>
      <c r="I37" s="51">
        <v>71238</v>
      </c>
      <c r="J37" s="51">
        <f t="shared" si="42"/>
        <v>639635</v>
      </c>
      <c r="K37" s="51">
        <v>5883.7737392</v>
      </c>
      <c r="L37" s="51"/>
      <c r="M37" s="51">
        <f t="shared" si="1"/>
        <v>5041602.654</v>
      </c>
      <c r="N37" s="41">
        <f t="shared" si="2"/>
        <v>631874.5751982001</v>
      </c>
      <c r="O37" s="33">
        <f t="shared" si="3"/>
        <v>5673477.229198201</v>
      </c>
      <c r="P37" s="41">
        <f t="shared" si="2"/>
        <v>52188.22626080002</v>
      </c>
      <c r="Q37" s="51"/>
      <c r="R37" s="65">
        <f t="shared" si="67"/>
        <v>1404484.8180000002</v>
      </c>
      <c r="S37" s="65">
        <f t="shared" si="43"/>
        <v>176027.0113794</v>
      </c>
      <c r="T37" s="20">
        <f t="shared" si="4"/>
        <v>1580511.8293794002</v>
      </c>
      <c r="U37" s="20">
        <f t="shared" si="21"/>
        <v>14538.5458736</v>
      </c>
      <c r="V37" s="51"/>
      <c r="W37" s="65">
        <f t="shared" si="68"/>
        <v>108362.76</v>
      </c>
      <c r="X37" s="65">
        <f t="shared" si="44"/>
        <v>13581.330708000001</v>
      </c>
      <c r="Y37" s="20">
        <f t="shared" si="5"/>
        <v>121944.090708</v>
      </c>
      <c r="Z37" s="20">
        <f t="shared" si="22"/>
        <v>1121.718752</v>
      </c>
      <c r="AA37" s="51"/>
      <c r="AB37" s="33">
        <f t="shared" si="69"/>
        <v>134219.25</v>
      </c>
      <c r="AC37" s="33">
        <f t="shared" si="45"/>
        <v>16821.978525</v>
      </c>
      <c r="AD37" s="33">
        <f t="shared" si="88"/>
        <v>151041.22852499998</v>
      </c>
      <c r="AE37" s="20">
        <f t="shared" si="23"/>
        <v>1389.3726</v>
      </c>
      <c r="AF37" s="51"/>
      <c r="AG37" s="65">
        <f t="shared" si="70"/>
        <v>66501.501</v>
      </c>
      <c r="AH37" s="65">
        <f t="shared" si="46"/>
        <v>8334.7718133</v>
      </c>
      <c r="AI37" s="20">
        <f t="shared" si="6"/>
        <v>74836.2728133</v>
      </c>
      <c r="AJ37" s="20">
        <f t="shared" si="24"/>
        <v>688.3912952</v>
      </c>
      <c r="AK37" s="51"/>
      <c r="AL37" s="65">
        <f t="shared" si="71"/>
        <v>1212395.052</v>
      </c>
      <c r="AM37" s="65">
        <f t="shared" si="47"/>
        <v>151952.0003916</v>
      </c>
      <c r="AN37" s="20">
        <f t="shared" si="7"/>
        <v>1364347.0523915999</v>
      </c>
      <c r="AO37" s="20">
        <f t="shared" si="25"/>
        <v>12550.1257504</v>
      </c>
      <c r="AP37" s="51"/>
      <c r="AQ37" s="65">
        <f t="shared" si="72"/>
        <v>159870.97499999998</v>
      </c>
      <c r="AR37" s="65">
        <f t="shared" si="48"/>
        <v>20036.9627175</v>
      </c>
      <c r="AS37" s="20">
        <f t="shared" si="8"/>
        <v>179907.93771749997</v>
      </c>
      <c r="AT37" s="20">
        <f t="shared" si="26"/>
        <v>1654.90682</v>
      </c>
      <c r="AU37" s="51"/>
      <c r="AV37" s="51">
        <f t="shared" si="73"/>
        <v>47421.33</v>
      </c>
      <c r="AW37" s="51">
        <f t="shared" si="49"/>
        <v>5943.414189</v>
      </c>
      <c r="AX37" s="33">
        <f t="shared" si="9"/>
        <v>53364.744189000005</v>
      </c>
      <c r="AY37" s="20">
        <f t="shared" si="27"/>
        <v>490.88261600000004</v>
      </c>
      <c r="AZ37" s="51"/>
      <c r="BA37" s="33">
        <f t="shared" si="74"/>
        <v>20855.175000000003</v>
      </c>
      <c r="BB37" s="33">
        <f t="shared" si="50"/>
        <v>2613.8225775</v>
      </c>
      <c r="BC37" s="33">
        <f t="shared" si="51"/>
        <v>23468.997577500002</v>
      </c>
      <c r="BD37" s="20">
        <f t="shared" si="28"/>
        <v>215.88266</v>
      </c>
      <c r="BE37" s="51"/>
      <c r="BF37" s="51">
        <f t="shared" si="75"/>
        <v>182768.751</v>
      </c>
      <c r="BG37" s="51">
        <f t="shared" si="52"/>
        <v>22906.788738299998</v>
      </c>
      <c r="BH37" s="33">
        <f t="shared" si="10"/>
        <v>205675.5397383</v>
      </c>
      <c r="BI37" s="20">
        <f t="shared" si="29"/>
        <v>1891.9334952</v>
      </c>
      <c r="BJ37" s="51"/>
      <c r="BK37" s="51">
        <f t="shared" si="76"/>
        <v>14154.030000000002</v>
      </c>
      <c r="BL37" s="51">
        <f t="shared" si="53"/>
        <v>1773.9540990000003</v>
      </c>
      <c r="BM37" s="33">
        <f t="shared" si="11"/>
        <v>15927.984099000003</v>
      </c>
      <c r="BN37" s="20">
        <f t="shared" si="30"/>
        <v>146.515656</v>
      </c>
      <c r="BO37" s="51"/>
      <c r="BP37" s="51">
        <f t="shared" si="77"/>
        <v>609578.112</v>
      </c>
      <c r="BQ37" s="51">
        <f t="shared" si="54"/>
        <v>76399.6960896</v>
      </c>
      <c r="BR37" s="33">
        <f t="shared" si="12"/>
        <v>685977.8080896</v>
      </c>
      <c r="BS37" s="20">
        <f t="shared" si="31"/>
        <v>6310.0570624</v>
      </c>
      <c r="BT37" s="51"/>
      <c r="BU37" s="51">
        <f t="shared" si="78"/>
        <v>25887.906000000003</v>
      </c>
      <c r="BV37" s="51">
        <f t="shared" si="55"/>
        <v>3244.5852498</v>
      </c>
      <c r="BW37" s="33">
        <f t="shared" si="13"/>
        <v>29132.4912498</v>
      </c>
      <c r="BX37" s="20">
        <f t="shared" si="32"/>
        <v>267.9790512</v>
      </c>
      <c r="BY37" s="51"/>
      <c r="BZ37" s="33">
        <f t="shared" si="79"/>
        <v>71.24700000000001</v>
      </c>
      <c r="CA37" s="33">
        <f t="shared" si="56"/>
        <v>8.9295351</v>
      </c>
      <c r="CB37" s="33">
        <f t="shared" si="57"/>
        <v>80.17653510000001</v>
      </c>
      <c r="CC37" s="20">
        <f t="shared" si="33"/>
        <v>0.7375144</v>
      </c>
      <c r="CD37" s="51"/>
      <c r="CE37" s="51">
        <f t="shared" si="80"/>
        <v>17979.488999999998</v>
      </c>
      <c r="CF37" s="51">
        <f t="shared" si="58"/>
        <v>2253.4068537</v>
      </c>
      <c r="CG37" s="33">
        <f t="shared" si="14"/>
        <v>20232.895853699996</v>
      </c>
      <c r="CH37" s="20">
        <f t="shared" si="34"/>
        <v>186.1149528</v>
      </c>
      <c r="CI37" s="51"/>
      <c r="CJ37" s="51">
        <f t="shared" si="81"/>
        <v>45936.363</v>
      </c>
      <c r="CK37" s="51">
        <f t="shared" si="59"/>
        <v>5757.3001779</v>
      </c>
      <c r="CL37" s="33">
        <f t="shared" si="15"/>
        <v>51693.663177899994</v>
      </c>
      <c r="CM37" s="20">
        <f t="shared" si="35"/>
        <v>475.51095760000004</v>
      </c>
      <c r="CN37" s="51"/>
      <c r="CO37" s="51">
        <f t="shared" si="82"/>
        <v>77639.034</v>
      </c>
      <c r="CP37" s="51">
        <f t="shared" si="60"/>
        <v>9730.6620522</v>
      </c>
      <c r="CQ37" s="33">
        <f t="shared" si="16"/>
        <v>87369.6960522</v>
      </c>
      <c r="CR37" s="20">
        <f t="shared" si="36"/>
        <v>803.6816368</v>
      </c>
      <c r="CS37" s="51"/>
      <c r="CT37" s="51">
        <f t="shared" si="83"/>
        <v>638665.962</v>
      </c>
      <c r="CU37" s="51">
        <f t="shared" si="61"/>
        <v>80045.3369946</v>
      </c>
      <c r="CV37" s="33">
        <f t="shared" si="17"/>
        <v>718711.2989946001</v>
      </c>
      <c r="CW37" s="20">
        <f t="shared" si="37"/>
        <v>6611.1603824</v>
      </c>
      <c r="CX37" s="51"/>
      <c r="CY37" s="51">
        <f t="shared" si="84"/>
        <v>11991.375</v>
      </c>
      <c r="CZ37" s="51">
        <f t="shared" si="62"/>
        <v>1502.9040375</v>
      </c>
      <c r="DA37" s="33">
        <f t="shared" si="18"/>
        <v>13494.2790375</v>
      </c>
      <c r="DB37" s="20">
        <f t="shared" si="38"/>
        <v>124.1289</v>
      </c>
      <c r="DC37" s="51"/>
      <c r="DD37" s="51">
        <f t="shared" si="85"/>
        <v>57147.948</v>
      </c>
      <c r="DE37" s="51">
        <f t="shared" si="63"/>
        <v>7162.4715084</v>
      </c>
      <c r="DF37" s="33">
        <f t="shared" si="19"/>
        <v>64310.419508399995</v>
      </c>
      <c r="DG37" s="20">
        <f t="shared" si="39"/>
        <v>591.5678495999999</v>
      </c>
      <c r="DH37" s="33"/>
      <c r="DI37" s="33">
        <f t="shared" si="86"/>
        <v>102905.352</v>
      </c>
      <c r="DJ37" s="33">
        <f t="shared" si="64"/>
        <v>12897.3423816</v>
      </c>
      <c r="DK37" s="33">
        <f t="shared" si="65"/>
        <v>115802.6943816</v>
      </c>
      <c r="DL37" s="20">
        <f t="shared" si="40"/>
        <v>1065.2263104</v>
      </c>
      <c r="DM37" s="51"/>
      <c r="DN37" s="51">
        <f t="shared" si="87"/>
        <v>102766.224</v>
      </c>
      <c r="DO37" s="51">
        <f t="shared" si="66"/>
        <v>12879.905179200001</v>
      </c>
      <c r="DP37" s="33">
        <f t="shared" si="20"/>
        <v>115646.1291792</v>
      </c>
      <c r="DQ37" s="20">
        <f t="shared" si="41"/>
        <v>1063.7861248</v>
      </c>
      <c r="DR37" s="51"/>
      <c r="DS37" s="33"/>
      <c r="DT37" s="33"/>
      <c r="DU37" s="33"/>
    </row>
    <row r="38" spans="1:125" s="53" customFormat="1" ht="12.75">
      <c r="A38" s="52">
        <v>45566</v>
      </c>
      <c r="C38" s="41"/>
      <c r="D38" s="41">
        <v>573381</v>
      </c>
      <c r="E38" s="35">
        <f t="shared" si="0"/>
        <v>573381</v>
      </c>
      <c r="F38" s="35">
        <v>58072</v>
      </c>
      <c r="G38" s="51"/>
      <c r="H38" s="51"/>
      <c r="I38" s="51">
        <v>58094</v>
      </c>
      <c r="J38" s="51">
        <f t="shared" si="42"/>
        <v>58094</v>
      </c>
      <c r="K38" s="51">
        <v>5883.7737392</v>
      </c>
      <c r="L38" s="51"/>
      <c r="M38" s="51">
        <f t="shared" si="1"/>
        <v>0</v>
      </c>
      <c r="N38" s="41">
        <f t="shared" si="2"/>
        <v>515286.8398133999</v>
      </c>
      <c r="O38" s="33">
        <f t="shared" si="3"/>
        <v>515286.8398133999</v>
      </c>
      <c r="P38" s="41">
        <f t="shared" si="2"/>
        <v>52188.22626080002</v>
      </c>
      <c r="Q38" s="51"/>
      <c r="R38" s="65"/>
      <c r="S38" s="65">
        <f t="shared" si="43"/>
        <v>143548.1121978</v>
      </c>
      <c r="T38" s="20">
        <f t="shared" si="4"/>
        <v>143548.1121978</v>
      </c>
      <c r="U38" s="20">
        <f t="shared" si="21"/>
        <v>14538.5458736</v>
      </c>
      <c r="V38" s="51"/>
      <c r="W38" s="65"/>
      <c r="X38" s="65">
        <f t="shared" si="44"/>
        <v>11075.427396</v>
      </c>
      <c r="Y38" s="20">
        <f t="shared" si="5"/>
        <v>11075.427396</v>
      </c>
      <c r="Z38" s="20">
        <f t="shared" si="22"/>
        <v>1121.718752</v>
      </c>
      <c r="AA38" s="51"/>
      <c r="AB38" s="33"/>
      <c r="AC38" s="33">
        <f t="shared" si="45"/>
        <v>13718.140425</v>
      </c>
      <c r="AD38" s="33">
        <f t="shared" si="88"/>
        <v>13718.140425</v>
      </c>
      <c r="AE38" s="20">
        <f t="shared" si="23"/>
        <v>1389.3726</v>
      </c>
      <c r="AF38" s="51"/>
      <c r="AG38" s="65"/>
      <c r="AH38" s="65">
        <f t="shared" si="46"/>
        <v>6796.915712100001</v>
      </c>
      <c r="AI38" s="20">
        <f t="shared" si="6"/>
        <v>6796.915712100001</v>
      </c>
      <c r="AJ38" s="20">
        <f t="shared" si="24"/>
        <v>688.3912952</v>
      </c>
      <c r="AK38" s="51"/>
      <c r="AL38" s="65"/>
      <c r="AM38" s="65">
        <f t="shared" si="47"/>
        <v>123915.2027292</v>
      </c>
      <c r="AN38" s="20">
        <f t="shared" si="7"/>
        <v>123915.2027292</v>
      </c>
      <c r="AO38" s="20">
        <f t="shared" si="25"/>
        <v>12550.1257504</v>
      </c>
      <c r="AP38" s="51"/>
      <c r="AQ38" s="65"/>
      <c r="AR38" s="65">
        <f t="shared" si="48"/>
        <v>16339.925047499999</v>
      </c>
      <c r="AS38" s="20">
        <f t="shared" si="8"/>
        <v>16339.925047499999</v>
      </c>
      <c r="AT38" s="20">
        <f t="shared" si="26"/>
        <v>1654.90682</v>
      </c>
      <c r="AU38" s="51"/>
      <c r="AV38" s="51"/>
      <c r="AW38" s="51">
        <f t="shared" si="49"/>
        <v>4846.789593</v>
      </c>
      <c r="AX38" s="33">
        <f t="shared" si="9"/>
        <v>4846.789593</v>
      </c>
      <c r="AY38" s="20">
        <f t="shared" si="27"/>
        <v>490.88261600000004</v>
      </c>
      <c r="AZ38" s="51"/>
      <c r="BA38" s="33"/>
      <c r="BB38" s="33">
        <f t="shared" si="50"/>
        <v>2131.5438675</v>
      </c>
      <c r="BC38" s="33">
        <f t="shared" si="51"/>
        <v>2131.5438675</v>
      </c>
      <c r="BD38" s="20">
        <f t="shared" si="28"/>
        <v>215.88266</v>
      </c>
      <c r="BE38" s="51"/>
      <c r="BF38" s="51"/>
      <c r="BG38" s="51">
        <f t="shared" si="52"/>
        <v>18680.2369371</v>
      </c>
      <c r="BH38" s="33">
        <f t="shared" si="10"/>
        <v>18680.2369371</v>
      </c>
      <c r="BI38" s="20">
        <f t="shared" si="29"/>
        <v>1891.9334952</v>
      </c>
      <c r="BJ38" s="51"/>
      <c r="BK38" s="51"/>
      <c r="BL38" s="51">
        <f t="shared" si="53"/>
        <v>1446.6402630000002</v>
      </c>
      <c r="BM38" s="33">
        <f t="shared" si="11"/>
        <v>1446.6402630000002</v>
      </c>
      <c r="BN38" s="20">
        <f t="shared" si="30"/>
        <v>146.515656</v>
      </c>
      <c r="BO38" s="51"/>
      <c r="BP38" s="51"/>
      <c r="BQ38" s="51">
        <f t="shared" si="54"/>
        <v>62303.1207552</v>
      </c>
      <c r="BR38" s="33">
        <f t="shared" si="12"/>
        <v>62303.1207552</v>
      </c>
      <c r="BS38" s="20">
        <f t="shared" si="31"/>
        <v>6310.0570624</v>
      </c>
      <c r="BT38" s="51"/>
      <c r="BU38" s="51"/>
      <c r="BV38" s="51">
        <f t="shared" si="55"/>
        <v>2645.9239626</v>
      </c>
      <c r="BW38" s="33">
        <f t="shared" si="13"/>
        <v>2645.9239626</v>
      </c>
      <c r="BX38" s="20">
        <f t="shared" si="32"/>
        <v>267.9790512</v>
      </c>
      <c r="BY38" s="51"/>
      <c r="BZ38" s="33"/>
      <c r="CA38" s="33">
        <f t="shared" si="56"/>
        <v>7.2819387</v>
      </c>
      <c r="CB38" s="33">
        <f t="shared" si="57"/>
        <v>7.2819387</v>
      </c>
      <c r="CC38" s="20">
        <f t="shared" si="33"/>
        <v>0.7375144</v>
      </c>
      <c r="CD38" s="51"/>
      <c r="CE38" s="51"/>
      <c r="CF38" s="51">
        <f t="shared" si="58"/>
        <v>1837.6287669</v>
      </c>
      <c r="CG38" s="33">
        <f t="shared" si="14"/>
        <v>1837.6287669</v>
      </c>
      <c r="CH38" s="20">
        <f t="shared" si="34"/>
        <v>186.1149528</v>
      </c>
      <c r="CI38" s="51"/>
      <c r="CJ38" s="51"/>
      <c r="CK38" s="51">
        <f t="shared" si="59"/>
        <v>4695.0156423</v>
      </c>
      <c r="CL38" s="33">
        <f t="shared" si="15"/>
        <v>4695.0156423</v>
      </c>
      <c r="CM38" s="20">
        <f t="shared" si="35"/>
        <v>475.51095760000004</v>
      </c>
      <c r="CN38" s="51"/>
      <c r="CO38" s="51"/>
      <c r="CP38" s="51">
        <f t="shared" si="60"/>
        <v>7935.249011399999</v>
      </c>
      <c r="CQ38" s="33">
        <f t="shared" si="16"/>
        <v>7935.249011399999</v>
      </c>
      <c r="CR38" s="20">
        <f t="shared" si="36"/>
        <v>803.6816368</v>
      </c>
      <c r="CS38" s="51"/>
      <c r="CT38" s="51"/>
      <c r="CU38" s="51">
        <f t="shared" si="61"/>
        <v>65276.1012402</v>
      </c>
      <c r="CV38" s="33">
        <f t="shared" si="17"/>
        <v>65276.1012402</v>
      </c>
      <c r="CW38" s="20">
        <f t="shared" si="37"/>
        <v>6611.1603824</v>
      </c>
      <c r="CX38" s="51"/>
      <c r="CY38" s="51"/>
      <c r="CZ38" s="51">
        <f t="shared" si="62"/>
        <v>1225.6018875</v>
      </c>
      <c r="DA38" s="33">
        <f t="shared" si="18"/>
        <v>1225.6018875</v>
      </c>
      <c r="DB38" s="20">
        <f t="shared" si="38"/>
        <v>124.1289</v>
      </c>
      <c r="DC38" s="51"/>
      <c r="DD38" s="51"/>
      <c r="DE38" s="51">
        <f t="shared" si="63"/>
        <v>5840.9175708</v>
      </c>
      <c r="DF38" s="33">
        <f t="shared" si="19"/>
        <v>5840.9175708</v>
      </c>
      <c r="DG38" s="20">
        <f t="shared" si="39"/>
        <v>591.5678495999999</v>
      </c>
      <c r="DH38" s="33"/>
      <c r="DI38" s="33"/>
      <c r="DJ38" s="33">
        <f t="shared" si="64"/>
        <v>10517.6423592</v>
      </c>
      <c r="DK38" s="33">
        <f t="shared" si="65"/>
        <v>10517.6423592</v>
      </c>
      <c r="DL38" s="20">
        <f t="shared" si="40"/>
        <v>1065.2263104</v>
      </c>
      <c r="DM38" s="51"/>
      <c r="DN38" s="51"/>
      <c r="DO38" s="51">
        <f t="shared" si="66"/>
        <v>10503.4225104</v>
      </c>
      <c r="DP38" s="33">
        <f t="shared" si="20"/>
        <v>10503.4225104</v>
      </c>
      <c r="DQ38" s="20">
        <f t="shared" si="41"/>
        <v>1063.7861248</v>
      </c>
      <c r="DR38" s="51"/>
      <c r="DS38" s="33"/>
      <c r="DT38" s="33"/>
      <c r="DU38" s="33"/>
    </row>
    <row r="39" spans="1:125" s="53" customFormat="1" ht="12.75">
      <c r="A39" s="52">
        <v>45748</v>
      </c>
      <c r="C39" s="41">
        <v>5870000</v>
      </c>
      <c r="D39" s="41">
        <v>573381</v>
      </c>
      <c r="E39" s="35">
        <f t="shared" si="0"/>
        <v>6443381</v>
      </c>
      <c r="F39" s="35">
        <v>58072</v>
      </c>
      <c r="G39" s="51"/>
      <c r="H39" s="51">
        <v>594740</v>
      </c>
      <c r="I39" s="51">
        <v>58094</v>
      </c>
      <c r="J39" s="51">
        <f t="shared" si="42"/>
        <v>652834</v>
      </c>
      <c r="K39" s="51">
        <v>5883.7737392</v>
      </c>
      <c r="L39" s="51"/>
      <c r="M39" s="51">
        <f t="shared" si="1"/>
        <v>5275259.817999999</v>
      </c>
      <c r="N39" s="41">
        <f t="shared" si="2"/>
        <v>515286.8398133999</v>
      </c>
      <c r="O39" s="33">
        <f t="shared" si="3"/>
        <v>5790546.657813399</v>
      </c>
      <c r="P39" s="41">
        <f t="shared" si="2"/>
        <v>52188.22626080002</v>
      </c>
      <c r="Q39" s="51"/>
      <c r="R39" s="65">
        <f t="shared" si="67"/>
        <v>1469576.8059999999</v>
      </c>
      <c r="S39" s="65">
        <f t="shared" si="43"/>
        <v>143548.1121978</v>
      </c>
      <c r="T39" s="20">
        <f t="shared" si="4"/>
        <v>1613124.9181978</v>
      </c>
      <c r="U39" s="20">
        <f t="shared" si="21"/>
        <v>14538.5458736</v>
      </c>
      <c r="V39" s="51"/>
      <c r="W39" s="65">
        <f t="shared" si="68"/>
        <v>113384.92</v>
      </c>
      <c r="X39" s="65">
        <f t="shared" si="44"/>
        <v>11075.427396</v>
      </c>
      <c r="Y39" s="20">
        <f t="shared" si="5"/>
        <v>124460.347396</v>
      </c>
      <c r="Z39" s="20">
        <f t="shared" si="22"/>
        <v>1121.718752</v>
      </c>
      <c r="AA39" s="51"/>
      <c r="AB39" s="33">
        <f t="shared" si="69"/>
        <v>140439.75</v>
      </c>
      <c r="AC39" s="33">
        <f t="shared" si="45"/>
        <v>13718.140425</v>
      </c>
      <c r="AD39" s="33">
        <f t="shared" si="88"/>
        <v>154157.890425</v>
      </c>
      <c r="AE39" s="20">
        <f t="shared" si="23"/>
        <v>1389.3726</v>
      </c>
      <c r="AF39" s="51"/>
      <c r="AG39" s="65">
        <f t="shared" si="70"/>
        <v>69583.567</v>
      </c>
      <c r="AH39" s="65">
        <f t="shared" si="46"/>
        <v>6796.915712100001</v>
      </c>
      <c r="AI39" s="20">
        <f t="shared" si="6"/>
        <v>76380.4827121</v>
      </c>
      <c r="AJ39" s="20">
        <f t="shared" si="24"/>
        <v>688.3912952</v>
      </c>
      <c r="AK39" s="51"/>
      <c r="AL39" s="65">
        <f t="shared" si="71"/>
        <v>1268584.484</v>
      </c>
      <c r="AM39" s="65">
        <f t="shared" si="47"/>
        <v>123915.2027292</v>
      </c>
      <c r="AN39" s="20">
        <f t="shared" si="7"/>
        <v>1392499.6867292</v>
      </c>
      <c r="AO39" s="20">
        <f t="shared" si="25"/>
        <v>12550.1257504</v>
      </c>
      <c r="AP39" s="51"/>
      <c r="AQ39" s="65">
        <f t="shared" si="72"/>
        <v>167280.32499999998</v>
      </c>
      <c r="AR39" s="65">
        <f t="shared" si="48"/>
        <v>16339.925047499999</v>
      </c>
      <c r="AS39" s="20">
        <f t="shared" si="8"/>
        <v>183620.25004749998</v>
      </c>
      <c r="AT39" s="20">
        <f t="shared" si="26"/>
        <v>1654.90682</v>
      </c>
      <c r="AU39" s="51"/>
      <c r="AV39" s="51">
        <f t="shared" si="73"/>
        <v>49619.11</v>
      </c>
      <c r="AW39" s="51">
        <f t="shared" si="49"/>
        <v>4846.789593</v>
      </c>
      <c r="AX39" s="33">
        <f t="shared" si="9"/>
        <v>54465.899593</v>
      </c>
      <c r="AY39" s="20">
        <f t="shared" si="27"/>
        <v>490.88261600000004</v>
      </c>
      <c r="AZ39" s="51"/>
      <c r="BA39" s="33">
        <f t="shared" si="74"/>
        <v>21821.725</v>
      </c>
      <c r="BB39" s="33">
        <f t="shared" si="50"/>
        <v>2131.5438675</v>
      </c>
      <c r="BC39" s="33">
        <f t="shared" si="51"/>
        <v>23953.2688675</v>
      </c>
      <c r="BD39" s="20">
        <f t="shared" si="28"/>
        <v>215.88266</v>
      </c>
      <c r="BE39" s="51"/>
      <c r="BF39" s="51">
        <f t="shared" si="75"/>
        <v>191239.31699999998</v>
      </c>
      <c r="BG39" s="51">
        <f t="shared" si="52"/>
        <v>18680.2369371</v>
      </c>
      <c r="BH39" s="33">
        <f t="shared" si="10"/>
        <v>209919.5539371</v>
      </c>
      <c r="BI39" s="20">
        <f t="shared" si="29"/>
        <v>1891.9334952</v>
      </c>
      <c r="BJ39" s="51"/>
      <c r="BK39" s="51">
        <f t="shared" si="76"/>
        <v>14810.010000000002</v>
      </c>
      <c r="BL39" s="51">
        <f t="shared" si="53"/>
        <v>1446.6402630000002</v>
      </c>
      <c r="BM39" s="33">
        <f t="shared" si="11"/>
        <v>16256.650263000003</v>
      </c>
      <c r="BN39" s="20">
        <f t="shared" si="30"/>
        <v>146.515656</v>
      </c>
      <c r="BO39" s="51"/>
      <c r="BP39" s="51">
        <f t="shared" si="77"/>
        <v>637829.504</v>
      </c>
      <c r="BQ39" s="51">
        <f t="shared" si="54"/>
        <v>62303.1207552</v>
      </c>
      <c r="BR39" s="33">
        <f t="shared" si="12"/>
        <v>700132.6247552</v>
      </c>
      <c r="BS39" s="20">
        <f t="shared" si="31"/>
        <v>6310.0570624</v>
      </c>
      <c r="BT39" s="51"/>
      <c r="BU39" s="51">
        <f t="shared" si="78"/>
        <v>27087.701999999997</v>
      </c>
      <c r="BV39" s="51">
        <f t="shared" si="55"/>
        <v>2645.9239626</v>
      </c>
      <c r="BW39" s="33">
        <f t="shared" si="13"/>
        <v>29733.625962599996</v>
      </c>
      <c r="BX39" s="20">
        <f t="shared" si="32"/>
        <v>267.9790512</v>
      </c>
      <c r="BY39" s="51"/>
      <c r="BZ39" s="33">
        <f t="shared" si="79"/>
        <v>74.549</v>
      </c>
      <c r="CA39" s="33">
        <f t="shared" si="56"/>
        <v>7.2819387</v>
      </c>
      <c r="CB39" s="33">
        <f t="shared" si="57"/>
        <v>81.8309387</v>
      </c>
      <c r="CC39" s="20">
        <f t="shared" si="33"/>
        <v>0.7375144</v>
      </c>
      <c r="CD39" s="51"/>
      <c r="CE39" s="51">
        <f t="shared" si="80"/>
        <v>18812.763</v>
      </c>
      <c r="CF39" s="51">
        <f t="shared" si="58"/>
        <v>1837.6287669</v>
      </c>
      <c r="CG39" s="33">
        <f t="shared" si="14"/>
        <v>20650.3917669</v>
      </c>
      <c r="CH39" s="20">
        <f t="shared" si="34"/>
        <v>186.1149528</v>
      </c>
      <c r="CI39" s="51"/>
      <c r="CJ39" s="51">
        <f t="shared" si="81"/>
        <v>48065.320999999996</v>
      </c>
      <c r="CK39" s="51">
        <f t="shared" si="59"/>
        <v>4695.0156423</v>
      </c>
      <c r="CL39" s="33">
        <f t="shared" si="15"/>
        <v>52760.3366423</v>
      </c>
      <c r="CM39" s="20">
        <f t="shared" si="35"/>
        <v>475.51095760000004</v>
      </c>
      <c r="CN39" s="51"/>
      <c r="CO39" s="51">
        <f t="shared" si="82"/>
        <v>81237.27799999999</v>
      </c>
      <c r="CP39" s="51">
        <f t="shared" si="60"/>
        <v>7935.249011399999</v>
      </c>
      <c r="CQ39" s="33">
        <f t="shared" si="16"/>
        <v>89172.52701139999</v>
      </c>
      <c r="CR39" s="20">
        <f t="shared" si="36"/>
        <v>803.6816368</v>
      </c>
      <c r="CS39" s="51"/>
      <c r="CT39" s="51">
        <f t="shared" si="83"/>
        <v>668265.454</v>
      </c>
      <c r="CU39" s="51">
        <f t="shared" si="61"/>
        <v>65276.1012402</v>
      </c>
      <c r="CV39" s="33">
        <f t="shared" si="17"/>
        <v>733541.5552402</v>
      </c>
      <c r="CW39" s="20">
        <f t="shared" si="37"/>
        <v>6611.1603824</v>
      </c>
      <c r="CX39" s="51"/>
      <c r="CY39" s="51">
        <f t="shared" si="84"/>
        <v>12547.125</v>
      </c>
      <c r="CZ39" s="51">
        <f t="shared" si="62"/>
        <v>1225.6018875</v>
      </c>
      <c r="DA39" s="33">
        <f t="shared" si="18"/>
        <v>13772.7268875</v>
      </c>
      <c r="DB39" s="20">
        <f t="shared" si="38"/>
        <v>124.1289</v>
      </c>
      <c r="DC39" s="51"/>
      <c r="DD39" s="51">
        <f t="shared" si="85"/>
        <v>59796.516</v>
      </c>
      <c r="DE39" s="51">
        <f t="shared" si="63"/>
        <v>5840.9175708</v>
      </c>
      <c r="DF39" s="33">
        <f t="shared" si="19"/>
        <v>65637.4335708</v>
      </c>
      <c r="DG39" s="20">
        <f t="shared" si="39"/>
        <v>591.5678495999999</v>
      </c>
      <c r="DH39" s="33"/>
      <c r="DI39" s="33">
        <f t="shared" si="86"/>
        <v>107674.584</v>
      </c>
      <c r="DJ39" s="33">
        <f t="shared" si="64"/>
        <v>10517.6423592</v>
      </c>
      <c r="DK39" s="33">
        <f t="shared" si="65"/>
        <v>118192.2263592</v>
      </c>
      <c r="DL39" s="20">
        <f t="shared" si="40"/>
        <v>1065.2263104</v>
      </c>
      <c r="DM39" s="51"/>
      <c r="DN39" s="51">
        <f t="shared" si="87"/>
        <v>107529.00799999999</v>
      </c>
      <c r="DO39" s="51">
        <f t="shared" si="66"/>
        <v>10503.4225104</v>
      </c>
      <c r="DP39" s="33">
        <f t="shared" si="20"/>
        <v>118032.43051039998</v>
      </c>
      <c r="DQ39" s="20">
        <f t="shared" si="41"/>
        <v>1063.7861248</v>
      </c>
      <c r="DR39" s="51"/>
      <c r="DS39" s="33"/>
      <c r="DT39" s="33"/>
      <c r="DU39" s="33"/>
    </row>
    <row r="40" spans="1:125" s="53" customFormat="1" ht="12.75">
      <c r="A40" s="52">
        <v>45931</v>
      </c>
      <c r="C40" s="41"/>
      <c r="D40" s="41">
        <v>437638</v>
      </c>
      <c r="E40" s="35">
        <f t="shared" si="0"/>
        <v>437638</v>
      </c>
      <c r="F40" s="35">
        <v>58072</v>
      </c>
      <c r="G40" s="51"/>
      <c r="H40" s="51"/>
      <c r="I40" s="51">
        <v>44341</v>
      </c>
      <c r="J40" s="51">
        <f t="shared" si="42"/>
        <v>44341</v>
      </c>
      <c r="K40" s="51">
        <v>5883.7737392</v>
      </c>
      <c r="L40" s="51"/>
      <c r="M40" s="51">
        <f t="shared" si="1"/>
        <v>0</v>
      </c>
      <c r="N40" s="41">
        <f t="shared" si="2"/>
        <v>393297.1305332</v>
      </c>
      <c r="O40" s="33">
        <f t="shared" si="3"/>
        <v>393297.1305332</v>
      </c>
      <c r="P40" s="41">
        <f t="shared" si="2"/>
        <v>52188.22626080002</v>
      </c>
      <c r="Q40" s="51"/>
      <c r="R40" s="65"/>
      <c r="S40" s="65">
        <f t="shared" si="43"/>
        <v>109564.3363244</v>
      </c>
      <c r="T40" s="20">
        <f t="shared" si="4"/>
        <v>109564.3363244</v>
      </c>
      <c r="U40" s="20">
        <f t="shared" si="21"/>
        <v>14538.5458736</v>
      </c>
      <c r="V40" s="51"/>
      <c r="W40" s="65"/>
      <c r="X40" s="65">
        <f t="shared" si="44"/>
        <v>8453.415608</v>
      </c>
      <c r="Y40" s="20">
        <f t="shared" si="5"/>
        <v>8453.415608</v>
      </c>
      <c r="Z40" s="20">
        <f t="shared" si="22"/>
        <v>1121.718752</v>
      </c>
      <c r="AA40" s="51"/>
      <c r="AB40" s="33"/>
      <c r="AC40" s="33">
        <f t="shared" si="45"/>
        <v>10470.489150000001</v>
      </c>
      <c r="AD40" s="33">
        <f t="shared" si="88"/>
        <v>10470.489150000001</v>
      </c>
      <c r="AE40" s="20">
        <f t="shared" si="23"/>
        <v>1389.3726</v>
      </c>
      <c r="AF40" s="51"/>
      <c r="AG40" s="65"/>
      <c r="AH40" s="65">
        <f t="shared" si="46"/>
        <v>5187.804615800001</v>
      </c>
      <c r="AI40" s="20">
        <f t="shared" si="6"/>
        <v>5187.804615800001</v>
      </c>
      <c r="AJ40" s="20">
        <f t="shared" si="24"/>
        <v>688.3912952</v>
      </c>
      <c r="AK40" s="51"/>
      <c r="AL40" s="65"/>
      <c r="AM40" s="65">
        <f t="shared" si="47"/>
        <v>94579.34862159999</v>
      </c>
      <c r="AN40" s="20">
        <f t="shared" si="7"/>
        <v>94579.34862159999</v>
      </c>
      <c r="AO40" s="20">
        <f t="shared" si="25"/>
        <v>12550.1257504</v>
      </c>
      <c r="AP40" s="51"/>
      <c r="AQ40" s="65"/>
      <c r="AR40" s="65">
        <f t="shared" si="48"/>
        <v>12471.588905</v>
      </c>
      <c r="AS40" s="20">
        <f t="shared" si="8"/>
        <v>12471.588905</v>
      </c>
      <c r="AT40" s="20">
        <f t="shared" si="26"/>
        <v>1654.90682</v>
      </c>
      <c r="AU40" s="51"/>
      <c r="AV40" s="51"/>
      <c r="AW40" s="51">
        <f t="shared" si="49"/>
        <v>3699.3540140000005</v>
      </c>
      <c r="AX40" s="33">
        <f t="shared" si="9"/>
        <v>3699.3540140000005</v>
      </c>
      <c r="AY40" s="20">
        <f t="shared" si="27"/>
        <v>490.88261600000004</v>
      </c>
      <c r="AZ40" s="51"/>
      <c r="BA40" s="33"/>
      <c r="BB40" s="33">
        <f t="shared" si="50"/>
        <v>1626.919265</v>
      </c>
      <c r="BC40" s="33">
        <f t="shared" si="51"/>
        <v>1626.919265</v>
      </c>
      <c r="BD40" s="20">
        <f t="shared" si="28"/>
        <v>215.88266</v>
      </c>
      <c r="BE40" s="51"/>
      <c r="BF40" s="51"/>
      <c r="BG40" s="51">
        <f t="shared" si="52"/>
        <v>14257.8521658</v>
      </c>
      <c r="BH40" s="33">
        <f t="shared" si="10"/>
        <v>14257.8521658</v>
      </c>
      <c r="BI40" s="20">
        <f t="shared" si="29"/>
        <v>1891.9334952</v>
      </c>
      <c r="BJ40" s="51"/>
      <c r="BK40" s="51"/>
      <c r="BL40" s="51">
        <f t="shared" si="53"/>
        <v>1104.1606740000002</v>
      </c>
      <c r="BM40" s="33">
        <f t="shared" si="11"/>
        <v>1104.1606740000002</v>
      </c>
      <c r="BN40" s="20">
        <f t="shared" si="30"/>
        <v>146.515656</v>
      </c>
      <c r="BO40" s="51"/>
      <c r="BP40" s="51"/>
      <c r="BQ40" s="51">
        <f t="shared" si="54"/>
        <v>47553.39496959999</v>
      </c>
      <c r="BR40" s="33">
        <f t="shared" si="12"/>
        <v>47553.39496959999</v>
      </c>
      <c r="BS40" s="20">
        <f t="shared" si="31"/>
        <v>6310.0570624</v>
      </c>
      <c r="BT40" s="51"/>
      <c r="BU40" s="51"/>
      <c r="BV40" s="51">
        <f t="shared" si="55"/>
        <v>2019.5243148</v>
      </c>
      <c r="BW40" s="33">
        <f t="shared" si="13"/>
        <v>2019.5243148</v>
      </c>
      <c r="BX40" s="20">
        <f t="shared" si="32"/>
        <v>267.9790512</v>
      </c>
      <c r="BY40" s="51"/>
      <c r="BZ40" s="33"/>
      <c r="CA40" s="33">
        <f t="shared" si="56"/>
        <v>5.5580026</v>
      </c>
      <c r="CB40" s="33">
        <f t="shared" si="57"/>
        <v>5.5580026</v>
      </c>
      <c r="CC40" s="20">
        <f t="shared" si="33"/>
        <v>0.7375144</v>
      </c>
      <c r="CD40" s="51"/>
      <c r="CE40" s="51"/>
      <c r="CF40" s="51">
        <f t="shared" si="58"/>
        <v>1402.5860261999999</v>
      </c>
      <c r="CG40" s="33">
        <f t="shared" si="14"/>
        <v>1402.5860261999999</v>
      </c>
      <c r="CH40" s="20">
        <f t="shared" si="34"/>
        <v>186.1149528</v>
      </c>
      <c r="CI40" s="51"/>
      <c r="CJ40" s="51"/>
      <c r="CK40" s="51">
        <f t="shared" si="59"/>
        <v>3583.5112354</v>
      </c>
      <c r="CL40" s="33">
        <f t="shared" si="15"/>
        <v>3583.5112354</v>
      </c>
      <c r="CM40" s="20">
        <f t="shared" si="35"/>
        <v>475.51095760000004</v>
      </c>
      <c r="CN40" s="51"/>
      <c r="CO40" s="51"/>
      <c r="CP40" s="51">
        <f t="shared" si="60"/>
        <v>6056.6473372</v>
      </c>
      <c r="CQ40" s="33">
        <f t="shared" si="16"/>
        <v>6056.6473372</v>
      </c>
      <c r="CR40" s="20">
        <f t="shared" si="36"/>
        <v>803.6816368</v>
      </c>
      <c r="CS40" s="51"/>
      <c r="CT40" s="51"/>
      <c r="CU40" s="51">
        <f t="shared" si="61"/>
        <v>49822.54799960001</v>
      </c>
      <c r="CV40" s="33">
        <f t="shared" si="17"/>
        <v>49822.54799960001</v>
      </c>
      <c r="CW40" s="20">
        <f t="shared" si="37"/>
        <v>6611.1603824</v>
      </c>
      <c r="CX40" s="51"/>
      <c r="CY40" s="51"/>
      <c r="CZ40" s="51">
        <f t="shared" si="62"/>
        <v>935.451225</v>
      </c>
      <c r="DA40" s="33">
        <f t="shared" si="18"/>
        <v>935.451225</v>
      </c>
      <c r="DB40" s="20">
        <f t="shared" si="38"/>
        <v>124.1289</v>
      </c>
      <c r="DC40" s="51"/>
      <c r="DD40" s="51"/>
      <c r="DE40" s="51">
        <f t="shared" si="63"/>
        <v>4458.1307784</v>
      </c>
      <c r="DF40" s="33">
        <f t="shared" si="19"/>
        <v>4458.1307784</v>
      </c>
      <c r="DG40" s="20">
        <f t="shared" si="39"/>
        <v>591.5678495999999</v>
      </c>
      <c r="DH40" s="33"/>
      <c r="DI40" s="33"/>
      <c r="DJ40" s="33">
        <f t="shared" si="64"/>
        <v>8027.6813616</v>
      </c>
      <c r="DK40" s="33">
        <f t="shared" si="65"/>
        <v>8027.6813616</v>
      </c>
      <c r="DL40" s="20">
        <f t="shared" si="40"/>
        <v>1065.2263104</v>
      </c>
      <c r="DM40" s="51"/>
      <c r="DN40" s="51"/>
      <c r="DO40" s="51">
        <f t="shared" si="66"/>
        <v>8016.8279391999995</v>
      </c>
      <c r="DP40" s="33">
        <f t="shared" si="20"/>
        <v>8016.8279391999995</v>
      </c>
      <c r="DQ40" s="20">
        <f t="shared" si="41"/>
        <v>1063.7861248</v>
      </c>
      <c r="DR40" s="51"/>
      <c r="DS40" s="33"/>
      <c r="DT40" s="33"/>
      <c r="DU40" s="33"/>
    </row>
    <row r="41" spans="1:125" s="53" customFormat="1" ht="12.75">
      <c r="A41" s="52">
        <v>46113</v>
      </c>
      <c r="C41" s="41">
        <v>6140000</v>
      </c>
      <c r="D41" s="41">
        <v>437638</v>
      </c>
      <c r="E41" s="35">
        <f t="shared" si="0"/>
        <v>6577638</v>
      </c>
      <c r="F41" s="35">
        <v>58072</v>
      </c>
      <c r="G41" s="51"/>
      <c r="H41" s="51">
        <v>622096</v>
      </c>
      <c r="I41" s="51">
        <v>44341</v>
      </c>
      <c r="J41" s="51">
        <f t="shared" si="42"/>
        <v>666437</v>
      </c>
      <c r="K41" s="51">
        <v>5883.7737392</v>
      </c>
      <c r="L41" s="51"/>
      <c r="M41" s="51">
        <f t="shared" si="1"/>
        <v>5517903.796</v>
      </c>
      <c r="N41" s="41">
        <f t="shared" si="2"/>
        <v>393297.1305332</v>
      </c>
      <c r="O41" s="33">
        <f t="shared" si="3"/>
        <v>5911200.9265332</v>
      </c>
      <c r="P41" s="41">
        <f t="shared" si="2"/>
        <v>52188.22626080002</v>
      </c>
      <c r="Q41" s="51"/>
      <c r="R41" s="65">
        <f t="shared" si="67"/>
        <v>1537172.332</v>
      </c>
      <c r="S41" s="65">
        <f t="shared" si="43"/>
        <v>109564.3363244</v>
      </c>
      <c r="T41" s="20">
        <f t="shared" si="4"/>
        <v>1646736.6683244</v>
      </c>
      <c r="U41" s="20">
        <f t="shared" si="21"/>
        <v>14538.5458736</v>
      </c>
      <c r="V41" s="51"/>
      <c r="W41" s="65">
        <f t="shared" si="68"/>
        <v>118600.24</v>
      </c>
      <c r="X41" s="65">
        <f t="shared" si="44"/>
        <v>8453.415608</v>
      </c>
      <c r="Y41" s="20">
        <f t="shared" si="5"/>
        <v>127053.655608</v>
      </c>
      <c r="Z41" s="20">
        <f t="shared" si="22"/>
        <v>1121.718752</v>
      </c>
      <c r="AA41" s="51"/>
      <c r="AB41" s="33">
        <f t="shared" si="69"/>
        <v>146899.5</v>
      </c>
      <c r="AC41" s="33">
        <f t="shared" si="45"/>
        <v>10470.489150000001</v>
      </c>
      <c r="AD41" s="33">
        <f t="shared" si="88"/>
        <v>157369.98915</v>
      </c>
      <c r="AE41" s="20">
        <f t="shared" si="23"/>
        <v>1389.3726</v>
      </c>
      <c r="AF41" s="51"/>
      <c r="AG41" s="65">
        <f t="shared" si="70"/>
        <v>72784.174</v>
      </c>
      <c r="AH41" s="65">
        <f t="shared" si="46"/>
        <v>5187.804615800001</v>
      </c>
      <c r="AI41" s="20">
        <f t="shared" si="6"/>
        <v>77971.9786158</v>
      </c>
      <c r="AJ41" s="20">
        <f t="shared" si="24"/>
        <v>688.3912952</v>
      </c>
      <c r="AK41" s="51"/>
      <c r="AL41" s="65">
        <f t="shared" si="71"/>
        <v>1326935.048</v>
      </c>
      <c r="AM41" s="65">
        <f t="shared" si="47"/>
        <v>94579.34862159999</v>
      </c>
      <c r="AN41" s="20">
        <f t="shared" si="7"/>
        <v>1421514.3966216</v>
      </c>
      <c r="AO41" s="20">
        <f t="shared" si="25"/>
        <v>12550.1257504</v>
      </c>
      <c r="AP41" s="51"/>
      <c r="AQ41" s="65">
        <f t="shared" si="72"/>
        <v>174974.65</v>
      </c>
      <c r="AR41" s="65">
        <f t="shared" si="48"/>
        <v>12471.588905</v>
      </c>
      <c r="AS41" s="20">
        <f t="shared" si="8"/>
        <v>187446.238905</v>
      </c>
      <c r="AT41" s="20">
        <f t="shared" si="26"/>
        <v>1654.90682</v>
      </c>
      <c r="AU41" s="51"/>
      <c r="AV41" s="51">
        <f t="shared" si="73"/>
        <v>51901.42</v>
      </c>
      <c r="AW41" s="51">
        <f t="shared" si="49"/>
        <v>3699.3540140000005</v>
      </c>
      <c r="AX41" s="33">
        <f t="shared" si="9"/>
        <v>55600.774013999995</v>
      </c>
      <c r="AY41" s="20">
        <f t="shared" si="27"/>
        <v>490.88261600000004</v>
      </c>
      <c r="AZ41" s="51"/>
      <c r="BA41" s="33">
        <f t="shared" si="74"/>
        <v>22825.45</v>
      </c>
      <c r="BB41" s="33">
        <f t="shared" si="50"/>
        <v>1626.919265</v>
      </c>
      <c r="BC41" s="33">
        <f t="shared" si="51"/>
        <v>24452.369265</v>
      </c>
      <c r="BD41" s="20">
        <f t="shared" si="28"/>
        <v>215.88266</v>
      </c>
      <c r="BE41" s="51"/>
      <c r="BF41" s="51">
        <f t="shared" si="75"/>
        <v>200035.674</v>
      </c>
      <c r="BG41" s="51">
        <f t="shared" si="52"/>
        <v>14257.8521658</v>
      </c>
      <c r="BH41" s="33">
        <f t="shared" si="10"/>
        <v>214293.5261658</v>
      </c>
      <c r="BI41" s="20">
        <f t="shared" si="29"/>
        <v>1891.9334952</v>
      </c>
      <c r="BJ41" s="51"/>
      <c r="BK41" s="51">
        <f t="shared" si="76"/>
        <v>15491.220000000003</v>
      </c>
      <c r="BL41" s="51">
        <f t="shared" si="53"/>
        <v>1104.1606740000002</v>
      </c>
      <c r="BM41" s="33">
        <f t="shared" si="11"/>
        <v>16595.380674000004</v>
      </c>
      <c r="BN41" s="20">
        <f t="shared" si="30"/>
        <v>146.515656</v>
      </c>
      <c r="BO41" s="51"/>
      <c r="BP41" s="51">
        <f t="shared" si="77"/>
        <v>667167.488</v>
      </c>
      <c r="BQ41" s="51">
        <f t="shared" si="54"/>
        <v>47553.39496959999</v>
      </c>
      <c r="BR41" s="33">
        <f t="shared" si="12"/>
        <v>714720.8829696</v>
      </c>
      <c r="BS41" s="20">
        <f t="shared" si="31"/>
        <v>6310.0570624</v>
      </c>
      <c r="BT41" s="51"/>
      <c r="BU41" s="51">
        <f t="shared" si="78"/>
        <v>28333.644</v>
      </c>
      <c r="BV41" s="51">
        <f t="shared" si="55"/>
        <v>2019.5243148</v>
      </c>
      <c r="BW41" s="33">
        <f t="shared" si="13"/>
        <v>30353.1683148</v>
      </c>
      <c r="BX41" s="20">
        <f t="shared" si="32"/>
        <v>267.9790512</v>
      </c>
      <c r="BY41" s="51"/>
      <c r="BZ41" s="33">
        <f t="shared" si="79"/>
        <v>77.97800000000001</v>
      </c>
      <c r="CA41" s="33">
        <f t="shared" si="56"/>
        <v>5.5580026</v>
      </c>
      <c r="CB41" s="33">
        <f t="shared" si="57"/>
        <v>83.5360026</v>
      </c>
      <c r="CC41" s="20">
        <f t="shared" si="33"/>
        <v>0.7375144</v>
      </c>
      <c r="CD41" s="51"/>
      <c r="CE41" s="51">
        <f t="shared" si="80"/>
        <v>19678.086</v>
      </c>
      <c r="CF41" s="51">
        <f t="shared" si="58"/>
        <v>1402.5860261999999</v>
      </c>
      <c r="CG41" s="33">
        <f t="shared" si="14"/>
        <v>21080.672026199998</v>
      </c>
      <c r="CH41" s="20">
        <f t="shared" si="34"/>
        <v>186.1149528</v>
      </c>
      <c r="CI41" s="51"/>
      <c r="CJ41" s="51">
        <f t="shared" si="81"/>
        <v>50276.16199999999</v>
      </c>
      <c r="CK41" s="51">
        <f t="shared" si="59"/>
        <v>3583.5112354</v>
      </c>
      <c r="CL41" s="33">
        <f t="shared" si="15"/>
        <v>53859.67323539999</v>
      </c>
      <c r="CM41" s="20">
        <f t="shared" si="35"/>
        <v>475.51095760000004</v>
      </c>
      <c r="CN41" s="51"/>
      <c r="CO41" s="51">
        <f t="shared" si="82"/>
        <v>84973.916</v>
      </c>
      <c r="CP41" s="51">
        <f t="shared" si="60"/>
        <v>6056.6473372</v>
      </c>
      <c r="CQ41" s="33">
        <f t="shared" si="16"/>
        <v>91030.5633372</v>
      </c>
      <c r="CR41" s="20">
        <f t="shared" si="36"/>
        <v>803.6816368</v>
      </c>
      <c r="CS41" s="51"/>
      <c r="CT41" s="51">
        <f t="shared" si="83"/>
        <v>699003.3879999999</v>
      </c>
      <c r="CU41" s="51">
        <f t="shared" si="61"/>
        <v>49822.54799960001</v>
      </c>
      <c r="CV41" s="33">
        <f t="shared" si="17"/>
        <v>748825.9359996</v>
      </c>
      <c r="CW41" s="20">
        <f t="shared" si="37"/>
        <v>6611.1603824</v>
      </c>
      <c r="CX41" s="51"/>
      <c r="CY41" s="51">
        <f t="shared" si="84"/>
        <v>13124.25</v>
      </c>
      <c r="CZ41" s="51">
        <f t="shared" si="62"/>
        <v>935.451225</v>
      </c>
      <c r="DA41" s="33">
        <f t="shared" si="18"/>
        <v>14059.701225</v>
      </c>
      <c r="DB41" s="20">
        <f t="shared" si="38"/>
        <v>124.1289</v>
      </c>
      <c r="DC41" s="51"/>
      <c r="DD41" s="51">
        <f t="shared" si="85"/>
        <v>62546.952000000005</v>
      </c>
      <c r="DE41" s="51">
        <f t="shared" si="63"/>
        <v>4458.1307784</v>
      </c>
      <c r="DF41" s="33">
        <f t="shared" si="19"/>
        <v>67005.0827784</v>
      </c>
      <c r="DG41" s="20">
        <f t="shared" si="39"/>
        <v>591.5678495999999</v>
      </c>
      <c r="DH41" s="33"/>
      <c r="DI41" s="33">
        <f t="shared" si="86"/>
        <v>112627.24799999999</v>
      </c>
      <c r="DJ41" s="33">
        <f t="shared" si="64"/>
        <v>8027.6813616</v>
      </c>
      <c r="DK41" s="33">
        <f t="shared" si="65"/>
        <v>120654.92936159999</v>
      </c>
      <c r="DL41" s="20">
        <f t="shared" si="40"/>
        <v>1065.2263104</v>
      </c>
      <c r="DM41" s="51"/>
      <c r="DN41" s="51">
        <f t="shared" si="87"/>
        <v>112474.976</v>
      </c>
      <c r="DO41" s="51">
        <f t="shared" si="66"/>
        <v>8016.8279391999995</v>
      </c>
      <c r="DP41" s="33">
        <f t="shared" si="20"/>
        <v>120491.80393919999</v>
      </c>
      <c r="DQ41" s="20">
        <f t="shared" si="41"/>
        <v>1063.7861248</v>
      </c>
      <c r="DR41" s="51"/>
      <c r="DS41" s="33"/>
      <c r="DT41" s="33"/>
      <c r="DU41" s="33"/>
    </row>
    <row r="42" spans="1:125" s="53" customFormat="1" ht="12.75">
      <c r="A42" s="19">
        <v>46296</v>
      </c>
      <c r="C42" s="41"/>
      <c r="D42" s="41">
        <v>295650</v>
      </c>
      <c r="E42" s="35">
        <f t="shared" si="0"/>
        <v>295650</v>
      </c>
      <c r="F42" s="35">
        <v>58072</v>
      </c>
      <c r="G42" s="51"/>
      <c r="H42" s="51"/>
      <c r="I42" s="51">
        <v>29955</v>
      </c>
      <c r="J42" s="51">
        <f t="shared" si="42"/>
        <v>29955</v>
      </c>
      <c r="K42" s="51">
        <v>5883.7737392</v>
      </c>
      <c r="L42" s="51"/>
      <c r="M42" s="51">
        <f t="shared" si="1"/>
        <v>0</v>
      </c>
      <c r="N42" s="41">
        <f t="shared" si="2"/>
        <v>265695.15591</v>
      </c>
      <c r="O42" s="33">
        <f t="shared" si="3"/>
        <v>265695.15591</v>
      </c>
      <c r="P42" s="41">
        <f t="shared" si="2"/>
        <v>52188.22626080002</v>
      </c>
      <c r="Q42" s="51"/>
      <c r="R42" s="65"/>
      <c r="S42" s="65">
        <f t="shared" si="43"/>
        <v>74017.10097</v>
      </c>
      <c r="T42" s="20">
        <f t="shared" si="4"/>
        <v>74017.10097</v>
      </c>
      <c r="U42" s="20">
        <f t="shared" si="21"/>
        <v>14538.5458736</v>
      </c>
      <c r="V42" s="51"/>
      <c r="W42" s="65"/>
      <c r="X42" s="65">
        <f t="shared" si="44"/>
        <v>5710.7754</v>
      </c>
      <c r="Y42" s="20">
        <f t="shared" si="5"/>
        <v>5710.7754</v>
      </c>
      <c r="Z42" s="20">
        <f t="shared" si="22"/>
        <v>1121.718752</v>
      </c>
      <c r="AA42" s="51"/>
      <c r="AB42" s="33"/>
      <c r="AC42" s="33">
        <f t="shared" si="45"/>
        <v>7073.42625</v>
      </c>
      <c r="AD42" s="33">
        <f t="shared" si="88"/>
        <v>7073.42625</v>
      </c>
      <c r="AE42" s="20">
        <f t="shared" si="23"/>
        <v>1389.3726</v>
      </c>
      <c r="AF42" s="51"/>
      <c r="AG42" s="65"/>
      <c r="AH42" s="65">
        <f t="shared" si="46"/>
        <v>3504.6646650000002</v>
      </c>
      <c r="AI42" s="20">
        <f t="shared" si="6"/>
        <v>3504.6646650000002</v>
      </c>
      <c r="AJ42" s="20">
        <f t="shared" si="24"/>
        <v>688.3912952</v>
      </c>
      <c r="AK42" s="51"/>
      <c r="AL42" s="65"/>
      <c r="AM42" s="65">
        <f t="shared" si="47"/>
        <v>63893.86757999999</v>
      </c>
      <c r="AN42" s="20">
        <f t="shared" si="7"/>
        <v>63893.86757999999</v>
      </c>
      <c r="AO42" s="20">
        <f t="shared" si="25"/>
        <v>12550.1257504</v>
      </c>
      <c r="AP42" s="51"/>
      <c r="AQ42" s="65"/>
      <c r="AR42" s="65">
        <f t="shared" si="48"/>
        <v>8425.285875</v>
      </c>
      <c r="AS42" s="20">
        <f t="shared" si="8"/>
        <v>8425.285875</v>
      </c>
      <c r="AT42" s="20">
        <f t="shared" si="26"/>
        <v>1654.90682</v>
      </c>
      <c r="AU42" s="51"/>
      <c r="AV42" s="51"/>
      <c r="AW42" s="51">
        <f t="shared" si="49"/>
        <v>2499.12945</v>
      </c>
      <c r="AX42" s="33">
        <f t="shared" si="9"/>
        <v>2499.12945</v>
      </c>
      <c r="AY42" s="20">
        <f t="shared" si="27"/>
        <v>490.88261600000004</v>
      </c>
      <c r="AZ42" s="51"/>
      <c r="BA42" s="33"/>
      <c r="BB42" s="33">
        <f t="shared" si="50"/>
        <v>1099.0788750000002</v>
      </c>
      <c r="BC42" s="33">
        <f t="shared" si="51"/>
        <v>1099.0788750000002</v>
      </c>
      <c r="BD42" s="20">
        <f t="shared" si="28"/>
        <v>215.88266</v>
      </c>
      <c r="BE42" s="51"/>
      <c r="BF42" s="51"/>
      <c r="BG42" s="51">
        <f t="shared" si="52"/>
        <v>9632.010914999999</v>
      </c>
      <c r="BH42" s="33">
        <f t="shared" si="10"/>
        <v>9632.010914999999</v>
      </c>
      <c r="BI42" s="20">
        <f t="shared" si="29"/>
        <v>1891.9334952</v>
      </c>
      <c r="BJ42" s="51"/>
      <c r="BK42" s="51"/>
      <c r="BL42" s="51">
        <f t="shared" si="53"/>
        <v>745.9249500000001</v>
      </c>
      <c r="BM42" s="33">
        <f t="shared" si="11"/>
        <v>745.9249500000001</v>
      </c>
      <c r="BN42" s="20">
        <f t="shared" si="30"/>
        <v>146.515656</v>
      </c>
      <c r="BO42" s="51"/>
      <c r="BP42" s="51"/>
      <c r="BQ42" s="51">
        <f t="shared" si="54"/>
        <v>32125.092479999996</v>
      </c>
      <c r="BR42" s="33">
        <f t="shared" si="12"/>
        <v>32125.092479999996</v>
      </c>
      <c r="BS42" s="20">
        <f t="shared" si="31"/>
        <v>6310.0570624</v>
      </c>
      <c r="BT42" s="51"/>
      <c r="BU42" s="51"/>
      <c r="BV42" s="51">
        <f t="shared" si="55"/>
        <v>1364.30649</v>
      </c>
      <c r="BW42" s="33">
        <f t="shared" si="13"/>
        <v>1364.30649</v>
      </c>
      <c r="BX42" s="20">
        <f t="shared" si="32"/>
        <v>267.9790512</v>
      </c>
      <c r="BY42" s="51"/>
      <c r="BZ42" s="33"/>
      <c r="CA42" s="33">
        <f t="shared" si="56"/>
        <v>3.7547550000000003</v>
      </c>
      <c r="CB42" s="33">
        <f t="shared" si="57"/>
        <v>3.7547550000000003</v>
      </c>
      <c r="CC42" s="20">
        <f t="shared" si="33"/>
        <v>0.7375144</v>
      </c>
      <c r="CD42" s="51"/>
      <c r="CE42" s="51"/>
      <c r="CF42" s="51">
        <f t="shared" si="58"/>
        <v>947.528685</v>
      </c>
      <c r="CG42" s="33">
        <f t="shared" si="14"/>
        <v>947.528685</v>
      </c>
      <c r="CH42" s="20">
        <f t="shared" si="34"/>
        <v>186.1149528</v>
      </c>
      <c r="CI42" s="51"/>
      <c r="CJ42" s="51"/>
      <c r="CK42" s="51">
        <f t="shared" si="59"/>
        <v>2420.8708949999996</v>
      </c>
      <c r="CL42" s="33">
        <f t="shared" si="15"/>
        <v>2420.8708949999996</v>
      </c>
      <c r="CM42" s="20">
        <f t="shared" si="35"/>
        <v>475.51095760000004</v>
      </c>
      <c r="CN42" s="51"/>
      <c r="CO42" s="51"/>
      <c r="CP42" s="51">
        <f t="shared" si="60"/>
        <v>4091.6186099999995</v>
      </c>
      <c r="CQ42" s="33">
        <f t="shared" si="16"/>
        <v>4091.6186099999995</v>
      </c>
      <c r="CR42" s="20">
        <f t="shared" si="36"/>
        <v>803.6816368</v>
      </c>
      <c r="CS42" s="51"/>
      <c r="CT42" s="51"/>
      <c r="CU42" s="51">
        <f t="shared" si="61"/>
        <v>33658.037730000004</v>
      </c>
      <c r="CV42" s="33">
        <f t="shared" si="17"/>
        <v>33658.037730000004</v>
      </c>
      <c r="CW42" s="20">
        <f t="shared" si="37"/>
        <v>6611.1603824</v>
      </c>
      <c r="CX42" s="51"/>
      <c r="CY42" s="51"/>
      <c r="CZ42" s="51">
        <f t="shared" si="62"/>
        <v>631.951875</v>
      </c>
      <c r="DA42" s="33">
        <f t="shared" si="18"/>
        <v>631.951875</v>
      </c>
      <c r="DB42" s="20">
        <f t="shared" si="38"/>
        <v>124.1289</v>
      </c>
      <c r="DC42" s="51"/>
      <c r="DD42" s="51"/>
      <c r="DE42" s="51">
        <f t="shared" si="63"/>
        <v>3011.72742</v>
      </c>
      <c r="DF42" s="33">
        <f t="shared" si="19"/>
        <v>3011.72742</v>
      </c>
      <c r="DG42" s="20">
        <f t="shared" si="39"/>
        <v>591.5678495999999</v>
      </c>
      <c r="DH42" s="33"/>
      <c r="DI42" s="33"/>
      <c r="DJ42" s="33">
        <f t="shared" si="64"/>
        <v>5423.16708</v>
      </c>
      <c r="DK42" s="33">
        <f t="shared" si="65"/>
        <v>5423.16708</v>
      </c>
      <c r="DL42" s="20">
        <f t="shared" si="40"/>
        <v>1065.2263104</v>
      </c>
      <c r="DM42" s="51"/>
      <c r="DN42" s="51"/>
      <c r="DO42" s="51">
        <f t="shared" si="66"/>
        <v>5415.834959999999</v>
      </c>
      <c r="DP42" s="33">
        <f t="shared" si="20"/>
        <v>5415.834959999999</v>
      </c>
      <c r="DQ42" s="20">
        <f t="shared" si="41"/>
        <v>1063.7861248</v>
      </c>
      <c r="DR42" s="51"/>
      <c r="DS42" s="33"/>
      <c r="DT42" s="33"/>
      <c r="DU42" s="33"/>
    </row>
    <row r="43" spans="1:125" s="53" customFormat="1" ht="12.75">
      <c r="A43" s="19">
        <v>46478</v>
      </c>
      <c r="C43" s="41">
        <v>6425000</v>
      </c>
      <c r="D43" s="41">
        <v>295650</v>
      </c>
      <c r="E43" s="35">
        <f t="shared" si="0"/>
        <v>6720650</v>
      </c>
      <c r="F43" s="35">
        <v>58072</v>
      </c>
      <c r="G43" s="51"/>
      <c r="H43" s="51">
        <v>650972</v>
      </c>
      <c r="I43" s="51">
        <v>29955</v>
      </c>
      <c r="J43" s="51">
        <f t="shared" si="42"/>
        <v>680927</v>
      </c>
      <c r="K43" s="51">
        <v>5883.7737392</v>
      </c>
      <c r="L43" s="51"/>
      <c r="M43" s="51">
        <f t="shared" si="1"/>
        <v>5774027.994999999</v>
      </c>
      <c r="N43" s="41">
        <f t="shared" si="2"/>
        <v>265695.15591</v>
      </c>
      <c r="O43" s="33">
        <f t="shared" si="3"/>
        <v>6039723.150909999</v>
      </c>
      <c r="P43" s="41">
        <f t="shared" si="2"/>
        <v>52188.22626080002</v>
      </c>
      <c r="Q43" s="51"/>
      <c r="R43" s="65">
        <f t="shared" si="67"/>
        <v>1608523.165</v>
      </c>
      <c r="S43" s="65">
        <f t="shared" si="43"/>
        <v>74017.10097</v>
      </c>
      <c r="T43" s="20">
        <f t="shared" si="4"/>
        <v>1682540.26597</v>
      </c>
      <c r="U43" s="20">
        <f t="shared" si="21"/>
        <v>14538.5458736</v>
      </c>
      <c r="V43" s="51"/>
      <c r="W43" s="65">
        <f t="shared" si="68"/>
        <v>124105.3</v>
      </c>
      <c r="X43" s="65">
        <f t="shared" si="44"/>
        <v>5710.7754</v>
      </c>
      <c r="Y43" s="20">
        <f t="shared" si="5"/>
        <v>129816.0754</v>
      </c>
      <c r="Z43" s="20">
        <f t="shared" si="22"/>
        <v>1121.718752</v>
      </c>
      <c r="AA43" s="51"/>
      <c r="AB43" s="33">
        <f t="shared" si="69"/>
        <v>153718.125</v>
      </c>
      <c r="AC43" s="33">
        <f t="shared" si="45"/>
        <v>7073.42625</v>
      </c>
      <c r="AD43" s="33">
        <f t="shared" si="88"/>
        <v>160791.55125</v>
      </c>
      <c r="AE43" s="20">
        <f t="shared" si="23"/>
        <v>1389.3726</v>
      </c>
      <c r="AF43" s="51"/>
      <c r="AG43" s="65">
        <f t="shared" si="70"/>
        <v>76162.59250000001</v>
      </c>
      <c r="AH43" s="65">
        <f t="shared" si="46"/>
        <v>3504.6646650000002</v>
      </c>
      <c r="AI43" s="20">
        <f t="shared" si="6"/>
        <v>79667.25716500002</v>
      </c>
      <c r="AJ43" s="20">
        <f t="shared" si="24"/>
        <v>688.3912952</v>
      </c>
      <c r="AK43" s="51"/>
      <c r="AL43" s="65">
        <f t="shared" si="71"/>
        <v>1388527.31</v>
      </c>
      <c r="AM43" s="65">
        <f t="shared" si="47"/>
        <v>63893.86757999999</v>
      </c>
      <c r="AN43" s="20">
        <f t="shared" si="7"/>
        <v>1452421.1775800001</v>
      </c>
      <c r="AO43" s="20">
        <f t="shared" si="25"/>
        <v>12550.1257504</v>
      </c>
      <c r="AP43" s="51"/>
      <c r="AQ43" s="65">
        <f t="shared" si="72"/>
        <v>183096.4375</v>
      </c>
      <c r="AR43" s="65">
        <f t="shared" si="48"/>
        <v>8425.285875</v>
      </c>
      <c r="AS43" s="20">
        <f t="shared" si="8"/>
        <v>191521.723375</v>
      </c>
      <c r="AT43" s="20">
        <f t="shared" si="26"/>
        <v>1654.90682</v>
      </c>
      <c r="AU43" s="51"/>
      <c r="AV43" s="51">
        <f t="shared" si="73"/>
        <v>54310.525</v>
      </c>
      <c r="AW43" s="51">
        <f t="shared" si="49"/>
        <v>2499.12945</v>
      </c>
      <c r="AX43" s="33">
        <f t="shared" si="9"/>
        <v>56809.65445</v>
      </c>
      <c r="AY43" s="20">
        <f t="shared" si="27"/>
        <v>490.88261600000004</v>
      </c>
      <c r="AZ43" s="51"/>
      <c r="BA43" s="33">
        <f t="shared" si="74"/>
        <v>23884.9375</v>
      </c>
      <c r="BB43" s="33">
        <f t="shared" si="50"/>
        <v>1099.0788750000002</v>
      </c>
      <c r="BC43" s="33">
        <f t="shared" si="51"/>
        <v>24984.016375</v>
      </c>
      <c r="BD43" s="20">
        <f t="shared" si="28"/>
        <v>215.88266</v>
      </c>
      <c r="BE43" s="51"/>
      <c r="BF43" s="51">
        <f t="shared" si="75"/>
        <v>209320.7175</v>
      </c>
      <c r="BG43" s="51">
        <f t="shared" si="52"/>
        <v>9632.010914999999</v>
      </c>
      <c r="BH43" s="33">
        <f t="shared" si="10"/>
        <v>218952.728415</v>
      </c>
      <c r="BI43" s="20">
        <f t="shared" si="29"/>
        <v>1891.9334952</v>
      </c>
      <c r="BJ43" s="51"/>
      <c r="BK43" s="51">
        <f t="shared" si="76"/>
        <v>16210.275000000001</v>
      </c>
      <c r="BL43" s="51">
        <f t="shared" si="53"/>
        <v>745.9249500000001</v>
      </c>
      <c r="BM43" s="33">
        <f t="shared" si="11"/>
        <v>16956.199950000002</v>
      </c>
      <c r="BN43" s="20">
        <f t="shared" si="30"/>
        <v>146.515656</v>
      </c>
      <c r="BO43" s="51"/>
      <c r="BP43" s="51">
        <f t="shared" si="77"/>
        <v>698135.36</v>
      </c>
      <c r="BQ43" s="51">
        <f t="shared" si="54"/>
        <v>32125.092479999996</v>
      </c>
      <c r="BR43" s="33">
        <f t="shared" si="12"/>
        <v>730260.45248</v>
      </c>
      <c r="BS43" s="20">
        <f t="shared" si="31"/>
        <v>6310.0570624</v>
      </c>
      <c r="BT43" s="51"/>
      <c r="BU43" s="51">
        <f t="shared" si="78"/>
        <v>29648.805</v>
      </c>
      <c r="BV43" s="51">
        <f t="shared" si="55"/>
        <v>1364.30649</v>
      </c>
      <c r="BW43" s="33">
        <f t="shared" si="13"/>
        <v>31013.11149</v>
      </c>
      <c r="BX43" s="20">
        <f t="shared" si="32"/>
        <v>267.9790512</v>
      </c>
      <c r="BY43" s="51"/>
      <c r="BZ43" s="33">
        <f t="shared" si="79"/>
        <v>81.59750000000001</v>
      </c>
      <c r="CA43" s="33">
        <f t="shared" si="56"/>
        <v>3.7547550000000003</v>
      </c>
      <c r="CB43" s="33">
        <f t="shared" si="57"/>
        <v>85.35225500000001</v>
      </c>
      <c r="CC43" s="20">
        <f t="shared" si="33"/>
        <v>0.7375144</v>
      </c>
      <c r="CD43" s="51"/>
      <c r="CE43" s="51">
        <f t="shared" si="80"/>
        <v>20591.4825</v>
      </c>
      <c r="CF43" s="51">
        <f t="shared" si="58"/>
        <v>947.528685</v>
      </c>
      <c r="CG43" s="33">
        <f t="shared" si="14"/>
        <v>21539.011185</v>
      </c>
      <c r="CH43" s="20">
        <f t="shared" si="34"/>
        <v>186.1149528</v>
      </c>
      <c r="CI43" s="51"/>
      <c r="CJ43" s="51">
        <f t="shared" si="81"/>
        <v>52609.8275</v>
      </c>
      <c r="CK43" s="51">
        <f t="shared" si="59"/>
        <v>2420.8708949999996</v>
      </c>
      <c r="CL43" s="33">
        <f t="shared" si="15"/>
        <v>55030.698395</v>
      </c>
      <c r="CM43" s="20">
        <f t="shared" si="35"/>
        <v>475.51095760000004</v>
      </c>
      <c r="CN43" s="51"/>
      <c r="CO43" s="51">
        <f t="shared" si="82"/>
        <v>88918.145</v>
      </c>
      <c r="CP43" s="51">
        <f t="shared" si="60"/>
        <v>4091.6186099999995</v>
      </c>
      <c r="CQ43" s="33">
        <f t="shared" si="16"/>
        <v>93009.76361000001</v>
      </c>
      <c r="CR43" s="20">
        <f t="shared" si="36"/>
        <v>803.6816368</v>
      </c>
      <c r="CS43" s="51"/>
      <c r="CT43" s="51">
        <f t="shared" si="83"/>
        <v>731448.985</v>
      </c>
      <c r="CU43" s="51">
        <f t="shared" si="61"/>
        <v>33658.037730000004</v>
      </c>
      <c r="CV43" s="33">
        <f t="shared" si="17"/>
        <v>765107.02273</v>
      </c>
      <c r="CW43" s="20">
        <f t="shared" si="37"/>
        <v>6611.1603824</v>
      </c>
      <c r="CX43" s="51"/>
      <c r="CY43" s="51">
        <f t="shared" si="84"/>
        <v>13733.4375</v>
      </c>
      <c r="CZ43" s="51">
        <f t="shared" si="62"/>
        <v>631.951875</v>
      </c>
      <c r="DA43" s="33">
        <f t="shared" si="18"/>
        <v>14365.389375</v>
      </c>
      <c r="DB43" s="20">
        <f t="shared" si="38"/>
        <v>124.1289</v>
      </c>
      <c r="DC43" s="51"/>
      <c r="DD43" s="51">
        <f t="shared" si="85"/>
        <v>65450.19</v>
      </c>
      <c r="DE43" s="51">
        <f t="shared" si="63"/>
        <v>3011.72742</v>
      </c>
      <c r="DF43" s="33">
        <f t="shared" si="19"/>
        <v>68461.91742</v>
      </c>
      <c r="DG43" s="20">
        <f t="shared" si="39"/>
        <v>591.5678495999999</v>
      </c>
      <c r="DH43" s="33"/>
      <c r="DI43" s="33">
        <f t="shared" si="86"/>
        <v>117855.06</v>
      </c>
      <c r="DJ43" s="33">
        <f t="shared" si="64"/>
        <v>5423.16708</v>
      </c>
      <c r="DK43" s="33">
        <f t="shared" si="65"/>
        <v>123278.22708</v>
      </c>
      <c r="DL43" s="20">
        <f t="shared" si="40"/>
        <v>1065.2263104</v>
      </c>
      <c r="DM43" s="51"/>
      <c r="DN43" s="51">
        <f t="shared" si="87"/>
        <v>117695.72</v>
      </c>
      <c r="DO43" s="51">
        <f t="shared" si="66"/>
        <v>5415.834959999999</v>
      </c>
      <c r="DP43" s="33">
        <f t="shared" si="20"/>
        <v>123111.55496</v>
      </c>
      <c r="DQ43" s="20">
        <f t="shared" si="41"/>
        <v>1063.7861248</v>
      </c>
      <c r="DR43" s="51"/>
      <c r="DS43" s="33"/>
      <c r="DT43" s="33"/>
      <c r="DU43" s="33"/>
    </row>
    <row r="44" spans="1:125" ht="12.75">
      <c r="A44" s="19">
        <v>46661</v>
      </c>
      <c r="C44" s="41"/>
      <c r="D44" s="41">
        <v>151088</v>
      </c>
      <c r="E44" s="35">
        <f t="shared" si="0"/>
        <v>151088</v>
      </c>
      <c r="F44" s="35">
        <v>58072</v>
      </c>
      <c r="H44" s="51"/>
      <c r="I44" s="51">
        <v>15308</v>
      </c>
      <c r="J44" s="51">
        <f t="shared" si="42"/>
        <v>15308</v>
      </c>
      <c r="K44" s="51">
        <v>5883.7737392</v>
      </c>
      <c r="M44" s="51">
        <f t="shared" si="1"/>
        <v>0</v>
      </c>
      <c r="N44" s="41">
        <f t="shared" si="2"/>
        <v>135779.97536319998</v>
      </c>
      <c r="O44" s="33">
        <f t="shared" si="3"/>
        <v>135779.97536319998</v>
      </c>
      <c r="P44" s="41">
        <f t="shared" si="2"/>
        <v>52188.22626080002</v>
      </c>
      <c r="R44" s="65"/>
      <c r="S44" s="65">
        <f t="shared" si="43"/>
        <v>37825.4549344</v>
      </c>
      <c r="T44" s="20">
        <f t="shared" si="4"/>
        <v>37825.4549344</v>
      </c>
      <c r="U44" s="20">
        <f t="shared" si="21"/>
        <v>14538.5458736</v>
      </c>
      <c r="W44" s="65"/>
      <c r="X44" s="65">
        <f t="shared" si="44"/>
        <v>2918.4158079999997</v>
      </c>
      <c r="Y44" s="20">
        <f t="shared" si="5"/>
        <v>2918.4158079999997</v>
      </c>
      <c r="Z44" s="20">
        <f t="shared" si="22"/>
        <v>1121.718752</v>
      </c>
      <c r="AC44" s="33">
        <f t="shared" si="45"/>
        <v>3614.7804000000006</v>
      </c>
      <c r="AD44" s="33">
        <f t="shared" si="88"/>
        <v>3614.7804000000006</v>
      </c>
      <c r="AE44" s="20">
        <f t="shared" si="23"/>
        <v>1389.3726</v>
      </c>
      <c r="AG44" s="65"/>
      <c r="AH44" s="65">
        <f t="shared" si="46"/>
        <v>1791.0122608000001</v>
      </c>
      <c r="AI44" s="20">
        <f t="shared" si="6"/>
        <v>1791.0122608000001</v>
      </c>
      <c r="AJ44" s="20">
        <f t="shared" si="24"/>
        <v>688.3912952</v>
      </c>
      <c r="AL44" s="65"/>
      <c r="AM44" s="65">
        <f t="shared" si="47"/>
        <v>32652.111161599998</v>
      </c>
      <c r="AN44" s="20">
        <f t="shared" si="7"/>
        <v>32652.111161599998</v>
      </c>
      <c r="AO44" s="20">
        <f t="shared" si="25"/>
        <v>12550.1257504</v>
      </c>
      <c r="AP44" s="33"/>
      <c r="AQ44" s="65"/>
      <c r="AR44" s="65">
        <f t="shared" si="48"/>
        <v>4305.63028</v>
      </c>
      <c r="AS44" s="20">
        <f t="shared" si="8"/>
        <v>4305.63028</v>
      </c>
      <c r="AT44" s="20">
        <f t="shared" si="26"/>
        <v>1654.90682</v>
      </c>
      <c r="AU44" s="33"/>
      <c r="AV44" s="51"/>
      <c r="AW44" s="51">
        <f t="shared" si="49"/>
        <v>1277.146864</v>
      </c>
      <c r="AX44" s="33">
        <f t="shared" si="9"/>
        <v>1277.146864</v>
      </c>
      <c r="AY44" s="20">
        <f t="shared" si="27"/>
        <v>490.88261600000004</v>
      </c>
      <c r="AZ44" s="33"/>
      <c r="BA44" s="33"/>
      <c r="BB44" s="33">
        <f t="shared" si="50"/>
        <v>561.6696400000001</v>
      </c>
      <c r="BC44" s="33">
        <f t="shared" si="51"/>
        <v>561.6696400000001</v>
      </c>
      <c r="BD44" s="20">
        <f t="shared" si="28"/>
        <v>215.88266</v>
      </c>
      <c r="BE44" s="33"/>
      <c r="BF44" s="51"/>
      <c r="BG44" s="51">
        <f t="shared" si="52"/>
        <v>4922.3110608</v>
      </c>
      <c r="BH44" s="33">
        <f t="shared" si="10"/>
        <v>4922.3110608</v>
      </c>
      <c r="BI44" s="20">
        <f t="shared" si="29"/>
        <v>1891.9334952</v>
      </c>
      <c r="BJ44" s="33"/>
      <c r="BK44" s="51"/>
      <c r="BL44" s="51">
        <f t="shared" si="53"/>
        <v>381.19502400000005</v>
      </c>
      <c r="BM44" s="33">
        <f t="shared" si="11"/>
        <v>381.19502400000005</v>
      </c>
      <c r="BN44" s="20">
        <f t="shared" si="30"/>
        <v>146.515656</v>
      </c>
      <c r="BO44" s="33"/>
      <c r="BP44" s="51"/>
      <c r="BQ44" s="51">
        <f t="shared" si="54"/>
        <v>16417.1012096</v>
      </c>
      <c r="BR44" s="33">
        <f t="shared" si="12"/>
        <v>16417.1012096</v>
      </c>
      <c r="BS44" s="20">
        <f t="shared" si="31"/>
        <v>6310.0570624</v>
      </c>
      <c r="BT44" s="33"/>
      <c r="BU44" s="51"/>
      <c r="BV44" s="51">
        <f t="shared" si="55"/>
        <v>697.2106848</v>
      </c>
      <c r="BW44" s="33">
        <f t="shared" si="13"/>
        <v>697.2106848</v>
      </c>
      <c r="BX44" s="20">
        <f t="shared" si="32"/>
        <v>267.9790512</v>
      </c>
      <c r="BY44" s="33"/>
      <c r="BZ44" s="33"/>
      <c r="CA44" s="33">
        <f t="shared" si="56"/>
        <v>1.9188176000000001</v>
      </c>
      <c r="CB44" s="33">
        <f t="shared" si="57"/>
        <v>1.9188176000000001</v>
      </c>
      <c r="CC44" s="20">
        <f t="shared" si="33"/>
        <v>0.7375144</v>
      </c>
      <c r="CD44" s="33"/>
      <c r="CE44" s="51"/>
      <c r="CF44" s="51">
        <f t="shared" si="58"/>
        <v>484.2219312</v>
      </c>
      <c r="CG44" s="33">
        <f t="shared" si="14"/>
        <v>484.2219312</v>
      </c>
      <c r="CH44" s="20">
        <f t="shared" si="34"/>
        <v>186.1149528</v>
      </c>
      <c r="CI44" s="33"/>
      <c r="CJ44" s="51"/>
      <c r="CK44" s="51">
        <f t="shared" si="59"/>
        <v>1237.1538704</v>
      </c>
      <c r="CL44" s="33">
        <f t="shared" si="15"/>
        <v>1237.1538704</v>
      </c>
      <c r="CM44" s="20">
        <f t="shared" si="35"/>
        <v>475.51095760000004</v>
      </c>
      <c r="CN44" s="33"/>
      <c r="CO44" s="51"/>
      <c r="CP44" s="51">
        <f t="shared" si="60"/>
        <v>2090.9672672</v>
      </c>
      <c r="CQ44" s="33">
        <f t="shared" si="16"/>
        <v>2090.9672672</v>
      </c>
      <c r="CR44" s="20">
        <f t="shared" si="36"/>
        <v>803.6816368</v>
      </c>
      <c r="CS44" s="33"/>
      <c r="CT44" s="51"/>
      <c r="CU44" s="51">
        <f t="shared" si="61"/>
        <v>17200.4924896</v>
      </c>
      <c r="CV44" s="33">
        <f t="shared" si="17"/>
        <v>17200.4924896</v>
      </c>
      <c r="CW44" s="20">
        <f t="shared" si="37"/>
        <v>6611.1603824</v>
      </c>
      <c r="CX44" s="33"/>
      <c r="CY44" s="51"/>
      <c r="CZ44" s="51">
        <f t="shared" si="62"/>
        <v>322.95059999999995</v>
      </c>
      <c r="DA44" s="33">
        <f t="shared" si="18"/>
        <v>322.95059999999995</v>
      </c>
      <c r="DB44" s="20">
        <f t="shared" si="38"/>
        <v>124.1289</v>
      </c>
      <c r="DC44" s="33"/>
      <c r="DD44" s="51"/>
      <c r="DE44" s="51">
        <f t="shared" si="63"/>
        <v>1539.1032384</v>
      </c>
      <c r="DF44" s="33">
        <f t="shared" si="19"/>
        <v>1539.1032384</v>
      </c>
      <c r="DG44" s="20">
        <f t="shared" si="39"/>
        <v>591.5678495999999</v>
      </c>
      <c r="DH44" s="33"/>
      <c r="DI44" s="33"/>
      <c r="DJ44" s="33">
        <f t="shared" si="64"/>
        <v>2771.4374015999997</v>
      </c>
      <c r="DK44" s="33">
        <f t="shared" si="65"/>
        <v>2771.4374015999997</v>
      </c>
      <c r="DL44" s="20">
        <f t="shared" si="40"/>
        <v>1065.2263104</v>
      </c>
      <c r="DM44" s="33"/>
      <c r="DN44" s="51"/>
      <c r="DO44" s="51">
        <f t="shared" si="66"/>
        <v>2767.6904191999997</v>
      </c>
      <c r="DP44" s="33">
        <f t="shared" si="20"/>
        <v>2767.6904191999997</v>
      </c>
      <c r="DQ44" s="20">
        <f t="shared" si="41"/>
        <v>1063.7861248</v>
      </c>
      <c r="DR44" s="33"/>
      <c r="DS44" s="33"/>
      <c r="DT44" s="33"/>
      <c r="DU44" s="33"/>
    </row>
    <row r="45" spans="1:125" ht="12.75">
      <c r="A45" s="19">
        <v>46844</v>
      </c>
      <c r="C45" s="41">
        <v>6715000</v>
      </c>
      <c r="D45" s="41">
        <v>151088</v>
      </c>
      <c r="E45" s="35">
        <f t="shared" si="0"/>
        <v>6866088</v>
      </c>
      <c r="F45" s="35">
        <v>58077</v>
      </c>
      <c r="H45" s="51">
        <v>680354</v>
      </c>
      <c r="I45" s="51">
        <v>15308</v>
      </c>
      <c r="J45" s="51">
        <f t="shared" si="42"/>
        <v>695662</v>
      </c>
      <c r="K45" s="51">
        <v>5884.280332199999</v>
      </c>
      <c r="M45" s="51">
        <f t="shared" si="1"/>
        <v>6034645.601000002</v>
      </c>
      <c r="N45" s="41">
        <f t="shared" si="2"/>
        <v>135779.97536319998</v>
      </c>
      <c r="O45" s="33">
        <f t="shared" si="3"/>
        <v>6170425.576363201</v>
      </c>
      <c r="P45" s="41">
        <f t="shared" si="2"/>
        <v>52192.71966780001</v>
      </c>
      <c r="R45" s="65">
        <f t="shared" si="67"/>
        <v>1681125.767</v>
      </c>
      <c r="S45" s="65">
        <f t="shared" si="43"/>
        <v>37825.4549344</v>
      </c>
      <c r="T45" s="20">
        <f t="shared" si="4"/>
        <v>1718951.2219344</v>
      </c>
      <c r="U45" s="20">
        <f t="shared" si="21"/>
        <v>14539.7976426</v>
      </c>
      <c r="W45" s="65">
        <f t="shared" si="68"/>
        <v>129706.94</v>
      </c>
      <c r="X45" s="65">
        <f t="shared" si="44"/>
        <v>2918.4158079999997</v>
      </c>
      <c r="Y45" s="20">
        <f t="shared" si="5"/>
        <v>132625.355808</v>
      </c>
      <c r="Z45" s="20">
        <f t="shared" si="22"/>
        <v>1121.815332</v>
      </c>
      <c r="AB45" s="33">
        <f t="shared" si="69"/>
        <v>160656.375</v>
      </c>
      <c r="AC45" s="33">
        <f t="shared" si="45"/>
        <v>3614.7804000000006</v>
      </c>
      <c r="AD45" s="33">
        <f t="shared" si="88"/>
        <v>164271.1554</v>
      </c>
      <c r="AE45" s="20">
        <f t="shared" si="23"/>
        <v>1389.492225</v>
      </c>
      <c r="AG45" s="65">
        <f t="shared" si="70"/>
        <v>79600.2815</v>
      </c>
      <c r="AH45" s="65">
        <f t="shared" si="46"/>
        <v>1791.0122608000001</v>
      </c>
      <c r="AI45" s="20">
        <f t="shared" si="6"/>
        <v>81391.29376079999</v>
      </c>
      <c r="AJ45" s="20">
        <f t="shared" si="24"/>
        <v>688.4505657</v>
      </c>
      <c r="AL45" s="65">
        <f t="shared" si="71"/>
        <v>1451200.1379999998</v>
      </c>
      <c r="AM45" s="65">
        <f t="shared" si="47"/>
        <v>32652.111161599998</v>
      </c>
      <c r="AN45" s="20">
        <f t="shared" si="7"/>
        <v>1483852.2491616</v>
      </c>
      <c r="AO45" s="20">
        <f t="shared" si="25"/>
        <v>12551.206316400001</v>
      </c>
      <c r="AP45" s="33"/>
      <c r="AQ45" s="65">
        <f t="shared" si="72"/>
        <v>191360.7125</v>
      </c>
      <c r="AR45" s="65">
        <f t="shared" si="48"/>
        <v>4305.63028</v>
      </c>
      <c r="AS45" s="20">
        <f t="shared" si="8"/>
        <v>195666.34278</v>
      </c>
      <c r="AT45" s="20">
        <f t="shared" si="26"/>
        <v>1655.0493075</v>
      </c>
      <c r="AU45" s="33"/>
      <c r="AV45" s="51">
        <f t="shared" si="73"/>
        <v>56761.895</v>
      </c>
      <c r="AW45" s="51">
        <f t="shared" si="49"/>
        <v>1277.146864</v>
      </c>
      <c r="AX45" s="33">
        <f t="shared" si="9"/>
        <v>58039.041864</v>
      </c>
      <c r="AY45" s="20">
        <f t="shared" si="27"/>
        <v>490.924881</v>
      </c>
      <c r="AZ45" s="33"/>
      <c r="BA45" s="33">
        <f t="shared" si="74"/>
        <v>24963.0125</v>
      </c>
      <c r="BB45" s="33">
        <f t="shared" si="50"/>
        <v>561.6696400000001</v>
      </c>
      <c r="BC45" s="33">
        <f t="shared" si="51"/>
        <v>25524.68214</v>
      </c>
      <c r="BD45" s="20">
        <f t="shared" si="28"/>
        <v>215.90124749999998</v>
      </c>
      <c r="BE45" s="33"/>
      <c r="BF45" s="51">
        <f t="shared" si="75"/>
        <v>218768.65649999998</v>
      </c>
      <c r="BG45" s="51">
        <f t="shared" si="52"/>
        <v>4922.3110608</v>
      </c>
      <c r="BH45" s="33">
        <f t="shared" si="10"/>
        <v>223690.9675608</v>
      </c>
      <c r="BI45" s="20">
        <f t="shared" si="29"/>
        <v>1892.0963907</v>
      </c>
      <c r="BJ45" s="33"/>
      <c r="BK45" s="51">
        <f t="shared" si="76"/>
        <v>16941.945000000003</v>
      </c>
      <c r="BL45" s="51">
        <f t="shared" si="53"/>
        <v>381.19502400000005</v>
      </c>
      <c r="BM45" s="33">
        <f t="shared" si="11"/>
        <v>17323.140024000004</v>
      </c>
      <c r="BN45" s="20">
        <f t="shared" si="30"/>
        <v>146.52827100000002</v>
      </c>
      <c r="BO45" s="33"/>
      <c r="BP45" s="51">
        <f t="shared" si="77"/>
        <v>729646.5279999999</v>
      </c>
      <c r="BQ45" s="51">
        <f t="shared" si="54"/>
        <v>16417.1012096</v>
      </c>
      <c r="BR45" s="33">
        <f t="shared" si="12"/>
        <v>746063.6292095999</v>
      </c>
      <c r="BS45" s="20">
        <f t="shared" si="31"/>
        <v>6310.6003584</v>
      </c>
      <c r="BT45" s="33"/>
      <c r="BU45" s="51">
        <f t="shared" si="78"/>
        <v>30987.039</v>
      </c>
      <c r="BV45" s="51">
        <f t="shared" si="55"/>
        <v>697.2106848</v>
      </c>
      <c r="BW45" s="33">
        <f t="shared" si="13"/>
        <v>31684.2496848</v>
      </c>
      <c r="BX45" s="20">
        <f t="shared" si="32"/>
        <v>268.00212419999997</v>
      </c>
      <c r="BY45" s="33"/>
      <c r="BZ45" s="33">
        <f t="shared" si="79"/>
        <v>85.28050000000002</v>
      </c>
      <c r="CA45" s="33">
        <f t="shared" si="56"/>
        <v>1.9188176000000001</v>
      </c>
      <c r="CB45" s="33">
        <f t="shared" si="57"/>
        <v>87.19931760000001</v>
      </c>
      <c r="CC45" s="20">
        <f t="shared" si="33"/>
        <v>0.7375779</v>
      </c>
      <c r="CD45" s="33"/>
      <c r="CE45" s="51">
        <f t="shared" si="80"/>
        <v>21520.9035</v>
      </c>
      <c r="CF45" s="51">
        <f t="shared" si="58"/>
        <v>484.2219312</v>
      </c>
      <c r="CG45" s="33">
        <f t="shared" si="14"/>
        <v>22005.125431200002</v>
      </c>
      <c r="CH45" s="20">
        <f t="shared" si="34"/>
        <v>186.1309773</v>
      </c>
      <c r="CI45" s="33"/>
      <c r="CJ45" s="51">
        <f t="shared" si="81"/>
        <v>54984.434499999996</v>
      </c>
      <c r="CK45" s="51">
        <f t="shared" si="59"/>
        <v>1237.1538704</v>
      </c>
      <c r="CL45" s="33">
        <f t="shared" si="15"/>
        <v>56221.58837039999</v>
      </c>
      <c r="CM45" s="20">
        <f t="shared" si="35"/>
        <v>475.55189910000007</v>
      </c>
      <c r="CN45" s="33"/>
      <c r="CO45" s="51">
        <f t="shared" si="82"/>
        <v>92931.571</v>
      </c>
      <c r="CP45" s="51">
        <f t="shared" si="60"/>
        <v>2090.9672672</v>
      </c>
      <c r="CQ45" s="33">
        <f t="shared" si="16"/>
        <v>95022.5382672</v>
      </c>
      <c r="CR45" s="20">
        <f t="shared" si="36"/>
        <v>803.7508338</v>
      </c>
      <c r="CS45" s="33"/>
      <c r="CT45" s="51">
        <f t="shared" si="83"/>
        <v>764463.803</v>
      </c>
      <c r="CU45" s="51">
        <f t="shared" si="61"/>
        <v>17200.4924896</v>
      </c>
      <c r="CV45" s="33">
        <f t="shared" si="17"/>
        <v>781664.2954895999</v>
      </c>
      <c r="CW45" s="20">
        <f t="shared" si="37"/>
        <v>6611.7296034</v>
      </c>
      <c r="CX45" s="33"/>
      <c r="CY45" s="51">
        <f t="shared" si="84"/>
        <v>14353.3125</v>
      </c>
      <c r="CZ45" s="51">
        <f t="shared" si="62"/>
        <v>322.95059999999995</v>
      </c>
      <c r="DA45" s="33">
        <f t="shared" si="18"/>
        <v>14676.2631</v>
      </c>
      <c r="DB45" s="20">
        <f t="shared" si="38"/>
        <v>124.1395875</v>
      </c>
      <c r="DC45" s="33"/>
      <c r="DD45" s="51">
        <f t="shared" si="85"/>
        <v>68404.36200000001</v>
      </c>
      <c r="DE45" s="51">
        <f t="shared" si="63"/>
        <v>1539.1032384</v>
      </c>
      <c r="DF45" s="33">
        <f t="shared" si="19"/>
        <v>69943.46523840001</v>
      </c>
      <c r="DG45" s="20">
        <f t="shared" si="39"/>
        <v>591.6187835999999</v>
      </c>
      <c r="DH45" s="33"/>
      <c r="DI45" s="33">
        <f t="shared" si="86"/>
        <v>123174.58799999999</v>
      </c>
      <c r="DJ45" s="33">
        <f t="shared" si="64"/>
        <v>2771.4374015999997</v>
      </c>
      <c r="DK45" s="33">
        <f t="shared" si="65"/>
        <v>125946.02540159998</v>
      </c>
      <c r="DL45" s="20">
        <f t="shared" si="40"/>
        <v>1065.3180264</v>
      </c>
      <c r="DM45" s="33"/>
      <c r="DN45" s="51">
        <f t="shared" si="87"/>
        <v>123008.056</v>
      </c>
      <c r="DO45" s="51">
        <f t="shared" si="66"/>
        <v>2767.6904191999997</v>
      </c>
      <c r="DP45" s="33">
        <f t="shared" si="20"/>
        <v>125775.74641919999</v>
      </c>
      <c r="DQ45" s="20">
        <f t="shared" si="41"/>
        <v>1063.8777168</v>
      </c>
      <c r="DR45" s="33"/>
      <c r="DS45" s="33"/>
      <c r="DT45" s="33"/>
      <c r="DU45" s="33"/>
    </row>
    <row r="46" spans="3:125" ht="12.75">
      <c r="C46" s="41"/>
      <c r="D46" s="41"/>
      <c r="E46" s="41"/>
      <c r="F46" s="41"/>
      <c r="R46" s="20"/>
      <c r="S46" s="20"/>
      <c r="T46" s="20"/>
      <c r="U46" s="20"/>
      <c r="W46" s="20"/>
      <c r="X46" s="20"/>
      <c r="Y46" s="20"/>
      <c r="Z46" s="20"/>
      <c r="AG46" s="20"/>
      <c r="AH46" s="20"/>
      <c r="AI46" s="20"/>
      <c r="AJ46" s="20"/>
      <c r="AL46" s="20"/>
      <c r="AM46" s="20"/>
      <c r="AN46" s="20"/>
      <c r="AO46" s="20"/>
      <c r="AP46" s="33"/>
      <c r="AQ46" s="20"/>
      <c r="AR46" s="20"/>
      <c r="AS46" s="20"/>
      <c r="AT46" s="20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</row>
    <row r="47" spans="1:125" ht="13.5" thickBot="1">
      <c r="A47" s="31" t="s">
        <v>4</v>
      </c>
      <c r="C47" s="50">
        <f>SUM(C8:C46)</f>
        <v>87700000</v>
      </c>
      <c r="D47" s="50">
        <f>SUM(D8:D46)</f>
        <v>45591594</v>
      </c>
      <c r="E47" s="50">
        <f>SUM(E8:E46)</f>
        <v>133291594</v>
      </c>
      <c r="F47" s="50">
        <f>SUM(F8:F46)</f>
        <v>2206741</v>
      </c>
      <c r="H47" s="50">
        <f>SUM(H8:H46)</f>
        <v>8885641</v>
      </c>
      <c r="I47" s="50">
        <f>SUM(I8:I46)</f>
        <v>4619276</v>
      </c>
      <c r="J47" s="50">
        <f>SUM(J8:J46)</f>
        <v>13504917</v>
      </c>
      <c r="K47" s="50">
        <f>SUM(K8:K46)</f>
        <v>223583.90868259995</v>
      </c>
      <c r="M47" s="50">
        <f>SUM(M8:M46)</f>
        <v>78814358.77999999</v>
      </c>
      <c r="N47" s="50">
        <f>SUM(N8:N46)</f>
        <v>40972317.52415159</v>
      </c>
      <c r="O47" s="50">
        <f>SUM(O8:O46)</f>
        <v>119786676.30415162</v>
      </c>
      <c r="P47" s="50">
        <f>SUM(P8:P46)</f>
        <v>1983157.0913173992</v>
      </c>
      <c r="R47" s="50">
        <f>SUM(R8:R46)</f>
        <v>21956028.259999998</v>
      </c>
      <c r="S47" s="50">
        <f>SUM(S8:S46)</f>
        <v>11414028.805957204</v>
      </c>
      <c r="T47" s="50">
        <f>SUM(T8:T46)</f>
        <v>33370057.065957192</v>
      </c>
      <c r="U47" s="50">
        <f>SUM(U8:U46)</f>
        <v>552465.9949658001</v>
      </c>
      <c r="W47" s="50">
        <f>SUM(W8:W46)</f>
        <v>1694013.2</v>
      </c>
      <c r="X47" s="50">
        <f>SUM(X8:X46)</f>
        <v>880647.2297040002</v>
      </c>
      <c r="Y47" s="50">
        <f>SUM(Y8:Y46)</f>
        <v>2574660.429704</v>
      </c>
      <c r="Z47" s="50">
        <f>SUM(Z8:Z46)</f>
        <v>42625.409156000016</v>
      </c>
      <c r="AB47" s="50">
        <f>SUM(AB8:AB46)</f>
        <v>2098222.5</v>
      </c>
      <c r="AC47" s="50">
        <f>SUM(AC8:AC46)</f>
        <v>1090778.8864500003</v>
      </c>
      <c r="AD47" s="50">
        <f>SUM(AD8:AD46)</f>
        <v>3189001.38645</v>
      </c>
      <c r="AE47" s="50">
        <f>SUM(AE8:AE46)</f>
        <v>52796.278425000026</v>
      </c>
      <c r="AG47" s="50">
        <f>SUM(AG8:AG46)</f>
        <v>1039604.5700000003</v>
      </c>
      <c r="AH47" s="50">
        <f>SUM(AH8:AH46)</f>
        <v>540447.3144354001</v>
      </c>
      <c r="AI47" s="50">
        <f>SUM(AI8:AI46)</f>
        <v>1580051.8844354001</v>
      </c>
      <c r="AJ47" s="50">
        <f>SUM(AJ8:AJ46)</f>
        <v>26158.92848809998</v>
      </c>
      <c r="AL47" s="50">
        <f>SUM(AL8:AL46)</f>
        <v>18953127.639999997</v>
      </c>
      <c r="AM47" s="50">
        <f>SUM(AM8:AM46)</f>
        <v>9852945.272440799</v>
      </c>
      <c r="AN47" s="50">
        <f>SUM(AN8:AN46)</f>
        <v>28806072.912440803</v>
      </c>
      <c r="AO47" s="50">
        <f>SUM(AO8:AO46)</f>
        <v>476905.85908120027</v>
      </c>
      <c r="AP47" s="33"/>
      <c r="AQ47" s="50">
        <f>SUM(AQ8:AQ46)</f>
        <v>2499230.75</v>
      </c>
      <c r="AR47" s="50">
        <f>SUM(AR8:AR46)</f>
        <v>1299246.4500149994</v>
      </c>
      <c r="AS47" s="50">
        <f>SUM(AS8:AS46)</f>
        <v>3798477.200015</v>
      </c>
      <c r="AT47" s="50">
        <f>SUM(AT8:AT46)</f>
        <v>62886.601647499934</v>
      </c>
      <c r="AU47" s="33"/>
      <c r="AV47" s="50">
        <f>SUM(AV8:AV46)</f>
        <v>741328.1</v>
      </c>
      <c r="AW47" s="50">
        <f>SUM(AW8:AW46)</f>
        <v>385385.7440820002</v>
      </c>
      <c r="AX47" s="50">
        <f>SUM(AX8:AX46)</f>
        <v>1126713.844082</v>
      </c>
      <c r="AY47" s="50">
        <f>SUM(AY8:AY46)</f>
        <v>18653.581673000008</v>
      </c>
      <c r="AZ47" s="33"/>
      <c r="BA47" s="50">
        <f>SUM(BA8:BA46)</f>
        <v>326024.75</v>
      </c>
      <c r="BB47" s="50">
        <f>SUM(BB8:BB46)</f>
        <v>169486.75069500008</v>
      </c>
      <c r="BC47" s="50">
        <f>SUM(BC8:BC46)</f>
        <v>495511.500695</v>
      </c>
      <c r="BD47" s="50">
        <f>SUM(BD8:BD46)</f>
        <v>8203.559667500005</v>
      </c>
      <c r="BE47" s="33"/>
      <c r="BF47" s="50">
        <f>SUM(BF8:BF46)</f>
        <v>2857187.07</v>
      </c>
      <c r="BG47" s="50">
        <f>SUM(BG8:BG46)</f>
        <v>1485333.1000854007</v>
      </c>
      <c r="BH47" s="50">
        <f>SUM(BH8:BH46)</f>
        <v>4342520.1700853985</v>
      </c>
      <c r="BI47" s="50">
        <f>SUM(BI8:BI46)</f>
        <v>71893.63571309998</v>
      </c>
      <c r="BJ47" s="33"/>
      <c r="BK47" s="50">
        <f>SUM(BK8:BK46)</f>
        <v>221267.10000000003</v>
      </c>
      <c r="BL47" s="50">
        <f>SUM(BL8:BL46)</f>
        <v>115027.59166200002</v>
      </c>
      <c r="BM47" s="50">
        <f>SUM(BM8:BM46)</f>
        <v>336294.691662</v>
      </c>
      <c r="BN47" s="50">
        <f>SUM(BN8:BN46)</f>
        <v>5567.607542999996</v>
      </c>
      <c r="BO47" s="33"/>
      <c r="BP47" s="50">
        <f>SUM(BP8:BP46)</f>
        <v>9529411.84</v>
      </c>
      <c r="BQ47" s="50">
        <f>SUM(BQ8:BQ46)</f>
        <v>4953946.1307648</v>
      </c>
      <c r="BR47" s="50">
        <f>SUM(BR8:BR46)</f>
        <v>14483357.970764795</v>
      </c>
      <c r="BS47" s="50">
        <f>SUM(BS8:BS46)</f>
        <v>239782.71166720014</v>
      </c>
      <c r="BT47" s="33"/>
      <c r="BU47" s="50">
        <f>SUM(BU8:BU46)</f>
        <v>404700.42</v>
      </c>
      <c r="BV47" s="50">
        <f>SUM(BV8:BV46)</f>
        <v>210386.96967239995</v>
      </c>
      <c r="BW47" s="50">
        <f>SUM(BW8:BW46)</f>
        <v>615087.3896724</v>
      </c>
      <c r="BX47" s="50">
        <f>SUM(BX8:BX46)</f>
        <v>10183.2270186</v>
      </c>
      <c r="BY47" s="33"/>
      <c r="BZ47" s="50">
        <f>SUM(BZ8:BZ46)</f>
        <v>1113.7900000000002</v>
      </c>
      <c r="CA47" s="50">
        <f>SUM(CA8:CA46)</f>
        <v>579.0132438</v>
      </c>
      <c r="CB47" s="50">
        <f>SUM(CB8:CB46)</f>
        <v>1692.8032438000002</v>
      </c>
      <c r="CC47" s="50">
        <f>SUM(CC8:CC46)</f>
        <v>28.02561069999998</v>
      </c>
      <c r="CD47" s="33"/>
      <c r="CE47" s="50">
        <f>SUM(CE8:CE46)</f>
        <v>281069.73000000004</v>
      </c>
      <c r="CF47" s="50">
        <f>SUM(CF8:CF46)</f>
        <v>146116.4996106</v>
      </c>
      <c r="CG47" s="50">
        <f>SUM(CG8:CG46)</f>
        <v>427186.22961060004</v>
      </c>
      <c r="CH47" s="50">
        <f>SUM(CH8:CH46)</f>
        <v>7072.3842308999965</v>
      </c>
      <c r="CI47" s="33"/>
      <c r="CJ47" s="50">
        <f>SUM(CJ8:CJ46)</f>
        <v>718113.91</v>
      </c>
      <c r="CK47" s="50">
        <f>SUM(CK8:CK46)</f>
        <v>373317.6491502</v>
      </c>
      <c r="CL47" s="50">
        <f>SUM(CL8:CL46)</f>
        <v>1091431.5591501999</v>
      </c>
      <c r="CM47" s="50">
        <f>SUM(CM8:CM46)</f>
        <v>18069.457330299996</v>
      </c>
      <c r="CN47" s="33"/>
      <c r="CO47" s="50">
        <f>SUM(CO8:CO46)</f>
        <v>1213715.38</v>
      </c>
      <c r="CP47" s="50">
        <f>SUM(CP8:CP46)</f>
        <v>630960.3060036</v>
      </c>
      <c r="CQ47" s="50">
        <f>SUM(CQ8:CQ46)</f>
        <v>1844675.6860035993</v>
      </c>
      <c r="CR47" s="50">
        <f>SUM(CR8:CR46)</f>
        <v>30539.9713954</v>
      </c>
      <c r="CS47" s="33"/>
      <c r="CT47" s="50">
        <f>SUM(CT8:CT46)</f>
        <v>9984136.339999998</v>
      </c>
      <c r="CU47" s="50">
        <f>SUM(CU8:CU46)</f>
        <v>5190338.545654797</v>
      </c>
      <c r="CV47" s="50">
        <f>SUM(CV8:CV46)</f>
        <v>15174474.885654803</v>
      </c>
      <c r="CW47" s="50">
        <f>SUM(CW8:CW46)</f>
        <v>251224.6637522001</v>
      </c>
      <c r="CX47" s="33"/>
      <c r="CY47" s="50">
        <f>SUM(CY8:CY46)</f>
        <v>187458.75</v>
      </c>
      <c r="CZ47" s="50">
        <f>SUM(CZ8:CZ46)</f>
        <v>97452.03217499997</v>
      </c>
      <c r="DA47" s="50">
        <f>SUM(DA8:DA46)</f>
        <v>284910.78217499994</v>
      </c>
      <c r="DB47" s="50">
        <f>SUM(DB8:DB46)</f>
        <v>4716.908887500001</v>
      </c>
      <c r="DC47" s="33"/>
      <c r="DD47" s="50">
        <f>SUM(DD8:DD46)</f>
        <v>893382.3600000001</v>
      </c>
      <c r="DE47" s="50">
        <f>SUM(DE8:DE46)</f>
        <v>464432.4497591999</v>
      </c>
      <c r="DF47" s="50">
        <f>SUM(DF8:DF46)</f>
        <v>1357814.8097592</v>
      </c>
      <c r="DG47" s="50">
        <f>SUM(DG8:DG46)</f>
        <v>22479.629218799997</v>
      </c>
      <c r="DH47" s="41"/>
      <c r="DI47" s="50">
        <f>SUM(DI8:DI46)</f>
        <v>1608698.64</v>
      </c>
      <c r="DJ47" s="50">
        <f>SUM(DJ8:DJ46)</f>
        <v>836295.7270608002</v>
      </c>
      <c r="DK47" s="50">
        <f>SUM(DK8:DK46)</f>
        <v>2444994.3670608005</v>
      </c>
      <c r="DL47" s="50">
        <f>SUM(DL8:DL46)</f>
        <v>40478.69151120002</v>
      </c>
      <c r="DM47" s="33"/>
      <c r="DN47" s="50">
        <f>SUM(DN8:DN46)</f>
        <v>1606523.68</v>
      </c>
      <c r="DO47" s="50">
        <f>SUM(DO8:DO46)</f>
        <v>835165.0555295998</v>
      </c>
      <c r="DP47" s="50">
        <f>SUM(DP8:DP46)</f>
        <v>2441688.7355296</v>
      </c>
      <c r="DQ47" s="50">
        <f>SUM(DQ8:DQ46)</f>
        <v>40423.9643344</v>
      </c>
      <c r="DR47" s="33"/>
      <c r="DS47" s="50">
        <f>SUM(DS8:DS46)</f>
        <v>0</v>
      </c>
      <c r="DT47" s="50">
        <f>SUM(DT8:DT46)</f>
        <v>0</v>
      </c>
      <c r="DU47" s="50">
        <f>SUM(DU8:DU46)</f>
        <v>0</v>
      </c>
    </row>
    <row r="48" spans="18:46" ht="13.5" thickTop="1">
      <c r="R48" s="20"/>
      <c r="S48" s="20"/>
      <c r="T48" s="20"/>
      <c r="U48" s="20"/>
      <c r="W48" s="20"/>
      <c r="X48" s="20"/>
      <c r="Y48" s="20"/>
      <c r="Z48" s="20"/>
      <c r="AG48" s="20"/>
      <c r="AH48" s="20"/>
      <c r="AI48" s="20"/>
      <c r="AJ48" s="20"/>
      <c r="AL48" s="20"/>
      <c r="AM48" s="20"/>
      <c r="AN48" s="20"/>
      <c r="AO48" s="20"/>
      <c r="AQ48" s="20"/>
      <c r="AR48" s="20"/>
      <c r="AS48" s="20"/>
      <c r="AT48" s="20"/>
    </row>
    <row r="49" spans="14:46" ht="12.75">
      <c r="N49" s="33"/>
      <c r="R49" s="20"/>
      <c r="S49" s="20"/>
      <c r="T49" s="20"/>
      <c r="U49" s="20"/>
      <c r="W49" s="20"/>
      <c r="X49" s="20"/>
      <c r="Y49" s="20"/>
      <c r="Z49" s="20"/>
      <c r="AG49" s="20"/>
      <c r="AH49" s="20"/>
      <c r="AI49" s="20"/>
      <c r="AJ49" s="20"/>
      <c r="AL49" s="20"/>
      <c r="AM49" s="20"/>
      <c r="AN49" s="20"/>
      <c r="AO49" s="20"/>
      <c r="AQ49" s="20"/>
      <c r="AR49" s="20"/>
      <c r="AS49" s="20"/>
      <c r="AT49" s="20"/>
    </row>
    <row r="50" spans="18:46" ht="12.75">
      <c r="R50" s="20"/>
      <c r="S50" s="20"/>
      <c r="T50" s="20"/>
      <c r="U50" s="20"/>
      <c r="W50" s="20"/>
      <c r="X50" s="20"/>
      <c r="Y50" s="20"/>
      <c r="Z50" s="20"/>
      <c r="AG50" s="20"/>
      <c r="AH50" s="20"/>
      <c r="AI50" s="20"/>
      <c r="AJ50" s="20"/>
      <c r="AL50" s="20"/>
      <c r="AM50" s="20"/>
      <c r="AN50" s="20"/>
      <c r="AO50" s="20"/>
      <c r="AQ50" s="20"/>
      <c r="AR50" s="20"/>
      <c r="AS50" s="20"/>
      <c r="AT50" s="20"/>
    </row>
    <row r="51" spans="18:46" ht="12.75">
      <c r="R51" s="20"/>
      <c r="S51" s="20"/>
      <c r="T51" s="20"/>
      <c r="U51" s="20"/>
      <c r="W51" s="20"/>
      <c r="X51" s="20"/>
      <c r="Y51" s="20"/>
      <c r="Z51" s="20"/>
      <c r="AG51" s="20"/>
      <c r="AH51" s="20"/>
      <c r="AI51" s="20"/>
      <c r="AJ51" s="20"/>
      <c r="AL51" s="20"/>
      <c r="AM51" s="20"/>
      <c r="AN51" s="20"/>
      <c r="AO51" s="20"/>
      <c r="AQ51" s="20"/>
      <c r="AR51" s="20"/>
      <c r="AS51" s="20"/>
      <c r="AT51" s="20"/>
    </row>
    <row r="52" spans="18:46" ht="12.75">
      <c r="R52" s="20"/>
      <c r="S52" s="20"/>
      <c r="T52" s="20"/>
      <c r="U52" s="20"/>
      <c r="W52" s="20"/>
      <c r="X52" s="20"/>
      <c r="Y52" s="20"/>
      <c r="Z52" s="20"/>
      <c r="AG52" s="20"/>
      <c r="AH52" s="20"/>
      <c r="AI52" s="20"/>
      <c r="AJ52" s="20"/>
      <c r="AL52" s="20"/>
      <c r="AM52" s="20"/>
      <c r="AN52" s="20"/>
      <c r="AO52" s="20"/>
      <c r="AQ52" s="20"/>
      <c r="AR52" s="20"/>
      <c r="AS52" s="20"/>
      <c r="AT52" s="20"/>
    </row>
    <row r="53" spans="18:46" ht="12.75">
      <c r="R53" s="20"/>
      <c r="S53" s="20"/>
      <c r="T53" s="20"/>
      <c r="U53" s="20"/>
      <c r="W53" s="20"/>
      <c r="X53" s="20"/>
      <c r="Y53" s="20"/>
      <c r="Z53" s="20"/>
      <c r="AG53" s="20"/>
      <c r="AH53" s="20"/>
      <c r="AI53" s="20"/>
      <c r="AJ53" s="20"/>
      <c r="AL53" s="20"/>
      <c r="AM53" s="20"/>
      <c r="AN53" s="20"/>
      <c r="AO53" s="20"/>
      <c r="AQ53" s="20"/>
      <c r="AR53" s="20"/>
      <c r="AS53" s="20"/>
      <c r="AT53" s="20"/>
    </row>
    <row r="54" spans="18:46" ht="12.75">
      <c r="R54" s="20"/>
      <c r="S54" s="20"/>
      <c r="T54" s="20"/>
      <c r="U54" s="20"/>
      <c r="W54" s="20"/>
      <c r="X54" s="20"/>
      <c r="Y54" s="20"/>
      <c r="Z54" s="20"/>
      <c r="AG54" s="20"/>
      <c r="AH54" s="20"/>
      <c r="AI54" s="20"/>
      <c r="AJ54" s="20"/>
      <c r="AL54" s="20"/>
      <c r="AM54" s="20"/>
      <c r="AN54" s="20"/>
      <c r="AO54" s="20"/>
      <c r="AQ54" s="20"/>
      <c r="AR54" s="20"/>
      <c r="AS54" s="20"/>
      <c r="AT54" s="20"/>
    </row>
    <row r="55" spans="18:46" ht="12.75">
      <c r="R55" s="20"/>
      <c r="S55" s="20"/>
      <c r="T55" s="20"/>
      <c r="U55" s="20"/>
      <c r="W55" s="20"/>
      <c r="X55" s="20"/>
      <c r="Y55" s="20"/>
      <c r="Z55" s="20"/>
      <c r="AG55" s="20"/>
      <c r="AH55" s="20"/>
      <c r="AI55" s="20"/>
      <c r="AJ55" s="20"/>
      <c r="AL55" s="20"/>
      <c r="AM55" s="20"/>
      <c r="AN55" s="20"/>
      <c r="AO55" s="20"/>
      <c r="AQ55" s="20"/>
      <c r="AR55" s="20"/>
      <c r="AS55" s="20"/>
      <c r="AT55" s="20"/>
    </row>
    <row r="56" spans="18:46" ht="12.75">
      <c r="R56" s="20"/>
      <c r="S56" s="20"/>
      <c r="T56" s="20"/>
      <c r="U56" s="20"/>
      <c r="W56" s="20"/>
      <c r="X56" s="20"/>
      <c r="Y56" s="20"/>
      <c r="Z56" s="20"/>
      <c r="AG56" s="20"/>
      <c r="AH56" s="20"/>
      <c r="AI56" s="20"/>
      <c r="AJ56" s="20"/>
      <c r="AL56" s="20"/>
      <c r="AM56" s="20"/>
      <c r="AN56" s="20"/>
      <c r="AO56" s="20"/>
      <c r="AQ56" s="20"/>
      <c r="AR56" s="20"/>
      <c r="AS56" s="20"/>
      <c r="AT56" s="20"/>
    </row>
    <row r="57" spans="18:46" ht="12.75">
      <c r="R57" s="20"/>
      <c r="S57" s="20"/>
      <c r="T57" s="20"/>
      <c r="U57" s="20"/>
      <c r="W57" s="20"/>
      <c r="X57" s="20"/>
      <c r="Y57" s="20"/>
      <c r="Z57" s="20"/>
      <c r="AG57" s="20"/>
      <c r="AH57" s="20"/>
      <c r="AI57" s="20"/>
      <c r="AJ57" s="20"/>
      <c r="AL57" s="20"/>
      <c r="AM57" s="20"/>
      <c r="AN57" s="20"/>
      <c r="AO57" s="20"/>
      <c r="AQ57" s="20"/>
      <c r="AR57" s="20"/>
      <c r="AS57" s="20"/>
      <c r="AT57" s="20"/>
    </row>
    <row r="58" spans="18:46" ht="12.75">
      <c r="R58" s="20"/>
      <c r="S58" s="20"/>
      <c r="T58" s="20"/>
      <c r="U58" s="20"/>
      <c r="W58" s="20"/>
      <c r="X58" s="20"/>
      <c r="Y58" s="20"/>
      <c r="Z58" s="20"/>
      <c r="AG58" s="20"/>
      <c r="AH58" s="20"/>
      <c r="AI58" s="20"/>
      <c r="AJ58" s="20"/>
      <c r="AL58" s="20"/>
      <c r="AM58" s="20"/>
      <c r="AN58" s="20"/>
      <c r="AO58" s="20"/>
      <c r="AQ58" s="20"/>
      <c r="AR58" s="20"/>
      <c r="AS58" s="20"/>
      <c r="AT58" s="20"/>
    </row>
    <row r="59" spans="18:46" ht="12.75">
      <c r="R59" s="20"/>
      <c r="S59" s="20"/>
      <c r="T59" s="20"/>
      <c r="U59" s="20"/>
      <c r="W59" s="20"/>
      <c r="X59" s="20"/>
      <c r="Y59" s="20"/>
      <c r="Z59" s="20"/>
      <c r="AG59" s="20"/>
      <c r="AH59" s="20"/>
      <c r="AI59" s="20"/>
      <c r="AJ59" s="20"/>
      <c r="AL59" s="20"/>
      <c r="AM59" s="20"/>
      <c r="AN59" s="20"/>
      <c r="AO59" s="20"/>
      <c r="AQ59" s="20"/>
      <c r="AR59" s="20"/>
      <c r="AS59" s="20"/>
      <c r="AT59" s="20"/>
    </row>
    <row r="60" spans="8:46" ht="12.75">
      <c r="H60"/>
      <c r="I60"/>
      <c r="J60"/>
      <c r="K60"/>
      <c r="R60" s="20"/>
      <c r="S60" s="20"/>
      <c r="T60" s="20"/>
      <c r="U60" s="20"/>
      <c r="W60" s="20"/>
      <c r="X60" s="20"/>
      <c r="Y60" s="20"/>
      <c r="Z60" s="20"/>
      <c r="AG60" s="20"/>
      <c r="AH60" s="20"/>
      <c r="AI60" s="20"/>
      <c r="AJ60" s="20"/>
      <c r="AL60" s="20"/>
      <c r="AM60" s="20"/>
      <c r="AN60" s="20"/>
      <c r="AO60" s="20"/>
      <c r="AQ60" s="20"/>
      <c r="AR60" s="20"/>
      <c r="AS60" s="20"/>
      <c r="AT60" s="20"/>
    </row>
    <row r="61" spans="1:46" ht="12.75">
      <c r="A61"/>
      <c r="C61"/>
      <c r="D61"/>
      <c r="E61"/>
      <c r="F61"/>
      <c r="G61"/>
      <c r="H61"/>
      <c r="I61"/>
      <c r="J61"/>
      <c r="K61"/>
      <c r="L61"/>
      <c r="Q61"/>
      <c r="R61" s="20"/>
      <c r="S61" s="20"/>
      <c r="T61" s="20"/>
      <c r="U61" s="20"/>
      <c r="V61"/>
      <c r="W61" s="20"/>
      <c r="X61" s="20"/>
      <c r="Y61" s="20"/>
      <c r="Z61" s="20"/>
      <c r="AA61"/>
      <c r="AB61"/>
      <c r="AC61"/>
      <c r="AD61"/>
      <c r="AE61"/>
      <c r="AF61"/>
      <c r="AG61" s="20"/>
      <c r="AH61" s="20"/>
      <c r="AI61" s="20"/>
      <c r="AJ61" s="20"/>
      <c r="AK61"/>
      <c r="AL61" s="20"/>
      <c r="AM61" s="20"/>
      <c r="AN61" s="20"/>
      <c r="AO61" s="20"/>
      <c r="AQ61" s="20"/>
      <c r="AR61" s="20"/>
      <c r="AS61" s="20"/>
      <c r="AT61" s="20"/>
    </row>
    <row r="62" spans="1:46" ht="12.75">
      <c r="A62"/>
      <c r="C62"/>
      <c r="D62"/>
      <c r="E62"/>
      <c r="F62"/>
      <c r="G62"/>
      <c r="H62"/>
      <c r="I62"/>
      <c r="J62"/>
      <c r="K62"/>
      <c r="L62"/>
      <c r="Q62"/>
      <c r="R62" s="20"/>
      <c r="S62" s="20"/>
      <c r="T62" s="20"/>
      <c r="U62" s="20"/>
      <c r="V62"/>
      <c r="W62" s="20"/>
      <c r="X62" s="20"/>
      <c r="Y62" s="20"/>
      <c r="Z62" s="20"/>
      <c r="AA62"/>
      <c r="AB62"/>
      <c r="AC62"/>
      <c r="AD62"/>
      <c r="AE62"/>
      <c r="AF62"/>
      <c r="AG62" s="20"/>
      <c r="AH62" s="20"/>
      <c r="AI62" s="20"/>
      <c r="AJ62" s="20"/>
      <c r="AK62"/>
      <c r="AL62" s="20"/>
      <c r="AM62" s="20"/>
      <c r="AN62" s="20"/>
      <c r="AO62" s="20"/>
      <c r="AQ62" s="20"/>
      <c r="AR62" s="20"/>
      <c r="AS62" s="20"/>
      <c r="AT62" s="20"/>
    </row>
    <row r="63" spans="1:46" ht="12.75">
      <c r="A63"/>
      <c r="C63"/>
      <c r="D63"/>
      <c r="E63"/>
      <c r="F63"/>
      <c r="G63"/>
      <c r="H63"/>
      <c r="I63"/>
      <c r="J63"/>
      <c r="K63"/>
      <c r="L63"/>
      <c r="Q63"/>
      <c r="R63" s="20"/>
      <c r="S63" s="20"/>
      <c r="T63" s="20"/>
      <c r="U63" s="20"/>
      <c r="V63"/>
      <c r="W63" s="20"/>
      <c r="X63" s="20"/>
      <c r="Y63" s="20"/>
      <c r="Z63" s="20"/>
      <c r="AA63"/>
      <c r="AB63"/>
      <c r="AC63"/>
      <c r="AD63"/>
      <c r="AE63"/>
      <c r="AF63"/>
      <c r="AG63" s="20"/>
      <c r="AH63" s="20"/>
      <c r="AI63" s="20"/>
      <c r="AJ63" s="20"/>
      <c r="AK63"/>
      <c r="AL63" s="20"/>
      <c r="AM63" s="20"/>
      <c r="AN63" s="20"/>
      <c r="AO63" s="20"/>
      <c r="AQ63" s="20"/>
      <c r="AR63" s="20"/>
      <c r="AS63" s="20"/>
      <c r="AT63" s="20"/>
    </row>
    <row r="64" spans="1:46" ht="12.75">
      <c r="A64"/>
      <c r="C64"/>
      <c r="D64"/>
      <c r="E64"/>
      <c r="F64"/>
      <c r="G64"/>
      <c r="H64"/>
      <c r="I64"/>
      <c r="J64"/>
      <c r="K64"/>
      <c r="L64"/>
      <c r="Q64"/>
      <c r="R64" s="20"/>
      <c r="S64" s="20"/>
      <c r="T64" s="20"/>
      <c r="U64" s="20"/>
      <c r="V64"/>
      <c r="W64" s="20"/>
      <c r="X64" s="20"/>
      <c r="Y64" s="20"/>
      <c r="Z64" s="20"/>
      <c r="AA64"/>
      <c r="AB64"/>
      <c r="AC64"/>
      <c r="AD64"/>
      <c r="AE64"/>
      <c r="AF64"/>
      <c r="AG64" s="20"/>
      <c r="AH64" s="20"/>
      <c r="AI64" s="20"/>
      <c r="AJ64" s="20"/>
      <c r="AK64"/>
      <c r="AL64" s="20"/>
      <c r="AM64" s="20"/>
      <c r="AN64" s="20"/>
      <c r="AO64" s="20"/>
      <c r="AQ64" s="20"/>
      <c r="AR64" s="20"/>
      <c r="AS64" s="20"/>
      <c r="AT64" s="20"/>
    </row>
    <row r="65" spans="1:46" ht="12.75">
      <c r="A65"/>
      <c r="C65"/>
      <c r="D65"/>
      <c r="E65"/>
      <c r="F65"/>
      <c r="G65"/>
      <c r="H65"/>
      <c r="I65"/>
      <c r="J65"/>
      <c r="K65"/>
      <c r="L65"/>
      <c r="Q65"/>
      <c r="R65" s="20"/>
      <c r="S65" s="20"/>
      <c r="T65" s="20"/>
      <c r="U65" s="20"/>
      <c r="V65"/>
      <c r="W65" s="20"/>
      <c r="X65" s="20"/>
      <c r="Y65" s="20"/>
      <c r="Z65" s="20"/>
      <c r="AA65"/>
      <c r="AB65"/>
      <c r="AC65"/>
      <c r="AD65"/>
      <c r="AE65"/>
      <c r="AF65"/>
      <c r="AG65" s="20"/>
      <c r="AH65" s="20"/>
      <c r="AI65" s="20"/>
      <c r="AJ65" s="20"/>
      <c r="AK65"/>
      <c r="AL65" s="20"/>
      <c r="AM65" s="20"/>
      <c r="AN65" s="20"/>
      <c r="AO65" s="20"/>
      <c r="AQ65" s="20"/>
      <c r="AR65" s="20"/>
      <c r="AS65" s="20"/>
      <c r="AT65" s="20"/>
    </row>
    <row r="66" spans="1:46" ht="12.75">
      <c r="A66"/>
      <c r="C66"/>
      <c r="D66"/>
      <c r="E66"/>
      <c r="F66"/>
      <c r="G66"/>
      <c r="H66"/>
      <c r="I66"/>
      <c r="J66"/>
      <c r="K66"/>
      <c r="L66"/>
      <c r="Q66"/>
      <c r="R66" s="20"/>
      <c r="S66" s="20"/>
      <c r="T66" s="20"/>
      <c r="U66" s="20"/>
      <c r="V66"/>
      <c r="W66" s="20"/>
      <c r="X66" s="20"/>
      <c r="Y66" s="20"/>
      <c r="Z66" s="20"/>
      <c r="AA66"/>
      <c r="AB66"/>
      <c r="AC66"/>
      <c r="AD66"/>
      <c r="AE66"/>
      <c r="AF66"/>
      <c r="AG66" s="20"/>
      <c r="AH66" s="20"/>
      <c r="AI66" s="20"/>
      <c r="AJ66" s="20"/>
      <c r="AK66"/>
      <c r="AL66" s="20"/>
      <c r="AM66" s="20"/>
      <c r="AN66" s="20"/>
      <c r="AO66" s="20"/>
      <c r="AQ66" s="20"/>
      <c r="AR66" s="20"/>
      <c r="AS66" s="20"/>
      <c r="AT66" s="20"/>
    </row>
    <row r="67" spans="1:46" ht="12.75">
      <c r="A67"/>
      <c r="C67"/>
      <c r="D67"/>
      <c r="E67"/>
      <c r="F67"/>
      <c r="G67"/>
      <c r="H67"/>
      <c r="I67"/>
      <c r="J67"/>
      <c r="K67"/>
      <c r="L67"/>
      <c r="Q67"/>
      <c r="R67" s="20"/>
      <c r="S67" s="20"/>
      <c r="T67" s="20"/>
      <c r="U67" s="20"/>
      <c r="V67"/>
      <c r="W67" s="20"/>
      <c r="X67" s="20"/>
      <c r="Y67" s="20"/>
      <c r="Z67" s="20"/>
      <c r="AA67"/>
      <c r="AB67"/>
      <c r="AC67"/>
      <c r="AD67"/>
      <c r="AE67"/>
      <c r="AF67"/>
      <c r="AG67" s="20"/>
      <c r="AH67" s="20"/>
      <c r="AI67" s="20"/>
      <c r="AJ67" s="20"/>
      <c r="AK67"/>
      <c r="AL67" s="20"/>
      <c r="AM67" s="20"/>
      <c r="AN67" s="20"/>
      <c r="AO67" s="20"/>
      <c r="AQ67" s="20"/>
      <c r="AR67" s="20"/>
      <c r="AS67" s="20"/>
      <c r="AT67" s="20"/>
    </row>
    <row r="68" spans="1:46" ht="12.75">
      <c r="A68"/>
      <c r="C68"/>
      <c r="D68"/>
      <c r="E68"/>
      <c r="F68"/>
      <c r="G68"/>
      <c r="H68"/>
      <c r="I68"/>
      <c r="J68"/>
      <c r="K68"/>
      <c r="L68"/>
      <c r="Q68"/>
      <c r="R68" s="20"/>
      <c r="S68" s="20"/>
      <c r="T68" s="20"/>
      <c r="U68" s="20"/>
      <c r="V68"/>
      <c r="W68" s="20"/>
      <c r="X68" s="20"/>
      <c r="Y68" s="20"/>
      <c r="Z68" s="20"/>
      <c r="AA68"/>
      <c r="AB68"/>
      <c r="AC68"/>
      <c r="AD68"/>
      <c r="AE68"/>
      <c r="AF68"/>
      <c r="AG68" s="20"/>
      <c r="AH68" s="20"/>
      <c r="AI68" s="20"/>
      <c r="AJ68" s="20"/>
      <c r="AK68"/>
      <c r="AL68" s="20"/>
      <c r="AM68" s="20"/>
      <c r="AN68" s="20"/>
      <c r="AO68" s="20"/>
      <c r="AQ68" s="20"/>
      <c r="AR68" s="20"/>
      <c r="AS68" s="20"/>
      <c r="AT68" s="20"/>
    </row>
    <row r="69" spans="1:46" ht="12.75">
      <c r="A69"/>
      <c r="C69"/>
      <c r="D69"/>
      <c r="E69"/>
      <c r="F69"/>
      <c r="G69"/>
      <c r="H69"/>
      <c r="I69"/>
      <c r="J69"/>
      <c r="K69"/>
      <c r="L69"/>
      <c r="Q69"/>
      <c r="R69" s="20"/>
      <c r="S69" s="20"/>
      <c r="T69" s="20"/>
      <c r="U69" s="20"/>
      <c r="V69"/>
      <c r="W69" s="20"/>
      <c r="X69" s="20"/>
      <c r="Y69" s="20"/>
      <c r="Z69" s="20"/>
      <c r="AA69"/>
      <c r="AB69"/>
      <c r="AC69"/>
      <c r="AD69"/>
      <c r="AE69"/>
      <c r="AF69"/>
      <c r="AG69" s="20"/>
      <c r="AH69" s="20"/>
      <c r="AI69" s="20"/>
      <c r="AJ69" s="20"/>
      <c r="AK69"/>
      <c r="AL69" s="20"/>
      <c r="AM69" s="20"/>
      <c r="AN69" s="20"/>
      <c r="AO69" s="20"/>
      <c r="AQ69" s="20"/>
      <c r="AR69" s="20"/>
      <c r="AS69" s="20"/>
      <c r="AT69" s="20"/>
    </row>
    <row r="70" spans="1:46" ht="12.75">
      <c r="A70"/>
      <c r="C70"/>
      <c r="D70"/>
      <c r="E70"/>
      <c r="F70"/>
      <c r="G70"/>
      <c r="H70"/>
      <c r="I70"/>
      <c r="J70"/>
      <c r="K70"/>
      <c r="L70"/>
      <c r="Q70"/>
      <c r="R70" s="20"/>
      <c r="S70" s="20"/>
      <c r="T70" s="20"/>
      <c r="U70" s="20"/>
      <c r="V70"/>
      <c r="W70" s="20"/>
      <c r="X70" s="20"/>
      <c r="Y70" s="20"/>
      <c r="Z70" s="20"/>
      <c r="AA70"/>
      <c r="AB70"/>
      <c r="AC70"/>
      <c r="AD70"/>
      <c r="AE70"/>
      <c r="AF70"/>
      <c r="AG70" s="20"/>
      <c r="AH70" s="20"/>
      <c r="AI70" s="20"/>
      <c r="AJ70" s="20"/>
      <c r="AK70"/>
      <c r="AL70" s="20"/>
      <c r="AM70" s="20"/>
      <c r="AN70" s="20"/>
      <c r="AO70" s="20"/>
      <c r="AQ70" s="20"/>
      <c r="AR70" s="20"/>
      <c r="AS70" s="20"/>
      <c r="AT70" s="20"/>
    </row>
    <row r="71" spans="1:46" ht="12.75">
      <c r="A71"/>
      <c r="C71"/>
      <c r="D71"/>
      <c r="E71"/>
      <c r="F71"/>
      <c r="G71"/>
      <c r="H71"/>
      <c r="I71"/>
      <c r="J71"/>
      <c r="K71"/>
      <c r="L71"/>
      <c r="Q71"/>
      <c r="R71" s="20"/>
      <c r="S71" s="20"/>
      <c r="T71" s="20"/>
      <c r="U71" s="20"/>
      <c r="V71"/>
      <c r="W71" s="20"/>
      <c r="X71" s="20"/>
      <c r="Y71" s="20"/>
      <c r="Z71" s="20"/>
      <c r="AA71"/>
      <c r="AB71"/>
      <c r="AC71"/>
      <c r="AD71"/>
      <c r="AE71"/>
      <c r="AF71"/>
      <c r="AG71" s="20"/>
      <c r="AH71" s="20"/>
      <c r="AI71" s="20"/>
      <c r="AJ71" s="20"/>
      <c r="AK71"/>
      <c r="AL71" s="20"/>
      <c r="AM71" s="20"/>
      <c r="AN71" s="20"/>
      <c r="AO71" s="20"/>
      <c r="AQ71" s="20"/>
      <c r="AR71" s="20"/>
      <c r="AS71" s="20"/>
      <c r="AT71" s="20"/>
    </row>
    <row r="72" spans="1:46" ht="12.75">
      <c r="A72"/>
      <c r="C72"/>
      <c r="D72"/>
      <c r="E72"/>
      <c r="F72"/>
      <c r="G72"/>
      <c r="H72"/>
      <c r="I72"/>
      <c r="J72"/>
      <c r="K72"/>
      <c r="L72"/>
      <c r="Q72"/>
      <c r="R72" s="20"/>
      <c r="S72" s="20"/>
      <c r="T72" s="20"/>
      <c r="U72" s="20"/>
      <c r="V72"/>
      <c r="W72" s="20"/>
      <c r="X72" s="20"/>
      <c r="Y72" s="20"/>
      <c r="Z72" s="20"/>
      <c r="AA72"/>
      <c r="AB72"/>
      <c r="AC72"/>
      <c r="AD72"/>
      <c r="AE72"/>
      <c r="AF72"/>
      <c r="AG72" s="20"/>
      <c r="AH72" s="20"/>
      <c r="AI72" s="20"/>
      <c r="AJ72" s="20"/>
      <c r="AK72"/>
      <c r="AL72" s="20"/>
      <c r="AM72" s="20"/>
      <c r="AN72" s="20"/>
      <c r="AO72" s="20"/>
      <c r="AQ72" s="20"/>
      <c r="AR72" s="20"/>
      <c r="AS72" s="20"/>
      <c r="AT72" s="20"/>
    </row>
    <row r="73" spans="1:46" ht="12.75">
      <c r="A73"/>
      <c r="C73"/>
      <c r="D73"/>
      <c r="E73"/>
      <c r="F73"/>
      <c r="G73"/>
      <c r="H73"/>
      <c r="I73"/>
      <c r="J73"/>
      <c r="K73"/>
      <c r="L73"/>
      <c r="Q73"/>
      <c r="R73" s="20"/>
      <c r="S73" s="20"/>
      <c r="T73" s="20"/>
      <c r="U73" s="20"/>
      <c r="V73"/>
      <c r="W73" s="20"/>
      <c r="X73" s="20"/>
      <c r="Y73" s="20"/>
      <c r="Z73" s="20"/>
      <c r="AA73"/>
      <c r="AB73"/>
      <c r="AC73"/>
      <c r="AD73"/>
      <c r="AE73"/>
      <c r="AF73"/>
      <c r="AG73" s="20"/>
      <c r="AH73" s="20"/>
      <c r="AI73" s="20"/>
      <c r="AJ73" s="20"/>
      <c r="AK73"/>
      <c r="AL73" s="20"/>
      <c r="AM73" s="20"/>
      <c r="AN73" s="20"/>
      <c r="AO73" s="20"/>
      <c r="AQ73" s="20"/>
      <c r="AR73" s="20"/>
      <c r="AS73" s="20"/>
      <c r="AT73" s="20"/>
    </row>
    <row r="74" spans="1:46" ht="12.75">
      <c r="A74"/>
      <c r="C74"/>
      <c r="D74"/>
      <c r="E74"/>
      <c r="F74"/>
      <c r="G74"/>
      <c r="H74"/>
      <c r="I74"/>
      <c r="J74"/>
      <c r="K74"/>
      <c r="L74"/>
      <c r="Q74"/>
      <c r="R74" s="20"/>
      <c r="S74" s="20"/>
      <c r="T74" s="20"/>
      <c r="U74" s="20"/>
      <c r="V74"/>
      <c r="W74" s="20"/>
      <c r="X74" s="20"/>
      <c r="Y74" s="20"/>
      <c r="Z74" s="20"/>
      <c r="AA74"/>
      <c r="AB74"/>
      <c r="AC74"/>
      <c r="AD74"/>
      <c r="AE74"/>
      <c r="AF74"/>
      <c r="AG74" s="20"/>
      <c r="AH74" s="20"/>
      <c r="AI74" s="20"/>
      <c r="AJ74" s="20"/>
      <c r="AK74"/>
      <c r="AL74" s="20"/>
      <c r="AM74" s="20"/>
      <c r="AN74" s="20"/>
      <c r="AO74" s="20"/>
      <c r="AQ74" s="20"/>
      <c r="AR74" s="20"/>
      <c r="AS74" s="20"/>
      <c r="AT74" s="20"/>
    </row>
    <row r="75" spans="1:37" ht="12.75">
      <c r="A75"/>
      <c r="C75"/>
      <c r="D75"/>
      <c r="E75"/>
      <c r="F75"/>
      <c r="G75"/>
      <c r="H75"/>
      <c r="I75"/>
      <c r="J75"/>
      <c r="K75"/>
      <c r="L75"/>
      <c r="Q75"/>
      <c r="V75"/>
      <c r="AA75"/>
      <c r="AB75"/>
      <c r="AC75"/>
      <c r="AD75"/>
      <c r="AE75"/>
      <c r="AF75"/>
      <c r="AK75"/>
    </row>
    <row r="76" spans="1:37" ht="12.75">
      <c r="A76"/>
      <c r="C76"/>
      <c r="D76"/>
      <c r="E76"/>
      <c r="F76"/>
      <c r="G76"/>
      <c r="H76"/>
      <c r="I76"/>
      <c r="J76"/>
      <c r="K76"/>
      <c r="L76"/>
      <c r="Q76"/>
      <c r="V76"/>
      <c r="AA76"/>
      <c r="AB76"/>
      <c r="AC76"/>
      <c r="AD76"/>
      <c r="AE76"/>
      <c r="AF76"/>
      <c r="AK76"/>
    </row>
    <row r="77" spans="1:37" ht="12.75">
      <c r="A77"/>
      <c r="C77"/>
      <c r="D77"/>
      <c r="E77"/>
      <c r="F77"/>
      <c r="G77"/>
      <c r="H77"/>
      <c r="I77"/>
      <c r="J77"/>
      <c r="K77"/>
      <c r="L77"/>
      <c r="Q77"/>
      <c r="V77"/>
      <c r="AA77"/>
      <c r="AB77"/>
      <c r="AC77"/>
      <c r="AD77"/>
      <c r="AE77"/>
      <c r="AF77"/>
      <c r="AK77"/>
    </row>
    <row r="78" spans="1:37" ht="12.75">
      <c r="A78"/>
      <c r="C78"/>
      <c r="D78"/>
      <c r="E78"/>
      <c r="F78"/>
      <c r="G78"/>
      <c r="H78"/>
      <c r="I78"/>
      <c r="J78"/>
      <c r="K78"/>
      <c r="L78"/>
      <c r="Q78"/>
      <c r="V78"/>
      <c r="AA78"/>
      <c r="AB78"/>
      <c r="AC78"/>
      <c r="AD78"/>
      <c r="AE78"/>
      <c r="AF78"/>
      <c r="AK78"/>
    </row>
    <row r="79" spans="1:37" ht="12.75">
      <c r="A79"/>
      <c r="C79"/>
      <c r="D79"/>
      <c r="E79"/>
      <c r="F79"/>
      <c r="G79"/>
      <c r="H79"/>
      <c r="I79"/>
      <c r="J79"/>
      <c r="K79"/>
      <c r="L79"/>
      <c r="Q79"/>
      <c r="V79"/>
      <c r="AA79"/>
      <c r="AB79"/>
      <c r="AC79"/>
      <c r="AD79"/>
      <c r="AE79"/>
      <c r="AF79"/>
      <c r="AK79"/>
    </row>
    <row r="80" spans="1:37" ht="12.75">
      <c r="A80"/>
      <c r="C80"/>
      <c r="D80"/>
      <c r="E80"/>
      <c r="F80"/>
      <c r="G80"/>
      <c r="H80"/>
      <c r="I80"/>
      <c r="J80"/>
      <c r="K80"/>
      <c r="L80"/>
      <c r="Q80"/>
      <c r="V80"/>
      <c r="AA80"/>
      <c r="AB80"/>
      <c r="AC80"/>
      <c r="AD80"/>
      <c r="AE80"/>
      <c r="AF80"/>
      <c r="AK80"/>
    </row>
    <row r="81" spans="1:37" ht="12.75">
      <c r="A81"/>
      <c r="C81"/>
      <c r="D81"/>
      <c r="E81"/>
      <c r="F81"/>
      <c r="G81"/>
      <c r="H81"/>
      <c r="I81"/>
      <c r="J81"/>
      <c r="K81"/>
      <c r="L81"/>
      <c r="Q81"/>
      <c r="V81"/>
      <c r="AA81"/>
      <c r="AB81"/>
      <c r="AC81"/>
      <c r="AD81"/>
      <c r="AE81"/>
      <c r="AF81"/>
      <c r="AK81"/>
    </row>
    <row r="82" spans="1:37" ht="12.75">
      <c r="A82"/>
      <c r="C82"/>
      <c r="D82"/>
      <c r="E82"/>
      <c r="F82"/>
      <c r="G82"/>
      <c r="H82"/>
      <c r="I82"/>
      <c r="J82"/>
      <c r="K82"/>
      <c r="L82"/>
      <c r="Q82"/>
      <c r="V82"/>
      <c r="AA82"/>
      <c r="AB82"/>
      <c r="AC82"/>
      <c r="AD82"/>
      <c r="AE82"/>
      <c r="AF82"/>
      <c r="AK82"/>
    </row>
    <row r="83" spans="1:37" ht="12.75">
      <c r="A83"/>
      <c r="C83"/>
      <c r="D83"/>
      <c r="E83"/>
      <c r="F83"/>
      <c r="G83"/>
      <c r="H83"/>
      <c r="I83"/>
      <c r="J83"/>
      <c r="K83"/>
      <c r="L83"/>
      <c r="Q83"/>
      <c r="V83"/>
      <c r="AA83"/>
      <c r="AB83"/>
      <c r="AC83"/>
      <c r="AD83"/>
      <c r="AE83"/>
      <c r="AF83"/>
      <c r="AK83"/>
    </row>
    <row r="84" spans="1:37" ht="12.75">
      <c r="A84"/>
      <c r="C84"/>
      <c r="D84"/>
      <c r="E84"/>
      <c r="F84"/>
      <c r="G84"/>
      <c r="H84"/>
      <c r="I84"/>
      <c r="J84"/>
      <c r="K84"/>
      <c r="L84"/>
      <c r="Q84"/>
      <c r="V84"/>
      <c r="AA84"/>
      <c r="AB84"/>
      <c r="AC84"/>
      <c r="AD84"/>
      <c r="AE84"/>
      <c r="AF84"/>
      <c r="AK84"/>
    </row>
    <row r="85" spans="1:37" ht="12.75">
      <c r="A85"/>
      <c r="C85"/>
      <c r="D85"/>
      <c r="E85"/>
      <c r="F85"/>
      <c r="G85"/>
      <c r="H85"/>
      <c r="I85"/>
      <c r="J85"/>
      <c r="K85"/>
      <c r="L85"/>
      <c r="Q85"/>
      <c r="V85"/>
      <c r="AA85"/>
      <c r="AB85"/>
      <c r="AC85"/>
      <c r="AD85"/>
      <c r="AE85"/>
      <c r="AF85"/>
      <c r="AK85"/>
    </row>
    <row r="86" spans="1:37" ht="12.75">
      <c r="A86"/>
      <c r="C86"/>
      <c r="D86"/>
      <c r="E86"/>
      <c r="F86"/>
      <c r="G86"/>
      <c r="H86"/>
      <c r="I86"/>
      <c r="J86"/>
      <c r="K86"/>
      <c r="L86"/>
      <c r="Q86"/>
      <c r="V86"/>
      <c r="AA86"/>
      <c r="AB86"/>
      <c r="AC86"/>
      <c r="AD86"/>
      <c r="AE86"/>
      <c r="AF86"/>
      <c r="AK86"/>
    </row>
    <row r="87" spans="1:37" ht="12.75">
      <c r="A87"/>
      <c r="C87"/>
      <c r="D87"/>
      <c r="E87"/>
      <c r="F87"/>
      <c r="G87"/>
      <c r="L87"/>
      <c r="Q87"/>
      <c r="V87"/>
      <c r="AA87"/>
      <c r="AB87"/>
      <c r="AC87"/>
      <c r="AD87"/>
      <c r="AE87"/>
      <c r="AF87"/>
      <c r="AK87"/>
    </row>
  </sheetData>
  <sheetProtection/>
  <printOptions/>
  <pageMargins left="0.5" right="0" top="0.1" bottom="0.25" header="0" footer="0"/>
  <pageSetup horizontalDpi="600" verticalDpi="600" orientation="landscape" scale="90" r:id="rId1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L8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3" sqref="G13"/>
    </sheetView>
  </sheetViews>
  <sheetFormatPr defaultColWidth="9.140625" defaultRowHeight="12.75"/>
  <cols>
    <col min="1" max="1" width="9.7109375" style="19" customWidth="1"/>
    <col min="2" max="2" width="3.7109375" style="0" hidden="1" customWidth="1"/>
    <col min="3" max="5" width="13.7109375" style="35" hidden="1" customWidth="1"/>
    <col min="6" max="6" width="3.7109375" style="33" customWidth="1"/>
    <col min="7" max="10" width="13.7109375" style="33" customWidth="1"/>
    <col min="11" max="11" width="3.7109375" style="33" customWidth="1"/>
    <col min="12" max="15" width="12.7109375" style="33" customWidth="1"/>
    <col min="16" max="16" width="3.7109375" style="33" customWidth="1"/>
    <col min="17" max="20" width="13.7109375" style="33" customWidth="1"/>
    <col min="21" max="21" width="3.7109375" style="33" customWidth="1"/>
    <col min="22" max="23" width="12.7109375" style="33" customWidth="1"/>
    <col min="24" max="25" width="13.7109375" style="33" customWidth="1"/>
    <col min="26" max="26" width="3.7109375" style="33" customWidth="1"/>
    <col min="27" max="30" width="13.7109375" style="33" customWidth="1"/>
    <col min="31" max="31" width="3.7109375" style="33" customWidth="1"/>
    <col min="32" max="35" width="12.7109375" style="33" customWidth="1"/>
    <col min="36" max="36" width="3.7109375" style="33" customWidth="1"/>
    <col min="37" max="40" width="12.7109375" style="33" customWidth="1"/>
    <col min="41" max="41" width="3.7109375" style="33" customWidth="1"/>
    <col min="42" max="45" width="13.7109375" style="33" customWidth="1"/>
    <col min="46" max="46" width="3.7109375" style="33" customWidth="1"/>
    <col min="47" max="50" width="13.7109375" style="33" customWidth="1"/>
    <col min="51" max="51" width="3.7109375" style="33" customWidth="1"/>
    <col min="52" max="55" width="12.7109375" style="33" customWidth="1"/>
    <col min="56" max="56" width="3.7109375" style="33" customWidth="1"/>
    <col min="57" max="60" width="13.7109375" style="33" customWidth="1"/>
    <col min="61" max="61" width="3.7109375" style="33" customWidth="1"/>
    <col min="62" max="65" width="13.7109375" style="33" customWidth="1"/>
    <col min="66" max="66" width="3.7109375" style="33" customWidth="1"/>
    <col min="67" max="70" width="13.7109375" style="33" customWidth="1"/>
    <col min="71" max="71" width="3.7109375" style="33" customWidth="1"/>
    <col min="72" max="75" width="13.7109375" style="33" customWidth="1"/>
    <col min="76" max="76" width="3.7109375" style="33" customWidth="1"/>
    <col min="77" max="80" width="13.7109375" style="33" customWidth="1"/>
    <col min="81" max="81" width="3.7109375" style="33" customWidth="1"/>
    <col min="82" max="85" width="13.7109375" style="33" customWidth="1"/>
    <col min="86" max="86" width="3.7109375" style="33" customWidth="1"/>
    <col min="87" max="90" width="13.7109375" style="33" customWidth="1"/>
    <col min="91" max="91" width="3.7109375" style="33" customWidth="1"/>
    <col min="92" max="95" width="13.7109375" style="33" customWidth="1"/>
    <col min="96" max="96" width="3.7109375" style="33" customWidth="1"/>
    <col min="97" max="100" width="13.7109375" style="33" customWidth="1"/>
    <col min="101" max="101" width="3.7109375" style="33" customWidth="1"/>
    <col min="102" max="105" width="13.7109375" style="33" customWidth="1"/>
    <col min="106" max="106" width="3.7109375" style="33" customWidth="1"/>
    <col min="107" max="110" width="13.7109375" style="33" customWidth="1"/>
    <col min="111" max="111" width="3.7109375" style="33" customWidth="1"/>
    <col min="112" max="115" width="13.7109375" style="33" customWidth="1"/>
    <col min="116" max="116" width="3.7109375" style="33" customWidth="1"/>
  </cols>
  <sheetData>
    <row r="1" spans="1:112" ht="12.75">
      <c r="A1" s="43"/>
      <c r="B1" s="30"/>
      <c r="D1" s="44"/>
      <c r="G1" s="44" t="s">
        <v>14</v>
      </c>
      <c r="Q1" s="44"/>
      <c r="V1" s="44" t="s">
        <v>14</v>
      </c>
      <c r="AK1" s="44" t="s">
        <v>14</v>
      </c>
      <c r="AU1" s="44"/>
      <c r="AZ1" s="44" t="s">
        <v>14</v>
      </c>
      <c r="BO1" s="44" t="s">
        <v>14</v>
      </c>
      <c r="CD1" s="44" t="s">
        <v>14</v>
      </c>
      <c r="CS1" s="44" t="s">
        <v>14</v>
      </c>
      <c r="CX1" s="44"/>
      <c r="DH1" s="44" t="s">
        <v>14</v>
      </c>
    </row>
    <row r="2" spans="1:112" ht="12.75">
      <c r="A2" s="43"/>
      <c r="B2" s="30"/>
      <c r="D2" s="44"/>
      <c r="G2" s="44" t="s">
        <v>13</v>
      </c>
      <c r="Q2" s="44"/>
      <c r="V2" s="44" t="s">
        <v>13</v>
      </c>
      <c r="AK2" s="44" t="s">
        <v>13</v>
      </c>
      <c r="AU2" s="44"/>
      <c r="AZ2" s="44" t="s">
        <v>13</v>
      </c>
      <c r="BO2" s="44" t="s">
        <v>13</v>
      </c>
      <c r="CD2" s="44" t="s">
        <v>13</v>
      </c>
      <c r="CS2" s="44" t="s">
        <v>13</v>
      </c>
      <c r="CX2" s="44"/>
      <c r="DH2" s="44" t="s">
        <v>13</v>
      </c>
    </row>
    <row r="3" spans="1:112" ht="12.75">
      <c r="A3" s="43"/>
      <c r="B3" s="30"/>
      <c r="D3" s="42"/>
      <c r="G3" s="44" t="s">
        <v>81</v>
      </c>
      <c r="Q3" s="44"/>
      <c r="V3" s="44" t="s">
        <v>81</v>
      </c>
      <c r="AK3" s="44" t="s">
        <v>81</v>
      </c>
      <c r="AU3" s="44"/>
      <c r="AZ3" s="44" t="s">
        <v>81</v>
      </c>
      <c r="BO3" s="44" t="s">
        <v>81</v>
      </c>
      <c r="CD3" s="44" t="s">
        <v>81</v>
      </c>
      <c r="CS3" s="44" t="s">
        <v>81</v>
      </c>
      <c r="CX3" s="44"/>
      <c r="DH3" s="44" t="s">
        <v>81</v>
      </c>
    </row>
    <row r="4" spans="1:4" ht="12.75">
      <c r="A4" s="43"/>
      <c r="B4" s="30"/>
      <c r="C4" s="42"/>
      <c r="D4" s="44"/>
    </row>
    <row r="5" spans="1:115" ht="12.75">
      <c r="A5" s="21" t="s">
        <v>9</v>
      </c>
      <c r="C5" s="47" t="s">
        <v>79</v>
      </c>
      <c r="D5" s="48"/>
      <c r="E5" s="49"/>
      <c r="G5" s="36" t="s">
        <v>80</v>
      </c>
      <c r="H5" s="37"/>
      <c r="I5" s="38"/>
      <c r="J5" s="38"/>
      <c r="L5" s="61" t="s">
        <v>121</v>
      </c>
      <c r="M5" s="70"/>
      <c r="N5" s="38"/>
      <c r="O5" s="38"/>
      <c r="Q5" s="61" t="s">
        <v>36</v>
      </c>
      <c r="R5" s="70"/>
      <c r="S5" s="38"/>
      <c r="T5" s="38"/>
      <c r="V5" s="61" t="s">
        <v>122</v>
      </c>
      <c r="W5" s="70"/>
      <c r="X5" s="38"/>
      <c r="Y5" s="38"/>
      <c r="AA5" s="61" t="s">
        <v>91</v>
      </c>
      <c r="AB5" s="70"/>
      <c r="AC5" s="38"/>
      <c r="AD5" s="38"/>
      <c r="AF5" s="61" t="s">
        <v>123</v>
      </c>
      <c r="AG5" s="70"/>
      <c r="AH5" s="38"/>
      <c r="AI5" s="38"/>
      <c r="AK5" s="61" t="s">
        <v>124</v>
      </c>
      <c r="AL5" s="70"/>
      <c r="AM5" s="38"/>
      <c r="AN5" s="38"/>
      <c r="AP5" s="36" t="s">
        <v>30</v>
      </c>
      <c r="AQ5" s="37"/>
      <c r="AR5" s="38"/>
      <c r="AS5" s="38"/>
      <c r="AU5" s="36" t="s">
        <v>92</v>
      </c>
      <c r="AV5" s="37"/>
      <c r="AW5" s="38"/>
      <c r="AX5" s="38"/>
      <c r="AY5" s="62"/>
      <c r="AZ5" s="36" t="s">
        <v>125</v>
      </c>
      <c r="BA5" s="37"/>
      <c r="BB5" s="38"/>
      <c r="BC5" s="38"/>
      <c r="BD5" s="75"/>
      <c r="BE5" s="36" t="s">
        <v>93</v>
      </c>
      <c r="BF5" s="37"/>
      <c r="BG5" s="38"/>
      <c r="BH5" s="38"/>
      <c r="BI5" s="75"/>
      <c r="BJ5" s="36" t="s">
        <v>32</v>
      </c>
      <c r="BK5" s="37"/>
      <c r="BL5" s="38"/>
      <c r="BM5" s="38"/>
      <c r="BO5" s="36" t="s">
        <v>94</v>
      </c>
      <c r="BP5" s="37"/>
      <c r="BQ5" s="38"/>
      <c r="BR5" s="38"/>
      <c r="BT5" s="36" t="s">
        <v>78</v>
      </c>
      <c r="BU5" s="70"/>
      <c r="BV5" s="38"/>
      <c r="BW5" s="38"/>
      <c r="BY5" s="36" t="s">
        <v>33</v>
      </c>
      <c r="BZ5" s="70"/>
      <c r="CA5" s="38"/>
      <c r="CB5" s="38"/>
      <c r="CC5" s="62"/>
      <c r="CD5" s="36" t="s">
        <v>34</v>
      </c>
      <c r="CE5" s="70"/>
      <c r="CF5" s="38"/>
      <c r="CG5" s="38"/>
      <c r="CI5" s="36" t="s">
        <v>95</v>
      </c>
      <c r="CJ5" s="70"/>
      <c r="CK5" s="38"/>
      <c r="CL5" s="38"/>
      <c r="CN5" s="36" t="s">
        <v>96</v>
      </c>
      <c r="CO5" s="70"/>
      <c r="CP5" s="38"/>
      <c r="CQ5" s="38"/>
      <c r="CS5" s="36" t="s">
        <v>97</v>
      </c>
      <c r="CT5" s="70"/>
      <c r="CU5" s="38"/>
      <c r="CV5" s="38"/>
      <c r="CX5" s="36" t="s">
        <v>98</v>
      </c>
      <c r="CY5" s="70"/>
      <c r="CZ5" s="38"/>
      <c r="DA5" s="38"/>
      <c r="DC5" s="36" t="s">
        <v>99</v>
      </c>
      <c r="DD5" s="70"/>
      <c r="DE5" s="38"/>
      <c r="DF5" s="38"/>
      <c r="DH5" s="36" t="s">
        <v>100</v>
      </c>
      <c r="DI5" s="70"/>
      <c r="DJ5" s="38"/>
      <c r="DK5" s="38"/>
    </row>
    <row r="6" spans="1:116" s="12" customFormat="1" ht="12.75">
      <c r="A6" s="45" t="s">
        <v>10</v>
      </c>
      <c r="C6" s="39"/>
      <c r="D6" s="37"/>
      <c r="E6" s="38"/>
      <c r="F6" s="33"/>
      <c r="G6" s="69">
        <f>L6+Q6+V6+AA6+AF6+AK6+AP6+AU6+AZ6+BE6+BJ6+BO6+BT6+BY6+CD6+CI6+CN6+CS6+CX6+DC6+DH6</f>
        <v>0.0322383</v>
      </c>
      <c r="H6" s="64">
        <f>M6+R6+W6+AB6+AG6+AL6+AQ6+AV6+BA6+BF6+BK6+BP6+BU6+BZ6+CE6+CJ6+CO6+CT6+CY6+DD6+DI6</f>
        <v>0.1013186</v>
      </c>
      <c r="I6" s="74"/>
      <c r="J6" s="40" t="s">
        <v>128</v>
      </c>
      <c r="K6" s="33"/>
      <c r="L6" s="68"/>
      <c r="M6" s="12">
        <v>0.010125</v>
      </c>
      <c r="N6" s="74"/>
      <c r="O6" s="40" t="s">
        <v>128</v>
      </c>
      <c r="P6" s="33"/>
      <c r="Q6" s="68">
        <v>0.0029994</v>
      </c>
      <c r="R6" s="12">
        <v>0.0237644</v>
      </c>
      <c r="S6" s="74"/>
      <c r="T6" s="40" t="s">
        <v>128</v>
      </c>
      <c r="U6" s="33"/>
      <c r="V6" s="68"/>
      <c r="W6" s="12">
        <v>0.0006876</v>
      </c>
      <c r="X6" s="74"/>
      <c r="Y6" s="40" t="s">
        <v>128</v>
      </c>
      <c r="Z6" s="33"/>
      <c r="AA6" s="68">
        <v>0.0003309</v>
      </c>
      <c r="AB6" s="12">
        <v>0.0003375</v>
      </c>
      <c r="AC6" s="74"/>
      <c r="AD6" s="40" t="s">
        <v>128</v>
      </c>
      <c r="AE6" s="33"/>
      <c r="AF6" s="68"/>
      <c r="AG6" s="12">
        <v>0.0027624</v>
      </c>
      <c r="AH6" s="74"/>
      <c r="AI6" s="40" t="s">
        <v>128</v>
      </c>
      <c r="AJ6" s="33"/>
      <c r="AK6" s="68"/>
      <c r="AL6" s="12">
        <v>0.0005016</v>
      </c>
      <c r="AM6" s="74"/>
      <c r="AN6" s="40" t="s">
        <v>128</v>
      </c>
      <c r="AO6" s="33"/>
      <c r="AP6" s="68">
        <v>0.0066446</v>
      </c>
      <c r="AQ6" s="64">
        <v>0.007</v>
      </c>
      <c r="AR6" s="74"/>
      <c r="AS6" s="40" t="s">
        <v>128</v>
      </c>
      <c r="AT6" s="33"/>
      <c r="AU6" s="68">
        <v>0.002919</v>
      </c>
      <c r="AV6" s="64">
        <v>0.0051777</v>
      </c>
      <c r="AW6" s="74"/>
      <c r="AX6" s="40" t="s">
        <v>128</v>
      </c>
      <c r="AY6" s="62"/>
      <c r="AZ6" s="68"/>
      <c r="BA6" s="64">
        <v>0.0027386</v>
      </c>
      <c r="BB6" s="74"/>
      <c r="BC6" s="40" t="s">
        <v>128</v>
      </c>
      <c r="BD6" s="75"/>
      <c r="BE6" s="68">
        <v>0.0039482</v>
      </c>
      <c r="BF6" s="64">
        <v>0.0078084</v>
      </c>
      <c r="BG6" s="74"/>
      <c r="BH6" s="40" t="s">
        <v>128</v>
      </c>
      <c r="BI6" s="41"/>
      <c r="BJ6" s="68">
        <v>0.0010906</v>
      </c>
      <c r="BK6" s="64">
        <v>0.0036689</v>
      </c>
      <c r="BL6" s="74"/>
      <c r="BM6" s="40" t="s">
        <v>128</v>
      </c>
      <c r="BN6" s="33"/>
      <c r="BO6" s="68">
        <v>0.0025758</v>
      </c>
      <c r="BP6" s="64">
        <v>0.0026553</v>
      </c>
      <c r="BQ6" s="74"/>
      <c r="BR6" s="40" t="s">
        <v>128</v>
      </c>
      <c r="BS6" s="33"/>
      <c r="BT6" s="68">
        <v>0.0025875</v>
      </c>
      <c r="BU6" s="12">
        <v>0.0038219</v>
      </c>
      <c r="BV6" s="74"/>
      <c r="BW6" s="40" t="s">
        <v>128</v>
      </c>
      <c r="BX6" s="33"/>
      <c r="BY6" s="68">
        <v>0.0007706</v>
      </c>
      <c r="BZ6" s="12">
        <v>0.0007861</v>
      </c>
      <c r="CA6" s="74"/>
      <c r="CB6" s="40" t="s">
        <v>128</v>
      </c>
      <c r="CC6" s="62"/>
      <c r="CD6" s="54">
        <v>0.0003248</v>
      </c>
      <c r="CE6" s="12">
        <v>0.0029823</v>
      </c>
      <c r="CF6" s="74"/>
      <c r="CG6" s="40" t="s">
        <v>128</v>
      </c>
      <c r="CH6" s="33"/>
      <c r="CI6" s="68">
        <v>0.0005667</v>
      </c>
      <c r="CJ6" s="12">
        <v>0.0007439</v>
      </c>
      <c r="CK6" s="74"/>
      <c r="CL6" s="40" t="s">
        <v>128</v>
      </c>
      <c r="CM6" s="33"/>
      <c r="CN6" s="68">
        <v>0.0004347</v>
      </c>
      <c r="CO6" s="12">
        <v>0.0029891</v>
      </c>
      <c r="CP6" s="74"/>
      <c r="CQ6" s="40" t="s">
        <v>128</v>
      </c>
      <c r="CR6" s="33"/>
      <c r="CS6" s="68">
        <v>0.0032194</v>
      </c>
      <c r="CT6" s="12">
        <v>0.0167293</v>
      </c>
      <c r="CU6" s="74"/>
      <c r="CV6" s="40" t="s">
        <v>128</v>
      </c>
      <c r="CW6" s="33"/>
      <c r="CX6" s="68">
        <v>4.76E-05</v>
      </c>
      <c r="CY6" s="12">
        <v>4.86E-05</v>
      </c>
      <c r="CZ6" s="74"/>
      <c r="DA6" s="40" t="s">
        <v>128</v>
      </c>
      <c r="DB6" s="33"/>
      <c r="DC6" s="68">
        <v>0.0028593</v>
      </c>
      <c r="DD6" s="12">
        <v>0.0031897</v>
      </c>
      <c r="DE6" s="74"/>
      <c r="DF6" s="40" t="s">
        <v>128</v>
      </c>
      <c r="DG6" s="33"/>
      <c r="DH6" s="68">
        <v>0.0009192</v>
      </c>
      <c r="DI6" s="12">
        <v>0.0028003</v>
      </c>
      <c r="DJ6" s="74"/>
      <c r="DK6" s="40" t="s">
        <v>128</v>
      </c>
      <c r="DL6" s="33"/>
    </row>
    <row r="7" spans="1:115" ht="12.75">
      <c r="A7" s="25"/>
      <c r="C7" s="40" t="s">
        <v>11</v>
      </c>
      <c r="D7" s="40" t="s">
        <v>12</v>
      </c>
      <c r="E7" s="40" t="s">
        <v>4</v>
      </c>
      <c r="G7" s="40" t="s">
        <v>11</v>
      </c>
      <c r="H7" s="40" t="s">
        <v>12</v>
      </c>
      <c r="I7" s="40" t="s">
        <v>4</v>
      </c>
      <c r="J7" s="40" t="s">
        <v>129</v>
      </c>
      <c r="L7" s="40" t="s">
        <v>11</v>
      </c>
      <c r="M7" s="40" t="s">
        <v>12</v>
      </c>
      <c r="N7" s="40" t="s">
        <v>4</v>
      </c>
      <c r="O7" s="40" t="s">
        <v>129</v>
      </c>
      <c r="Q7" s="40" t="s">
        <v>11</v>
      </c>
      <c r="R7" s="40" t="s">
        <v>12</v>
      </c>
      <c r="S7" s="40" t="s">
        <v>4</v>
      </c>
      <c r="T7" s="40" t="s">
        <v>129</v>
      </c>
      <c r="V7" s="40" t="s">
        <v>11</v>
      </c>
      <c r="W7" s="40" t="s">
        <v>12</v>
      </c>
      <c r="X7" s="40" t="s">
        <v>4</v>
      </c>
      <c r="Y7" s="40" t="s">
        <v>129</v>
      </c>
      <c r="AA7" s="40" t="s">
        <v>11</v>
      </c>
      <c r="AB7" s="40" t="s">
        <v>12</v>
      </c>
      <c r="AC7" s="40" t="s">
        <v>4</v>
      </c>
      <c r="AD7" s="40" t="s">
        <v>129</v>
      </c>
      <c r="AF7" s="40" t="s">
        <v>11</v>
      </c>
      <c r="AG7" s="40" t="s">
        <v>12</v>
      </c>
      <c r="AH7" s="40" t="s">
        <v>4</v>
      </c>
      <c r="AI7" s="40" t="s">
        <v>129</v>
      </c>
      <c r="AK7" s="40" t="s">
        <v>11</v>
      </c>
      <c r="AL7" s="40" t="s">
        <v>12</v>
      </c>
      <c r="AM7" s="40" t="s">
        <v>4</v>
      </c>
      <c r="AN7" s="40" t="s">
        <v>129</v>
      </c>
      <c r="AP7" s="40" t="s">
        <v>11</v>
      </c>
      <c r="AQ7" s="40" t="s">
        <v>12</v>
      </c>
      <c r="AR7" s="40" t="s">
        <v>4</v>
      </c>
      <c r="AS7" s="40" t="s">
        <v>129</v>
      </c>
      <c r="AU7" s="40" t="s">
        <v>11</v>
      </c>
      <c r="AV7" s="40" t="s">
        <v>12</v>
      </c>
      <c r="AW7" s="40" t="s">
        <v>4</v>
      </c>
      <c r="AX7" s="40" t="s">
        <v>129</v>
      </c>
      <c r="AY7" s="63"/>
      <c r="AZ7" s="40" t="s">
        <v>11</v>
      </c>
      <c r="BA7" s="40" t="s">
        <v>12</v>
      </c>
      <c r="BB7" s="40" t="s">
        <v>4</v>
      </c>
      <c r="BC7" s="40" t="s">
        <v>129</v>
      </c>
      <c r="BD7" s="63"/>
      <c r="BE7" s="40" t="s">
        <v>11</v>
      </c>
      <c r="BF7" s="40" t="s">
        <v>12</v>
      </c>
      <c r="BG7" s="40" t="s">
        <v>4</v>
      </c>
      <c r="BH7" s="40" t="s">
        <v>129</v>
      </c>
      <c r="BI7" s="63"/>
      <c r="BJ7" s="40" t="s">
        <v>11</v>
      </c>
      <c r="BK7" s="40" t="s">
        <v>12</v>
      </c>
      <c r="BL7" s="40" t="s">
        <v>4</v>
      </c>
      <c r="BM7" s="40" t="s">
        <v>129</v>
      </c>
      <c r="BO7" s="40" t="s">
        <v>11</v>
      </c>
      <c r="BP7" s="40" t="s">
        <v>12</v>
      </c>
      <c r="BQ7" s="40" t="s">
        <v>4</v>
      </c>
      <c r="BR7" s="40" t="s">
        <v>129</v>
      </c>
      <c r="BT7" s="40" t="s">
        <v>11</v>
      </c>
      <c r="BU7" s="40" t="s">
        <v>12</v>
      </c>
      <c r="BV7" s="40" t="s">
        <v>4</v>
      </c>
      <c r="BW7" s="40" t="s">
        <v>129</v>
      </c>
      <c r="BY7" s="40" t="s">
        <v>11</v>
      </c>
      <c r="BZ7" s="40" t="s">
        <v>12</v>
      </c>
      <c r="CA7" s="40" t="s">
        <v>4</v>
      </c>
      <c r="CB7" s="40" t="s">
        <v>129</v>
      </c>
      <c r="CC7" s="63"/>
      <c r="CD7" s="40" t="s">
        <v>11</v>
      </c>
      <c r="CE7" s="40" t="s">
        <v>12</v>
      </c>
      <c r="CF7" s="40" t="s">
        <v>4</v>
      </c>
      <c r="CG7" s="40" t="s">
        <v>129</v>
      </c>
      <c r="CI7" s="40" t="s">
        <v>11</v>
      </c>
      <c r="CJ7" s="40" t="s">
        <v>12</v>
      </c>
      <c r="CK7" s="40" t="s">
        <v>4</v>
      </c>
      <c r="CL7" s="40" t="s">
        <v>129</v>
      </c>
      <c r="CN7" s="40" t="s">
        <v>11</v>
      </c>
      <c r="CO7" s="40" t="s">
        <v>12</v>
      </c>
      <c r="CP7" s="40" t="s">
        <v>4</v>
      </c>
      <c r="CQ7" s="40" t="s">
        <v>129</v>
      </c>
      <c r="CS7" s="40" t="s">
        <v>11</v>
      </c>
      <c r="CT7" s="40" t="s">
        <v>12</v>
      </c>
      <c r="CU7" s="40" t="s">
        <v>4</v>
      </c>
      <c r="CV7" s="40" t="s">
        <v>129</v>
      </c>
      <c r="CX7" s="40" t="s">
        <v>11</v>
      </c>
      <c r="CY7" s="40" t="s">
        <v>12</v>
      </c>
      <c r="CZ7" s="40" t="s">
        <v>4</v>
      </c>
      <c r="DA7" s="40" t="s">
        <v>129</v>
      </c>
      <c r="DC7" s="40" t="s">
        <v>11</v>
      </c>
      <c r="DD7" s="40" t="s">
        <v>12</v>
      </c>
      <c r="DE7" s="40" t="s">
        <v>4</v>
      </c>
      <c r="DF7" s="40" t="s">
        <v>129</v>
      </c>
      <c r="DH7" s="40" t="s">
        <v>11</v>
      </c>
      <c r="DI7" s="40" t="s">
        <v>12</v>
      </c>
      <c r="DJ7" s="40" t="s">
        <v>4</v>
      </c>
      <c r="DK7" s="40" t="s">
        <v>129</v>
      </c>
    </row>
    <row r="8" spans="1:115" ht="12.75">
      <c r="A8" s="19">
        <v>40087</v>
      </c>
      <c r="D8" s="35">
        <v>2008918</v>
      </c>
      <c r="E8" s="35">
        <f aca="true" t="shared" si="0" ref="E8:E45">C8+D8</f>
        <v>2008918</v>
      </c>
      <c r="G8" s="71"/>
      <c r="H8" s="51">
        <f aca="true" t="shared" si="1" ref="H8:J45">M8+R8+W8+AB8+AG8+AL8+AQ8+AV8+BA8+BF8+BK8+BP8+BU8+BZ8+CE8+CJ8+CO8+CT8+CY8+DD8+DI8</f>
        <v>203540.75927479996</v>
      </c>
      <c r="I8" s="51">
        <f>G8+H8</f>
        <v>203540.75927479996</v>
      </c>
      <c r="J8" s="51">
        <f t="shared" si="1"/>
        <v>5883.7737392</v>
      </c>
      <c r="M8" s="33">
        <f>D8*1.0125/100</f>
        <v>20340.294749999997</v>
      </c>
      <c r="N8" s="33">
        <f>L8+M8</f>
        <v>20340.294749999997</v>
      </c>
      <c r="O8" s="20">
        <f>M$6*'2008A'!$F8</f>
        <v>587.979</v>
      </c>
      <c r="R8" s="51">
        <f>D8*2.37644/100</f>
        <v>47740.7309192</v>
      </c>
      <c r="S8" s="51">
        <f>Q8+R8</f>
        <v>47740.7309192</v>
      </c>
      <c r="T8" s="20">
        <f>R$6*'2008A'!$F8</f>
        <v>1380.0462368</v>
      </c>
      <c r="W8" s="33">
        <f>D8*0.06876/100</f>
        <v>1381.3320168</v>
      </c>
      <c r="X8" s="33">
        <f aca="true" t="shared" si="2" ref="X8:X45">V8+W8</f>
        <v>1381.3320168</v>
      </c>
      <c r="Y8" s="20">
        <f>W$6*'2008A'!$F8</f>
        <v>39.9303072</v>
      </c>
      <c r="AA8" s="51"/>
      <c r="AB8" s="33">
        <f>D8*0.03375/100</f>
        <v>678.009825</v>
      </c>
      <c r="AC8" s="51">
        <f aca="true" t="shared" si="3" ref="AC8:AC45">AA8+AB8</f>
        <v>678.009825</v>
      </c>
      <c r="AD8" s="20">
        <f>AB$6*'2008A'!$F8</f>
        <v>19.5993</v>
      </c>
      <c r="AG8" s="33">
        <f>D8*0.27624/100</f>
        <v>5549.4350832</v>
      </c>
      <c r="AH8" s="33">
        <f>AF8+AG8</f>
        <v>5549.4350832</v>
      </c>
      <c r="AI8" s="20">
        <f>AG$6*'2008A'!$F8</f>
        <v>160.41809279999998</v>
      </c>
      <c r="AL8" s="33">
        <f>D8*0.05016/100</f>
        <v>1007.6732688000001</v>
      </c>
      <c r="AM8" s="33">
        <f aca="true" t="shared" si="4" ref="AM8:AM45">AK8+AL8</f>
        <v>1007.6732688000001</v>
      </c>
      <c r="AN8" s="20">
        <f>AL$6*'2008A'!$F8</f>
        <v>29.1289152</v>
      </c>
      <c r="AQ8" s="33">
        <f>D8*0.7/100</f>
        <v>14062.426</v>
      </c>
      <c r="AR8" s="51">
        <f>AP8+AQ8</f>
        <v>14062.426</v>
      </c>
      <c r="AS8" s="20">
        <f>AQ$6*'2008A'!$F8</f>
        <v>406.504</v>
      </c>
      <c r="AV8" s="33">
        <f>D8*0.51777/100</f>
        <v>10401.574728599999</v>
      </c>
      <c r="AW8" s="51">
        <f>AU8+AV8</f>
        <v>10401.574728599999</v>
      </c>
      <c r="AX8" s="20">
        <f>AV$6*'2008A'!$F8</f>
        <v>300.67939440000004</v>
      </c>
      <c r="AY8" s="51"/>
      <c r="AZ8" s="51"/>
      <c r="BA8" s="51">
        <f>D8*0.27386/100</f>
        <v>5501.6228347999995</v>
      </c>
      <c r="BB8" s="33">
        <f aca="true" t="shared" si="5" ref="BB8:BB45">AZ8+BA8</f>
        <v>5501.6228347999995</v>
      </c>
      <c r="BC8" s="20">
        <f>BA$6*'2008A'!$F8</f>
        <v>159.03597919999999</v>
      </c>
      <c r="BD8" s="51"/>
      <c r="BE8" s="51"/>
      <c r="BF8" s="51">
        <f>D8*0.78084/100</f>
        <v>15686.435311199999</v>
      </c>
      <c r="BG8" s="33">
        <f>BE8+BF8</f>
        <v>15686.435311199999</v>
      </c>
      <c r="BH8" s="20">
        <f>BF$6*'2008A'!$F8</f>
        <v>453.4494048</v>
      </c>
      <c r="BI8" s="51"/>
      <c r="BK8" s="33">
        <f>D8*0.36689/100</f>
        <v>7370.5192502</v>
      </c>
      <c r="BL8" s="51">
        <f aca="true" t="shared" si="6" ref="BL8:BL45">BJ8+BK8</f>
        <v>7370.5192502</v>
      </c>
      <c r="BM8" s="20">
        <f>BK$6*'2008A'!$F8</f>
        <v>213.0603608</v>
      </c>
      <c r="BP8" s="33">
        <f>D8*0.26553/100</f>
        <v>5334.2799654</v>
      </c>
      <c r="BQ8" s="33">
        <f>BO8+BP8</f>
        <v>5334.2799654</v>
      </c>
      <c r="BR8" s="20">
        <f>BP$6*'2008A'!$F8</f>
        <v>154.1985816</v>
      </c>
      <c r="BU8" s="33">
        <f>D8*0.38219/100</f>
        <v>7677.8837042</v>
      </c>
      <c r="BV8" s="51">
        <f>BT8+BU8</f>
        <v>7677.8837042</v>
      </c>
      <c r="BW8" s="20">
        <f>BU$6*'2008A'!$F8</f>
        <v>221.9453768</v>
      </c>
      <c r="BZ8" s="33">
        <f>D8*0.07861/100</f>
        <v>1579.2104398</v>
      </c>
      <c r="CA8" s="51">
        <f>BY8+BZ8</f>
        <v>1579.2104398</v>
      </c>
      <c r="CB8" s="20">
        <f>BZ$6*'2008A'!$F8</f>
        <v>45.650399199999995</v>
      </c>
      <c r="CE8" s="33">
        <f>D8*0.29823/100</f>
        <v>5991.1961514</v>
      </c>
      <c r="CF8" s="51">
        <f>CD8+CE8</f>
        <v>5991.1961514</v>
      </c>
      <c r="CG8" s="20">
        <f>CE$6*'2008A'!$F8</f>
        <v>173.18812559999998</v>
      </c>
      <c r="CJ8" s="33">
        <f>D8*0.07439/100</f>
        <v>1494.4341001999999</v>
      </c>
      <c r="CK8" s="33">
        <f>CI8+CJ8</f>
        <v>1494.4341001999999</v>
      </c>
      <c r="CL8" s="20">
        <f>CJ$6*'2008A'!$F8</f>
        <v>43.1997608</v>
      </c>
      <c r="CO8" s="33">
        <f>D8*0.29891/100</f>
        <v>6004.8567938</v>
      </c>
      <c r="CP8" s="51">
        <f>CN8+CO8</f>
        <v>6004.8567938</v>
      </c>
      <c r="CQ8" s="20">
        <f>CO$6*'2008A'!$F8</f>
        <v>173.5830152</v>
      </c>
      <c r="CT8" s="33">
        <f>D8*1.67293/100</f>
        <v>33607.7918974</v>
      </c>
      <c r="CU8" s="51">
        <f>CS8+CT8</f>
        <v>33607.7918974</v>
      </c>
      <c r="CV8" s="20">
        <f>CT$6*'2008A'!$F8</f>
        <v>971.5039095999999</v>
      </c>
      <c r="CY8" s="33">
        <f>D8*0.00486/100</f>
        <v>97.6334148</v>
      </c>
      <c r="CZ8" s="51">
        <f>CX8+CY8</f>
        <v>97.6334148</v>
      </c>
      <c r="DA8" s="20">
        <f>CY$6*'2008A'!$F8</f>
        <v>2.8222992000000002</v>
      </c>
      <c r="DD8" s="33">
        <f>D8*0.31897/100</f>
        <v>6407.845744599999</v>
      </c>
      <c r="DE8" s="51">
        <f>DC8+DD8</f>
        <v>6407.845744599999</v>
      </c>
      <c r="DF8" s="20">
        <f>DD$6*'2008A'!$F8</f>
        <v>185.2322584</v>
      </c>
      <c r="DI8" s="33">
        <f>D8*0.28003/100</f>
        <v>5625.5730754</v>
      </c>
      <c r="DJ8" s="51">
        <f>DH8+DI8</f>
        <v>5625.5730754</v>
      </c>
      <c r="DK8" s="20">
        <f>DI$6*'2008A'!$F8</f>
        <v>162.6190216</v>
      </c>
    </row>
    <row r="9" spans="1:115" ht="12.75">
      <c r="A9" s="19">
        <v>40269</v>
      </c>
      <c r="C9" s="35">
        <v>3000000</v>
      </c>
      <c r="D9" s="35">
        <v>2008918</v>
      </c>
      <c r="E9" s="35">
        <f t="shared" si="0"/>
        <v>5008918</v>
      </c>
      <c r="G9" s="71">
        <f aca="true" t="shared" si="7" ref="G9:G45">L9+Q9+V9+AA9+AF9+AK9+AP9+AU9+AZ9+BE9+BJ9+BO9+BT9+BY9+CD9+CI9+CN9+CS9+CX9+DC9+DH9</f>
        <v>303955.8</v>
      </c>
      <c r="H9" s="51">
        <f t="shared" si="1"/>
        <v>203540.75927479996</v>
      </c>
      <c r="I9" s="51">
        <f>G9+H9</f>
        <v>507496.55927479995</v>
      </c>
      <c r="J9" s="51">
        <f t="shared" si="1"/>
        <v>5883.7737392</v>
      </c>
      <c r="L9" s="33">
        <f>C9*1.0125/100</f>
        <v>30375</v>
      </c>
      <c r="M9" s="33">
        <f>D9*1.0125/100</f>
        <v>20340.294749999997</v>
      </c>
      <c r="N9" s="33">
        <f aca="true" t="shared" si="8" ref="N9:N45">L9+M9</f>
        <v>50715.29475</v>
      </c>
      <c r="O9" s="20">
        <f>M$6*'2008A'!$F9</f>
        <v>587.979</v>
      </c>
      <c r="Q9" s="33">
        <f>C9*2.37644/100</f>
        <v>71293.2</v>
      </c>
      <c r="R9" s="51">
        <f>D9*2.37644/100</f>
        <v>47740.7309192</v>
      </c>
      <c r="S9" s="51">
        <f aca="true" t="shared" si="9" ref="S9:S45">Q9+R9</f>
        <v>119033.93091920001</v>
      </c>
      <c r="T9" s="20">
        <f>R$6*'2008A'!$F9</f>
        <v>1380.0462368</v>
      </c>
      <c r="V9" s="33">
        <f>C9*0.06876/100</f>
        <v>2062.8</v>
      </c>
      <c r="W9" s="33">
        <f>D9*0.06876/100</f>
        <v>1381.3320168</v>
      </c>
      <c r="X9" s="33">
        <f t="shared" si="2"/>
        <v>3444.1320168</v>
      </c>
      <c r="Y9" s="20">
        <f>W$6*'2008A'!$F9</f>
        <v>39.9303072</v>
      </c>
      <c r="AA9" s="51">
        <f>C9*0.03375/100</f>
        <v>1012.5</v>
      </c>
      <c r="AB9" s="33">
        <f>D9*0.03375/100</f>
        <v>678.009825</v>
      </c>
      <c r="AC9" s="51">
        <f t="shared" si="3"/>
        <v>1690.509825</v>
      </c>
      <c r="AD9" s="20">
        <f>AB$6*'2008A'!$F9</f>
        <v>19.5993</v>
      </c>
      <c r="AF9" s="33">
        <f>C9*0.27624/100</f>
        <v>8287.2</v>
      </c>
      <c r="AG9" s="33">
        <f>D9*0.27624/100</f>
        <v>5549.4350832</v>
      </c>
      <c r="AH9" s="33">
        <f>AF9+AG9</f>
        <v>13836.6350832</v>
      </c>
      <c r="AI9" s="20">
        <f>AG$6*'2008A'!$F9</f>
        <v>160.41809279999998</v>
      </c>
      <c r="AK9" s="33">
        <f aca="true" t="shared" si="10" ref="AK9:AK45">C9*0.05016/100</f>
        <v>1504.8</v>
      </c>
      <c r="AL9" s="33">
        <f aca="true" t="shared" si="11" ref="AL9:AL45">D9*0.05016/100</f>
        <v>1007.6732688000001</v>
      </c>
      <c r="AM9" s="33">
        <f t="shared" si="4"/>
        <v>2512.4732688</v>
      </c>
      <c r="AN9" s="20">
        <f>AL$6*'2008A'!$F9</f>
        <v>29.1289152</v>
      </c>
      <c r="AP9" s="33">
        <f>C9*0.7/100</f>
        <v>21000</v>
      </c>
      <c r="AQ9" s="33">
        <f>D9*0.7/100</f>
        <v>14062.426</v>
      </c>
      <c r="AR9" s="51">
        <f aca="true" t="shared" si="12" ref="AR9:AR45">AP9+AQ9</f>
        <v>35062.426</v>
      </c>
      <c r="AS9" s="20">
        <f>AQ$6*'2008A'!$F9</f>
        <v>406.504</v>
      </c>
      <c r="AU9" s="33">
        <f>C9*0.51777/100</f>
        <v>15533.099999999999</v>
      </c>
      <c r="AV9" s="33">
        <f>D9*0.51777/100</f>
        <v>10401.574728599999</v>
      </c>
      <c r="AW9" s="51">
        <f>AU9+AV9</f>
        <v>25934.674728599995</v>
      </c>
      <c r="AX9" s="20">
        <f>AV$6*'2008A'!$F9</f>
        <v>300.67939440000004</v>
      </c>
      <c r="AZ9" s="51">
        <f aca="true" t="shared" si="13" ref="AZ9:AZ45">C9*0.27386/100</f>
        <v>8215.8</v>
      </c>
      <c r="BA9" s="51">
        <f aca="true" t="shared" si="14" ref="BA9:BA45">D9*0.27386/100</f>
        <v>5501.6228347999995</v>
      </c>
      <c r="BB9" s="33">
        <f t="shared" si="5"/>
        <v>13717.4228348</v>
      </c>
      <c r="BC9" s="20">
        <f>BA$6*'2008A'!$F9</f>
        <v>159.03597919999999</v>
      </c>
      <c r="BE9" s="51">
        <f>C9*0.78084/100</f>
        <v>23425.2</v>
      </c>
      <c r="BF9" s="51">
        <f>D9*0.78084/100</f>
        <v>15686.435311199999</v>
      </c>
      <c r="BG9" s="33">
        <f>BE9+BF9</f>
        <v>39111.6353112</v>
      </c>
      <c r="BH9" s="20">
        <f>BF$6*'2008A'!$F9</f>
        <v>453.4494048</v>
      </c>
      <c r="BJ9" s="33">
        <f>C9*0.36689/100</f>
        <v>11006.7</v>
      </c>
      <c r="BK9" s="33">
        <f>D9*0.36689/100</f>
        <v>7370.5192502</v>
      </c>
      <c r="BL9" s="51">
        <f t="shared" si="6"/>
        <v>18377.2192502</v>
      </c>
      <c r="BM9" s="20">
        <f>BK$6*'2008A'!$F9</f>
        <v>213.0603608</v>
      </c>
      <c r="BO9" s="33">
        <f>C9*0.26553/100</f>
        <v>7965.9</v>
      </c>
      <c r="BP9" s="33">
        <f>D9*0.26553/100</f>
        <v>5334.2799654</v>
      </c>
      <c r="BQ9" s="33">
        <f>BO9+BP9</f>
        <v>13300.179965399999</v>
      </c>
      <c r="BR9" s="20">
        <f>BP$6*'2008A'!$F9</f>
        <v>154.1985816</v>
      </c>
      <c r="BT9" s="33">
        <f>C9*0.38219/100</f>
        <v>11465.7</v>
      </c>
      <c r="BU9" s="33">
        <f>D9*0.38219/100</f>
        <v>7677.8837042</v>
      </c>
      <c r="BV9" s="51">
        <f>BT9+BU9</f>
        <v>19143.5837042</v>
      </c>
      <c r="BW9" s="20">
        <f>BU$6*'2008A'!$F9</f>
        <v>221.9453768</v>
      </c>
      <c r="BY9" s="33">
        <f>C9*0.07861/100</f>
        <v>2358.3</v>
      </c>
      <c r="BZ9" s="33">
        <f>D9*0.07861/100</f>
        <v>1579.2104398</v>
      </c>
      <c r="CA9" s="51">
        <f aca="true" t="shared" si="15" ref="CA9:CA45">BY9+BZ9</f>
        <v>3937.5104398000003</v>
      </c>
      <c r="CB9" s="20">
        <f>BZ$6*'2008A'!$F9</f>
        <v>45.650399199999995</v>
      </c>
      <c r="CD9" s="33">
        <f>C9*0.29823/100</f>
        <v>8946.9</v>
      </c>
      <c r="CE9" s="33">
        <f>D9*0.29823/100</f>
        <v>5991.1961514</v>
      </c>
      <c r="CF9" s="51">
        <f>CD9+CE9</f>
        <v>14938.096151400001</v>
      </c>
      <c r="CG9" s="20">
        <f>CE$6*'2008A'!$F9</f>
        <v>173.18812559999998</v>
      </c>
      <c r="CI9" s="33">
        <f>C9*0.07439/100</f>
        <v>2231.7</v>
      </c>
      <c r="CJ9" s="33">
        <f>D9*0.07439/100</f>
        <v>1494.4341001999999</v>
      </c>
      <c r="CK9" s="33">
        <f>CI9+CJ9</f>
        <v>3726.1341002</v>
      </c>
      <c r="CL9" s="20">
        <f>CJ$6*'2008A'!$F9</f>
        <v>43.1997608</v>
      </c>
      <c r="CN9" s="33">
        <f>C9*0.29891/100</f>
        <v>8967.3</v>
      </c>
      <c r="CO9" s="33">
        <f>D9*0.29891/100</f>
        <v>6004.8567938</v>
      </c>
      <c r="CP9" s="51">
        <f aca="true" t="shared" si="16" ref="CP9:CP45">CN9+CO9</f>
        <v>14972.156793799999</v>
      </c>
      <c r="CQ9" s="20">
        <f>CO$6*'2008A'!$F9</f>
        <v>173.5830152</v>
      </c>
      <c r="CS9" s="33">
        <f>C9*1.67293/100</f>
        <v>50187.9</v>
      </c>
      <c r="CT9" s="33">
        <f>D9*1.67293/100</f>
        <v>33607.7918974</v>
      </c>
      <c r="CU9" s="51">
        <f aca="true" t="shared" si="17" ref="CU9:CU45">CS9+CT9</f>
        <v>83795.6918974</v>
      </c>
      <c r="CV9" s="20">
        <f>CT$6*'2008A'!$F9</f>
        <v>971.5039095999999</v>
      </c>
      <c r="CX9" s="33">
        <f>C9*0.00486/100</f>
        <v>145.8</v>
      </c>
      <c r="CY9" s="33">
        <f>D9*0.00486/100</f>
        <v>97.6334148</v>
      </c>
      <c r="CZ9" s="51">
        <f aca="true" t="shared" si="18" ref="CZ9:CZ45">CX9+CY9</f>
        <v>243.4334148</v>
      </c>
      <c r="DA9" s="20">
        <f>CY$6*'2008A'!$F9</f>
        <v>2.8222992000000002</v>
      </c>
      <c r="DC9" s="33">
        <f>C9*0.31897/100</f>
        <v>9569.099999999999</v>
      </c>
      <c r="DD9" s="33">
        <f>D9*0.31897/100</f>
        <v>6407.845744599999</v>
      </c>
      <c r="DE9" s="51">
        <f aca="true" t="shared" si="19" ref="DE9:DE45">DC9+DD9</f>
        <v>15976.945744599998</v>
      </c>
      <c r="DF9" s="20">
        <f>DD$6*'2008A'!$F9</f>
        <v>185.2322584</v>
      </c>
      <c r="DH9" s="33">
        <f>C9*0.28003/100</f>
        <v>8400.9</v>
      </c>
      <c r="DI9" s="33">
        <f>D9*0.28003/100</f>
        <v>5625.5730754</v>
      </c>
      <c r="DJ9" s="51">
        <f aca="true" t="shared" si="20" ref="DJ9:DJ45">DH9+DI9</f>
        <v>14026.4730754</v>
      </c>
      <c r="DK9" s="20">
        <f>DI$6*'2008A'!$F9</f>
        <v>162.6190216</v>
      </c>
    </row>
    <row r="10" spans="1:116" s="53" customFormat="1" ht="12.75">
      <c r="A10" s="52">
        <v>40452</v>
      </c>
      <c r="C10" s="41"/>
      <c r="D10" s="41">
        <v>1941418</v>
      </c>
      <c r="E10" s="41">
        <f t="shared" si="0"/>
        <v>1941418</v>
      </c>
      <c r="F10" s="51"/>
      <c r="G10" s="71"/>
      <c r="H10" s="51">
        <f t="shared" si="1"/>
        <v>196701.75377480002</v>
      </c>
      <c r="I10" s="51">
        <f aca="true" t="shared" si="21" ref="I10:I45">G10+H10</f>
        <v>196701.75377480002</v>
      </c>
      <c r="J10" s="51">
        <f t="shared" si="1"/>
        <v>5883.7737392</v>
      </c>
      <c r="K10" s="51"/>
      <c r="L10" s="33"/>
      <c r="M10" s="33">
        <f aca="true" t="shared" si="22" ref="M10:M45">D10*1.0125/100</f>
        <v>19656.857249999997</v>
      </c>
      <c r="N10" s="33">
        <f t="shared" si="8"/>
        <v>19656.857249999997</v>
      </c>
      <c r="O10" s="20">
        <f>M$6*'2008A'!$F10</f>
        <v>587.979</v>
      </c>
      <c r="P10" s="51"/>
      <c r="Q10" s="33"/>
      <c r="R10" s="51">
        <f aca="true" t="shared" si="23" ref="R10:R45">D10*2.37644/100</f>
        <v>46136.6339192</v>
      </c>
      <c r="S10" s="51">
        <f t="shared" si="9"/>
        <v>46136.6339192</v>
      </c>
      <c r="T10" s="20">
        <f>R$6*'2008A'!$F10</f>
        <v>1380.0462368</v>
      </c>
      <c r="U10" s="51"/>
      <c r="V10" s="33"/>
      <c r="W10" s="33">
        <f aca="true" t="shared" si="24" ref="W10:W45">D10*0.06876/100</f>
        <v>1334.9190168</v>
      </c>
      <c r="X10" s="33">
        <f t="shared" si="2"/>
        <v>1334.9190168</v>
      </c>
      <c r="Y10" s="20">
        <f>W$6*'2008A'!$F10</f>
        <v>39.9303072</v>
      </c>
      <c r="Z10" s="51"/>
      <c r="AA10" s="51"/>
      <c r="AB10" s="33">
        <f aca="true" t="shared" si="25" ref="AB10:AB45">D10*0.03375/100</f>
        <v>655.2285750000001</v>
      </c>
      <c r="AC10" s="51">
        <f t="shared" si="3"/>
        <v>655.2285750000001</v>
      </c>
      <c r="AD10" s="20">
        <f>AB$6*'2008A'!$F10</f>
        <v>19.5993</v>
      </c>
      <c r="AE10" s="51"/>
      <c r="AF10" s="33"/>
      <c r="AG10" s="33">
        <f aca="true" t="shared" si="26" ref="AG10:AG45">D10*0.27624/100</f>
        <v>5362.9730832</v>
      </c>
      <c r="AH10" s="33">
        <f aca="true" t="shared" si="27" ref="AH10:AH45">AF10+AG10</f>
        <v>5362.9730832</v>
      </c>
      <c r="AI10" s="20">
        <f>AG$6*'2008A'!$F10</f>
        <v>160.41809279999998</v>
      </c>
      <c r="AJ10" s="51"/>
      <c r="AK10" s="33"/>
      <c r="AL10" s="33">
        <f t="shared" si="11"/>
        <v>973.8152688</v>
      </c>
      <c r="AM10" s="33">
        <f t="shared" si="4"/>
        <v>973.8152688</v>
      </c>
      <c r="AN10" s="20">
        <f>AL$6*'2008A'!$F10</f>
        <v>29.1289152</v>
      </c>
      <c r="AO10" s="51"/>
      <c r="AP10" s="33"/>
      <c r="AQ10" s="33">
        <f aca="true" t="shared" si="28" ref="AQ10:AQ45">D10*0.7/100</f>
        <v>13589.926</v>
      </c>
      <c r="AR10" s="51">
        <f t="shared" si="12"/>
        <v>13589.926</v>
      </c>
      <c r="AS10" s="20">
        <f>AQ$6*'2008A'!$F10</f>
        <v>406.504</v>
      </c>
      <c r="AT10" s="51"/>
      <c r="AU10" s="33"/>
      <c r="AV10" s="33">
        <f aca="true" t="shared" si="29" ref="AV10:AV45">D10*0.51777/100</f>
        <v>10052.079978599999</v>
      </c>
      <c r="AW10" s="51">
        <f aca="true" t="shared" si="30" ref="AW10:AW45">AU10+AV10</f>
        <v>10052.079978599999</v>
      </c>
      <c r="AX10" s="20">
        <f>AV$6*'2008A'!$F10</f>
        <v>300.67939440000004</v>
      </c>
      <c r="AY10" s="51"/>
      <c r="AZ10" s="51"/>
      <c r="BA10" s="51">
        <f t="shared" si="14"/>
        <v>5316.767334799999</v>
      </c>
      <c r="BB10" s="33">
        <f t="shared" si="5"/>
        <v>5316.767334799999</v>
      </c>
      <c r="BC10" s="20">
        <f>BA$6*'2008A'!$F10</f>
        <v>159.03597919999999</v>
      </c>
      <c r="BD10" s="51"/>
      <c r="BE10" s="51"/>
      <c r="BF10" s="51">
        <f aca="true" t="shared" si="31" ref="BF10:BF45">D10*0.78084/100</f>
        <v>15159.3683112</v>
      </c>
      <c r="BG10" s="51">
        <f>BE10+BF10</f>
        <v>15159.3683112</v>
      </c>
      <c r="BH10" s="20">
        <f>BF$6*'2008A'!$F10</f>
        <v>453.4494048</v>
      </c>
      <c r="BI10" s="51"/>
      <c r="BJ10" s="33"/>
      <c r="BK10" s="33">
        <f aca="true" t="shared" si="32" ref="BK10:BK45">D10*0.36689/100</f>
        <v>7122.8685002</v>
      </c>
      <c r="BL10" s="51">
        <f t="shared" si="6"/>
        <v>7122.8685002</v>
      </c>
      <c r="BM10" s="20">
        <f>BK$6*'2008A'!$F10</f>
        <v>213.0603608</v>
      </c>
      <c r="BN10" s="51"/>
      <c r="BO10" s="33"/>
      <c r="BP10" s="33">
        <f aca="true" t="shared" si="33" ref="BP10:BP45">D10*0.26553/100</f>
        <v>5155.0472154</v>
      </c>
      <c r="BQ10" s="51">
        <f>BO10+BP10</f>
        <v>5155.0472154</v>
      </c>
      <c r="BR10" s="20">
        <f>BP$6*'2008A'!$F10</f>
        <v>154.1985816</v>
      </c>
      <c r="BS10" s="51"/>
      <c r="BT10" s="33"/>
      <c r="BU10" s="33">
        <f aca="true" t="shared" si="34" ref="BU10:BU45">D10*0.38219/100</f>
        <v>7419.905454199999</v>
      </c>
      <c r="BV10" s="51">
        <f aca="true" t="shared" si="35" ref="BV10:BV45">BT10+BU10</f>
        <v>7419.905454199999</v>
      </c>
      <c r="BW10" s="20">
        <f>BU$6*'2008A'!$F10</f>
        <v>221.9453768</v>
      </c>
      <c r="BX10" s="51"/>
      <c r="BY10" s="33"/>
      <c r="BZ10" s="33">
        <f aca="true" t="shared" si="36" ref="BZ10:BZ45">D10*0.07861/100</f>
        <v>1526.1486898</v>
      </c>
      <c r="CA10" s="51">
        <f t="shared" si="15"/>
        <v>1526.1486898</v>
      </c>
      <c r="CB10" s="20">
        <f>BZ$6*'2008A'!$F10</f>
        <v>45.650399199999995</v>
      </c>
      <c r="CC10" s="51"/>
      <c r="CD10" s="33"/>
      <c r="CE10" s="33">
        <f aca="true" t="shared" si="37" ref="CE10:CE45">D10*0.29823/100</f>
        <v>5789.8909014</v>
      </c>
      <c r="CF10" s="51">
        <f aca="true" t="shared" si="38" ref="CF10:CF45">CD10+CE10</f>
        <v>5789.8909014</v>
      </c>
      <c r="CG10" s="20">
        <f>CE$6*'2008A'!$F10</f>
        <v>173.18812559999998</v>
      </c>
      <c r="CH10" s="51"/>
      <c r="CI10" s="33"/>
      <c r="CJ10" s="33">
        <f aca="true" t="shared" si="39" ref="CJ10:CJ45">D10*0.07439/100</f>
        <v>1444.2208502</v>
      </c>
      <c r="CK10" s="51">
        <f>CI10+CJ10</f>
        <v>1444.2208502</v>
      </c>
      <c r="CL10" s="20">
        <f>CJ$6*'2008A'!$F10</f>
        <v>43.1997608</v>
      </c>
      <c r="CM10" s="51"/>
      <c r="CN10" s="33"/>
      <c r="CO10" s="33">
        <f aca="true" t="shared" si="40" ref="CO10:CO45">D10*0.29891/100</f>
        <v>5803.0925438</v>
      </c>
      <c r="CP10" s="51">
        <f t="shared" si="16"/>
        <v>5803.0925438</v>
      </c>
      <c r="CQ10" s="20">
        <f>CO$6*'2008A'!$F10</f>
        <v>173.5830152</v>
      </c>
      <c r="CR10" s="51"/>
      <c r="CS10" s="33"/>
      <c r="CT10" s="33">
        <f aca="true" t="shared" si="41" ref="CT10:CT45">D10*1.67293/100</f>
        <v>32478.5641474</v>
      </c>
      <c r="CU10" s="51">
        <f t="shared" si="17"/>
        <v>32478.5641474</v>
      </c>
      <c r="CV10" s="20">
        <f>CT$6*'2008A'!$F10</f>
        <v>971.5039095999999</v>
      </c>
      <c r="CW10" s="51"/>
      <c r="CX10" s="33"/>
      <c r="CY10" s="33">
        <f aca="true" t="shared" si="42" ref="CY10:CY45">D10*0.00486/100</f>
        <v>94.3529148</v>
      </c>
      <c r="CZ10" s="51">
        <f t="shared" si="18"/>
        <v>94.3529148</v>
      </c>
      <c r="DA10" s="20">
        <f>CY$6*'2008A'!$F10</f>
        <v>2.8222992000000002</v>
      </c>
      <c r="DB10" s="51"/>
      <c r="DC10" s="33"/>
      <c r="DD10" s="33">
        <f aca="true" t="shared" si="43" ref="DD10:DD45">D10*0.31897/100</f>
        <v>6192.540994599999</v>
      </c>
      <c r="DE10" s="51">
        <f t="shared" si="19"/>
        <v>6192.540994599999</v>
      </c>
      <c r="DF10" s="20">
        <f>DD$6*'2008A'!$F10</f>
        <v>185.2322584</v>
      </c>
      <c r="DG10" s="51"/>
      <c r="DH10" s="33"/>
      <c r="DI10" s="33">
        <f aca="true" t="shared" si="44" ref="DI10:DI45">D10*0.28003/100</f>
        <v>5436.5528254</v>
      </c>
      <c r="DJ10" s="51">
        <f t="shared" si="20"/>
        <v>5436.5528254</v>
      </c>
      <c r="DK10" s="20">
        <f>DI$6*'2008A'!$F10</f>
        <v>162.6190216</v>
      </c>
      <c r="DL10" s="51"/>
    </row>
    <row r="11" spans="1:115" ht="12.75">
      <c r="A11" s="19">
        <v>40634</v>
      </c>
      <c r="C11" s="35">
        <v>3135000</v>
      </c>
      <c r="D11" s="35">
        <v>1941418</v>
      </c>
      <c r="E11" s="35">
        <f t="shared" si="0"/>
        <v>5076418</v>
      </c>
      <c r="G11" s="71">
        <f t="shared" si="7"/>
        <v>317633.81100000005</v>
      </c>
      <c r="H11" s="51">
        <f t="shared" si="1"/>
        <v>196701.75377480002</v>
      </c>
      <c r="I11" s="51">
        <f t="shared" si="21"/>
        <v>514335.5647748001</v>
      </c>
      <c r="J11" s="51">
        <f t="shared" si="1"/>
        <v>5883.7737392</v>
      </c>
      <c r="L11" s="33">
        <f aca="true" t="shared" si="45" ref="L11:L45">C11*1.0125/100</f>
        <v>31741.875</v>
      </c>
      <c r="M11" s="33">
        <f t="shared" si="22"/>
        <v>19656.857249999997</v>
      </c>
      <c r="N11" s="33">
        <f t="shared" si="8"/>
        <v>51398.73225</v>
      </c>
      <c r="O11" s="20">
        <f>M$6*'2008A'!$F11</f>
        <v>587.979</v>
      </c>
      <c r="Q11" s="33">
        <f aca="true" t="shared" si="46" ref="Q11:Q45">C11*2.37644/100</f>
        <v>74501.394</v>
      </c>
      <c r="R11" s="51">
        <f t="shared" si="23"/>
        <v>46136.6339192</v>
      </c>
      <c r="S11" s="51">
        <f t="shared" si="9"/>
        <v>120638.0279192</v>
      </c>
      <c r="T11" s="20">
        <f>R$6*'2008A'!$F11</f>
        <v>1380.0462368</v>
      </c>
      <c r="V11" s="33">
        <f aca="true" t="shared" si="47" ref="V11:V45">C11*0.06876/100</f>
        <v>2155.626</v>
      </c>
      <c r="W11" s="33">
        <f t="shared" si="24"/>
        <v>1334.9190168</v>
      </c>
      <c r="X11" s="33">
        <f t="shared" si="2"/>
        <v>3490.5450168</v>
      </c>
      <c r="Y11" s="20">
        <f>W$6*'2008A'!$F11</f>
        <v>39.9303072</v>
      </c>
      <c r="AA11" s="51">
        <f aca="true" t="shared" si="48" ref="AA11:AA45">C11*0.03375/100</f>
        <v>1058.0625</v>
      </c>
      <c r="AB11" s="33">
        <f t="shared" si="25"/>
        <v>655.2285750000001</v>
      </c>
      <c r="AC11" s="33">
        <f t="shared" si="3"/>
        <v>1713.291075</v>
      </c>
      <c r="AD11" s="20">
        <f>AB$6*'2008A'!$F11</f>
        <v>19.5993</v>
      </c>
      <c r="AF11" s="33">
        <f aca="true" t="shared" si="49" ref="AF11:AF45">C11*0.27624/100</f>
        <v>8660.124</v>
      </c>
      <c r="AG11" s="33">
        <f t="shared" si="26"/>
        <v>5362.9730832</v>
      </c>
      <c r="AH11" s="33">
        <f t="shared" si="27"/>
        <v>14023.097083199998</v>
      </c>
      <c r="AI11" s="20">
        <f>AG$6*'2008A'!$F11</f>
        <v>160.41809279999998</v>
      </c>
      <c r="AK11" s="33">
        <f t="shared" si="10"/>
        <v>1572.516</v>
      </c>
      <c r="AL11" s="33">
        <f t="shared" si="11"/>
        <v>973.8152688</v>
      </c>
      <c r="AM11" s="33">
        <f t="shared" si="4"/>
        <v>2546.3312688</v>
      </c>
      <c r="AN11" s="20">
        <f>AL$6*'2008A'!$F11</f>
        <v>29.1289152</v>
      </c>
      <c r="AP11" s="33">
        <f aca="true" t="shared" si="50" ref="AP11:AP45">C11*0.7/100</f>
        <v>21945</v>
      </c>
      <c r="AQ11" s="33">
        <f t="shared" si="28"/>
        <v>13589.926</v>
      </c>
      <c r="AR11" s="33">
        <f t="shared" si="12"/>
        <v>35534.926</v>
      </c>
      <c r="AS11" s="20">
        <f>AQ$6*'2008A'!$F11</f>
        <v>406.504</v>
      </c>
      <c r="AU11" s="33">
        <f aca="true" t="shared" si="51" ref="AU11:AU45">C11*0.51777/100</f>
        <v>16232.0895</v>
      </c>
      <c r="AV11" s="33">
        <f t="shared" si="29"/>
        <v>10052.079978599999</v>
      </c>
      <c r="AW11" s="33">
        <f t="shared" si="30"/>
        <v>26284.1694786</v>
      </c>
      <c r="AX11" s="20">
        <f>AV$6*'2008A'!$F11</f>
        <v>300.67939440000004</v>
      </c>
      <c r="AZ11" s="51">
        <f t="shared" si="13"/>
        <v>8585.511</v>
      </c>
      <c r="BA11" s="51">
        <f t="shared" si="14"/>
        <v>5316.767334799999</v>
      </c>
      <c r="BB11" s="33">
        <f t="shared" si="5"/>
        <v>13902.2783348</v>
      </c>
      <c r="BC11" s="20">
        <f>BA$6*'2008A'!$F11</f>
        <v>159.03597919999999</v>
      </c>
      <c r="BE11" s="51">
        <f aca="true" t="shared" si="52" ref="BE11:BE45">C11*0.78084/100</f>
        <v>24479.334</v>
      </c>
      <c r="BF11" s="51">
        <f t="shared" si="31"/>
        <v>15159.3683112</v>
      </c>
      <c r="BG11" s="33">
        <f>BE11+BF11</f>
        <v>39638.7023112</v>
      </c>
      <c r="BH11" s="20">
        <f>BF$6*'2008A'!$F11</f>
        <v>453.4494048</v>
      </c>
      <c r="BJ11" s="33">
        <f aca="true" t="shared" si="53" ref="BJ11:BJ45">C11*0.36689/100</f>
        <v>11502.001499999998</v>
      </c>
      <c r="BK11" s="33">
        <f t="shared" si="32"/>
        <v>7122.8685002</v>
      </c>
      <c r="BL11" s="33">
        <f t="shared" si="6"/>
        <v>18624.870000199997</v>
      </c>
      <c r="BM11" s="20">
        <f>BK$6*'2008A'!$F11</f>
        <v>213.0603608</v>
      </c>
      <c r="BO11" s="33">
        <f aca="true" t="shared" si="54" ref="BO11:BO45">C11*0.26553/100</f>
        <v>8324.3655</v>
      </c>
      <c r="BP11" s="33">
        <f t="shared" si="33"/>
        <v>5155.0472154</v>
      </c>
      <c r="BQ11" s="33">
        <f>BO11+BP11</f>
        <v>13479.4127154</v>
      </c>
      <c r="BR11" s="20">
        <f>BP$6*'2008A'!$F11</f>
        <v>154.1985816</v>
      </c>
      <c r="BT11" s="33">
        <f aca="true" t="shared" si="55" ref="BT11:BT45">C11*0.38219/100</f>
        <v>11981.6565</v>
      </c>
      <c r="BU11" s="33">
        <f t="shared" si="34"/>
        <v>7419.905454199999</v>
      </c>
      <c r="BV11" s="33">
        <f t="shared" si="35"/>
        <v>19401.5619542</v>
      </c>
      <c r="BW11" s="20">
        <f>BU$6*'2008A'!$F11</f>
        <v>221.9453768</v>
      </c>
      <c r="BY11" s="33">
        <f aca="true" t="shared" si="56" ref="BY11:BY45">C11*0.07861/100</f>
        <v>2464.4235</v>
      </c>
      <c r="BZ11" s="33">
        <f t="shared" si="36"/>
        <v>1526.1486898</v>
      </c>
      <c r="CA11" s="33">
        <f t="shared" si="15"/>
        <v>3990.5721898</v>
      </c>
      <c r="CB11" s="20">
        <f>BZ$6*'2008A'!$F11</f>
        <v>45.650399199999995</v>
      </c>
      <c r="CD11" s="33">
        <f aca="true" t="shared" si="57" ref="CD11:CD45">C11*0.29823/100</f>
        <v>9349.510499999999</v>
      </c>
      <c r="CE11" s="33">
        <f t="shared" si="37"/>
        <v>5789.8909014</v>
      </c>
      <c r="CF11" s="33">
        <f t="shared" si="38"/>
        <v>15139.401401399999</v>
      </c>
      <c r="CG11" s="20">
        <f>CE$6*'2008A'!$F11</f>
        <v>173.18812559999998</v>
      </c>
      <c r="CI11" s="33">
        <f aca="true" t="shared" si="58" ref="CI11:CI45">C11*0.07439/100</f>
        <v>2332.1265</v>
      </c>
      <c r="CJ11" s="33">
        <f t="shared" si="39"/>
        <v>1444.2208502</v>
      </c>
      <c r="CK11" s="33">
        <f>CI11+CJ11</f>
        <v>3776.3473501999997</v>
      </c>
      <c r="CL11" s="20">
        <f>CJ$6*'2008A'!$F11</f>
        <v>43.1997608</v>
      </c>
      <c r="CN11" s="33">
        <f aca="true" t="shared" si="59" ref="CN11:CN45">C11*0.29891/100</f>
        <v>9370.8285</v>
      </c>
      <c r="CO11" s="33">
        <f t="shared" si="40"/>
        <v>5803.0925438</v>
      </c>
      <c r="CP11" s="33">
        <f t="shared" si="16"/>
        <v>15173.921043800001</v>
      </c>
      <c r="CQ11" s="20">
        <f>CO$6*'2008A'!$F11</f>
        <v>173.5830152</v>
      </c>
      <c r="CS11" s="33">
        <f aca="true" t="shared" si="60" ref="CS11:CS45">C11*1.67293/100</f>
        <v>52446.3555</v>
      </c>
      <c r="CT11" s="33">
        <f t="shared" si="41"/>
        <v>32478.5641474</v>
      </c>
      <c r="CU11" s="33">
        <f t="shared" si="17"/>
        <v>84924.9196474</v>
      </c>
      <c r="CV11" s="20">
        <f>CT$6*'2008A'!$F11</f>
        <v>971.5039095999999</v>
      </c>
      <c r="CX11" s="33">
        <f aca="true" t="shared" si="61" ref="CX11:CX45">C11*0.00486/100</f>
        <v>152.361</v>
      </c>
      <c r="CY11" s="33">
        <f t="shared" si="42"/>
        <v>94.3529148</v>
      </c>
      <c r="CZ11" s="33">
        <f t="shared" si="18"/>
        <v>246.7139148</v>
      </c>
      <c r="DA11" s="20">
        <f>CY$6*'2008A'!$F11</f>
        <v>2.8222992000000002</v>
      </c>
      <c r="DC11" s="33">
        <f aca="true" t="shared" si="62" ref="DC11:DC45">C11*0.31897/100</f>
        <v>9999.709499999999</v>
      </c>
      <c r="DD11" s="33">
        <f t="shared" si="43"/>
        <v>6192.540994599999</v>
      </c>
      <c r="DE11" s="33">
        <f t="shared" si="19"/>
        <v>16192.250494599997</v>
      </c>
      <c r="DF11" s="20">
        <f>DD$6*'2008A'!$F11</f>
        <v>185.2322584</v>
      </c>
      <c r="DH11" s="33">
        <f aca="true" t="shared" si="63" ref="DH11:DH45">C11*0.28003/100</f>
        <v>8778.9405</v>
      </c>
      <c r="DI11" s="33">
        <f t="shared" si="44"/>
        <v>5436.5528254</v>
      </c>
      <c r="DJ11" s="33">
        <f t="shared" si="20"/>
        <v>14215.4933254</v>
      </c>
      <c r="DK11" s="20">
        <f>DI$6*'2008A'!$F11</f>
        <v>162.6190216</v>
      </c>
    </row>
    <row r="12" spans="1:115" ht="12.75">
      <c r="A12" s="19">
        <v>40817</v>
      </c>
      <c r="D12" s="35">
        <v>1863043</v>
      </c>
      <c r="E12" s="35">
        <f t="shared" si="0"/>
        <v>1863043</v>
      </c>
      <c r="G12" s="71"/>
      <c r="H12" s="51">
        <f t="shared" si="1"/>
        <v>188760.90849980002</v>
      </c>
      <c r="I12" s="51">
        <f t="shared" si="21"/>
        <v>188760.90849980002</v>
      </c>
      <c r="J12" s="51">
        <f t="shared" si="1"/>
        <v>5883.7737392</v>
      </c>
      <c r="M12" s="33">
        <f t="shared" si="22"/>
        <v>18863.310374999997</v>
      </c>
      <c r="N12" s="33">
        <f t="shared" si="8"/>
        <v>18863.310374999997</v>
      </c>
      <c r="O12" s="20">
        <f>M$6*'2008A'!$F12</f>
        <v>587.979</v>
      </c>
      <c r="R12" s="51">
        <f t="shared" si="23"/>
        <v>44274.0990692</v>
      </c>
      <c r="S12" s="51">
        <f t="shared" si="9"/>
        <v>44274.0990692</v>
      </c>
      <c r="T12" s="20">
        <f>R$6*'2008A'!$F12</f>
        <v>1380.0462368</v>
      </c>
      <c r="W12" s="33">
        <f t="shared" si="24"/>
        <v>1281.0283668000002</v>
      </c>
      <c r="X12" s="33">
        <f t="shared" si="2"/>
        <v>1281.0283668000002</v>
      </c>
      <c r="Y12" s="20">
        <f>W$6*'2008A'!$F12</f>
        <v>39.9303072</v>
      </c>
      <c r="AA12" s="51"/>
      <c r="AB12" s="33">
        <f t="shared" si="25"/>
        <v>628.7770125000001</v>
      </c>
      <c r="AC12" s="33">
        <f t="shared" si="3"/>
        <v>628.7770125000001</v>
      </c>
      <c r="AD12" s="20">
        <f>AB$6*'2008A'!$F12</f>
        <v>19.5993</v>
      </c>
      <c r="AG12" s="33">
        <f t="shared" si="26"/>
        <v>5146.4699832</v>
      </c>
      <c r="AH12" s="33">
        <f t="shared" si="27"/>
        <v>5146.4699832</v>
      </c>
      <c r="AI12" s="20">
        <f>AG$6*'2008A'!$F12</f>
        <v>160.41809279999998</v>
      </c>
      <c r="AL12" s="33">
        <f t="shared" si="11"/>
        <v>934.5023688000001</v>
      </c>
      <c r="AM12" s="33">
        <f t="shared" si="4"/>
        <v>934.5023688000001</v>
      </c>
      <c r="AN12" s="20">
        <f>AL$6*'2008A'!$F12</f>
        <v>29.1289152</v>
      </c>
      <c r="AQ12" s="33">
        <f t="shared" si="28"/>
        <v>13041.301</v>
      </c>
      <c r="AR12" s="33">
        <f t="shared" si="12"/>
        <v>13041.301</v>
      </c>
      <c r="AS12" s="20">
        <f>AQ$6*'2008A'!$F12</f>
        <v>406.504</v>
      </c>
      <c r="AV12" s="33">
        <f t="shared" si="29"/>
        <v>9646.277741099999</v>
      </c>
      <c r="AW12" s="33">
        <f t="shared" si="30"/>
        <v>9646.277741099999</v>
      </c>
      <c r="AX12" s="20">
        <f>AV$6*'2008A'!$F12</f>
        <v>300.67939440000004</v>
      </c>
      <c r="AZ12" s="51"/>
      <c r="BA12" s="51">
        <f t="shared" si="14"/>
        <v>5102.1295598</v>
      </c>
      <c r="BB12" s="33">
        <f t="shared" si="5"/>
        <v>5102.1295598</v>
      </c>
      <c r="BC12" s="20">
        <f>BA$6*'2008A'!$F12</f>
        <v>159.03597919999999</v>
      </c>
      <c r="BE12" s="51"/>
      <c r="BF12" s="51">
        <f t="shared" si="31"/>
        <v>14547.3849612</v>
      </c>
      <c r="BG12" s="33">
        <f aca="true" t="shared" si="64" ref="BG12:BG45">BE12+BF12</f>
        <v>14547.3849612</v>
      </c>
      <c r="BH12" s="20">
        <f>BF$6*'2008A'!$F12</f>
        <v>453.4494048</v>
      </c>
      <c r="BK12" s="33">
        <f t="shared" si="32"/>
        <v>6835.3184627</v>
      </c>
      <c r="BL12" s="33">
        <f t="shared" si="6"/>
        <v>6835.3184627</v>
      </c>
      <c r="BM12" s="20">
        <f>BK$6*'2008A'!$F12</f>
        <v>213.0603608</v>
      </c>
      <c r="BP12" s="33">
        <f t="shared" si="33"/>
        <v>4946.9380779</v>
      </c>
      <c r="BQ12" s="33">
        <f aca="true" t="shared" si="65" ref="BQ12:BQ45">BO12+BP12</f>
        <v>4946.9380779</v>
      </c>
      <c r="BR12" s="20">
        <f>BP$6*'2008A'!$F12</f>
        <v>154.1985816</v>
      </c>
      <c r="BU12" s="33">
        <f t="shared" si="34"/>
        <v>7120.3640417</v>
      </c>
      <c r="BV12" s="33">
        <f t="shared" si="35"/>
        <v>7120.3640417</v>
      </c>
      <c r="BW12" s="20">
        <f>BU$6*'2008A'!$F12</f>
        <v>221.9453768</v>
      </c>
      <c r="BZ12" s="33">
        <f t="shared" si="36"/>
        <v>1464.5381023</v>
      </c>
      <c r="CA12" s="33">
        <f t="shared" si="15"/>
        <v>1464.5381023</v>
      </c>
      <c r="CB12" s="20">
        <f>BZ$6*'2008A'!$F12</f>
        <v>45.650399199999995</v>
      </c>
      <c r="CE12" s="33">
        <f t="shared" si="37"/>
        <v>5556.1531389</v>
      </c>
      <c r="CF12" s="33">
        <f t="shared" si="38"/>
        <v>5556.1531389</v>
      </c>
      <c r="CG12" s="20">
        <f>CE$6*'2008A'!$F12</f>
        <v>173.18812559999998</v>
      </c>
      <c r="CJ12" s="33">
        <f t="shared" si="39"/>
        <v>1385.9176877</v>
      </c>
      <c r="CK12" s="33">
        <f aca="true" t="shared" si="66" ref="CK12:CK45">CI12+CJ12</f>
        <v>1385.9176877</v>
      </c>
      <c r="CL12" s="20">
        <f>CJ$6*'2008A'!$F12</f>
        <v>43.1997608</v>
      </c>
      <c r="CO12" s="33">
        <f t="shared" si="40"/>
        <v>5568.8218313</v>
      </c>
      <c r="CP12" s="33">
        <f t="shared" si="16"/>
        <v>5568.8218313</v>
      </c>
      <c r="CQ12" s="20">
        <f>CO$6*'2008A'!$F12</f>
        <v>173.5830152</v>
      </c>
      <c r="CT12" s="33">
        <f t="shared" si="41"/>
        <v>31167.4052599</v>
      </c>
      <c r="CU12" s="33">
        <f t="shared" si="17"/>
        <v>31167.4052599</v>
      </c>
      <c r="CV12" s="20">
        <f>CT$6*'2008A'!$F12</f>
        <v>971.5039095999999</v>
      </c>
      <c r="CY12" s="33">
        <f t="shared" si="42"/>
        <v>90.5438898</v>
      </c>
      <c r="CZ12" s="33">
        <f t="shared" si="18"/>
        <v>90.5438898</v>
      </c>
      <c r="DA12" s="20">
        <f>CY$6*'2008A'!$F12</f>
        <v>2.8222992000000002</v>
      </c>
      <c r="DD12" s="33">
        <f t="shared" si="43"/>
        <v>5942.5482571</v>
      </c>
      <c r="DE12" s="33">
        <f t="shared" si="19"/>
        <v>5942.5482571</v>
      </c>
      <c r="DF12" s="20">
        <f>DD$6*'2008A'!$F12</f>
        <v>185.2322584</v>
      </c>
      <c r="DI12" s="33">
        <f t="shared" si="44"/>
        <v>5217.079312899999</v>
      </c>
      <c r="DJ12" s="33">
        <f t="shared" si="20"/>
        <v>5217.079312899999</v>
      </c>
      <c r="DK12" s="20">
        <f>DI$6*'2008A'!$F12</f>
        <v>162.6190216</v>
      </c>
    </row>
    <row r="13" spans="1:115" ht="12.75">
      <c r="A13" s="19">
        <v>41000</v>
      </c>
      <c r="C13" s="35">
        <v>3290000</v>
      </c>
      <c r="D13" s="35">
        <v>1863043</v>
      </c>
      <c r="E13" s="35">
        <f t="shared" si="0"/>
        <v>5153043</v>
      </c>
      <c r="G13" s="71">
        <f t="shared" si="7"/>
        <v>333338.1940000001</v>
      </c>
      <c r="H13" s="51">
        <f t="shared" si="1"/>
        <v>188760.90849980002</v>
      </c>
      <c r="I13" s="51">
        <f t="shared" si="21"/>
        <v>522099.1024998001</v>
      </c>
      <c r="J13" s="51">
        <f t="shared" si="1"/>
        <v>5883.7737392</v>
      </c>
      <c r="L13" s="33">
        <f t="shared" si="45"/>
        <v>33311.25</v>
      </c>
      <c r="M13" s="33">
        <f t="shared" si="22"/>
        <v>18863.310374999997</v>
      </c>
      <c r="N13" s="33">
        <f t="shared" si="8"/>
        <v>52174.560375</v>
      </c>
      <c r="O13" s="20">
        <f>M$6*'2008A'!$F13</f>
        <v>587.979</v>
      </c>
      <c r="Q13" s="33">
        <f t="shared" si="46"/>
        <v>78184.876</v>
      </c>
      <c r="R13" s="51">
        <f t="shared" si="23"/>
        <v>44274.0990692</v>
      </c>
      <c r="S13" s="51">
        <f t="shared" si="9"/>
        <v>122458.97506920001</v>
      </c>
      <c r="T13" s="20">
        <f>R$6*'2008A'!$F13</f>
        <v>1380.0462368</v>
      </c>
      <c r="V13" s="33">
        <f t="shared" si="47"/>
        <v>2262.2039999999997</v>
      </c>
      <c r="W13" s="33">
        <f t="shared" si="24"/>
        <v>1281.0283668000002</v>
      </c>
      <c r="X13" s="33">
        <f t="shared" si="2"/>
        <v>3543.2323668</v>
      </c>
      <c r="Y13" s="20">
        <f>W$6*'2008A'!$F13</f>
        <v>39.9303072</v>
      </c>
      <c r="AA13" s="51">
        <f t="shared" si="48"/>
        <v>1110.3750000000002</v>
      </c>
      <c r="AB13" s="33">
        <f t="shared" si="25"/>
        <v>628.7770125000001</v>
      </c>
      <c r="AC13" s="33">
        <f t="shared" si="3"/>
        <v>1739.1520125000002</v>
      </c>
      <c r="AD13" s="20">
        <f>AB$6*'2008A'!$F13</f>
        <v>19.5993</v>
      </c>
      <c r="AF13" s="33">
        <f t="shared" si="49"/>
        <v>9088.296</v>
      </c>
      <c r="AG13" s="33">
        <f t="shared" si="26"/>
        <v>5146.4699832</v>
      </c>
      <c r="AH13" s="33">
        <f t="shared" si="27"/>
        <v>14234.765983199999</v>
      </c>
      <c r="AI13" s="20">
        <f>AG$6*'2008A'!$F13</f>
        <v>160.41809279999998</v>
      </c>
      <c r="AK13" s="33">
        <f t="shared" si="10"/>
        <v>1650.2640000000001</v>
      </c>
      <c r="AL13" s="33">
        <f t="shared" si="11"/>
        <v>934.5023688000001</v>
      </c>
      <c r="AM13" s="33">
        <f t="shared" si="4"/>
        <v>2584.7663688000002</v>
      </c>
      <c r="AN13" s="20">
        <f>AL$6*'2008A'!$F13</f>
        <v>29.1289152</v>
      </c>
      <c r="AP13" s="33">
        <f t="shared" si="50"/>
        <v>23030</v>
      </c>
      <c r="AQ13" s="33">
        <f t="shared" si="28"/>
        <v>13041.301</v>
      </c>
      <c r="AR13" s="33">
        <f t="shared" si="12"/>
        <v>36071.301</v>
      </c>
      <c r="AS13" s="20">
        <f>AQ$6*'2008A'!$F13</f>
        <v>406.504</v>
      </c>
      <c r="AU13" s="33">
        <f t="shared" si="51"/>
        <v>17034.632999999998</v>
      </c>
      <c r="AV13" s="33">
        <f t="shared" si="29"/>
        <v>9646.277741099999</v>
      </c>
      <c r="AW13" s="33">
        <f t="shared" si="30"/>
        <v>26680.910741099997</v>
      </c>
      <c r="AX13" s="20">
        <f>AV$6*'2008A'!$F13</f>
        <v>300.67939440000004</v>
      </c>
      <c r="AZ13" s="51">
        <f t="shared" si="13"/>
        <v>9009.994</v>
      </c>
      <c r="BA13" s="51">
        <f t="shared" si="14"/>
        <v>5102.1295598</v>
      </c>
      <c r="BB13" s="33">
        <f t="shared" si="5"/>
        <v>14112.1235598</v>
      </c>
      <c r="BC13" s="20">
        <f>BA$6*'2008A'!$F13</f>
        <v>159.03597919999999</v>
      </c>
      <c r="BE13" s="51">
        <f t="shared" si="52"/>
        <v>25689.636000000002</v>
      </c>
      <c r="BF13" s="51">
        <f t="shared" si="31"/>
        <v>14547.3849612</v>
      </c>
      <c r="BG13" s="33">
        <f t="shared" si="64"/>
        <v>40237.0209612</v>
      </c>
      <c r="BH13" s="20">
        <f>BF$6*'2008A'!$F13</f>
        <v>453.4494048</v>
      </c>
      <c r="BJ13" s="33">
        <f t="shared" si="53"/>
        <v>12070.681</v>
      </c>
      <c r="BK13" s="33">
        <f t="shared" si="32"/>
        <v>6835.3184627</v>
      </c>
      <c r="BL13" s="33">
        <f t="shared" si="6"/>
        <v>18905.9994627</v>
      </c>
      <c r="BM13" s="20">
        <f>BK$6*'2008A'!$F13</f>
        <v>213.0603608</v>
      </c>
      <c r="BO13" s="33">
        <f t="shared" si="54"/>
        <v>8735.937</v>
      </c>
      <c r="BP13" s="33">
        <f t="shared" si="33"/>
        <v>4946.9380779</v>
      </c>
      <c r="BQ13" s="33">
        <f t="shared" si="65"/>
        <v>13682.8750779</v>
      </c>
      <c r="BR13" s="20">
        <f>BP$6*'2008A'!$F13</f>
        <v>154.1985816</v>
      </c>
      <c r="BT13" s="33">
        <f t="shared" si="55"/>
        <v>12574.051</v>
      </c>
      <c r="BU13" s="33">
        <f t="shared" si="34"/>
        <v>7120.3640417</v>
      </c>
      <c r="BV13" s="33">
        <f t="shared" si="35"/>
        <v>19694.4150417</v>
      </c>
      <c r="BW13" s="20">
        <f>BU$6*'2008A'!$F13</f>
        <v>221.9453768</v>
      </c>
      <c r="BY13" s="33">
        <f t="shared" si="56"/>
        <v>2586.269</v>
      </c>
      <c r="BZ13" s="33">
        <f t="shared" si="36"/>
        <v>1464.5381023</v>
      </c>
      <c r="CA13" s="33">
        <f t="shared" si="15"/>
        <v>4050.8071022999998</v>
      </c>
      <c r="CB13" s="20">
        <f>BZ$6*'2008A'!$F13</f>
        <v>45.650399199999995</v>
      </c>
      <c r="CD13" s="33">
        <f t="shared" si="57"/>
        <v>9811.767</v>
      </c>
      <c r="CE13" s="33">
        <f t="shared" si="37"/>
        <v>5556.1531389</v>
      </c>
      <c r="CF13" s="33">
        <f t="shared" si="38"/>
        <v>15367.9201389</v>
      </c>
      <c r="CG13" s="20">
        <f>CE$6*'2008A'!$F13</f>
        <v>173.18812559999998</v>
      </c>
      <c r="CI13" s="33">
        <f t="shared" si="58"/>
        <v>2447.431</v>
      </c>
      <c r="CJ13" s="33">
        <f t="shared" si="39"/>
        <v>1385.9176877</v>
      </c>
      <c r="CK13" s="33">
        <f t="shared" si="66"/>
        <v>3833.3486877</v>
      </c>
      <c r="CL13" s="20">
        <f>CJ$6*'2008A'!$F13</f>
        <v>43.1997608</v>
      </c>
      <c r="CN13" s="33">
        <f t="shared" si="59"/>
        <v>9834.139000000001</v>
      </c>
      <c r="CO13" s="33">
        <f t="shared" si="40"/>
        <v>5568.8218313</v>
      </c>
      <c r="CP13" s="33">
        <f t="shared" si="16"/>
        <v>15402.9608313</v>
      </c>
      <c r="CQ13" s="20">
        <f>CO$6*'2008A'!$F13</f>
        <v>173.5830152</v>
      </c>
      <c r="CS13" s="33">
        <f t="shared" si="60"/>
        <v>55039.397000000004</v>
      </c>
      <c r="CT13" s="33">
        <f t="shared" si="41"/>
        <v>31167.4052599</v>
      </c>
      <c r="CU13" s="33">
        <f t="shared" si="17"/>
        <v>86206.8022599</v>
      </c>
      <c r="CV13" s="20">
        <f>CT$6*'2008A'!$F13</f>
        <v>971.5039095999999</v>
      </c>
      <c r="CX13" s="33">
        <f t="shared" si="61"/>
        <v>159.894</v>
      </c>
      <c r="CY13" s="33">
        <f t="shared" si="42"/>
        <v>90.5438898</v>
      </c>
      <c r="CZ13" s="33">
        <f t="shared" si="18"/>
        <v>250.4378898</v>
      </c>
      <c r="DA13" s="20">
        <f>CY$6*'2008A'!$F13</f>
        <v>2.8222992000000002</v>
      </c>
      <c r="DC13" s="33">
        <f t="shared" si="62"/>
        <v>10494.112999999998</v>
      </c>
      <c r="DD13" s="33">
        <f t="shared" si="43"/>
        <v>5942.5482571</v>
      </c>
      <c r="DE13" s="33">
        <f t="shared" si="19"/>
        <v>16436.661257099997</v>
      </c>
      <c r="DF13" s="20">
        <f>DD$6*'2008A'!$F13</f>
        <v>185.2322584</v>
      </c>
      <c r="DH13" s="33">
        <f t="shared" si="63"/>
        <v>9212.987</v>
      </c>
      <c r="DI13" s="33">
        <f t="shared" si="44"/>
        <v>5217.079312899999</v>
      </c>
      <c r="DJ13" s="33">
        <f t="shared" si="20"/>
        <v>14430.066312899999</v>
      </c>
      <c r="DK13" s="20">
        <f>DI$6*'2008A'!$F13</f>
        <v>162.6190216</v>
      </c>
    </row>
    <row r="14" spans="1:115" ht="12.75">
      <c r="A14" s="19">
        <v>41183</v>
      </c>
      <c r="D14" s="35">
        <v>1797243</v>
      </c>
      <c r="E14" s="35">
        <f t="shared" si="0"/>
        <v>1797243</v>
      </c>
      <c r="G14" s="71"/>
      <c r="H14" s="51">
        <f t="shared" si="1"/>
        <v>182094.14461979998</v>
      </c>
      <c r="I14" s="51">
        <f t="shared" si="21"/>
        <v>182094.14461979998</v>
      </c>
      <c r="J14" s="51">
        <f t="shared" si="1"/>
        <v>5883.7737392</v>
      </c>
      <c r="M14" s="33">
        <f t="shared" si="22"/>
        <v>18197.085375</v>
      </c>
      <c r="N14" s="33">
        <f t="shared" si="8"/>
        <v>18197.085375</v>
      </c>
      <c r="O14" s="20">
        <f>M$6*'2008A'!$F14</f>
        <v>587.979</v>
      </c>
      <c r="R14" s="51">
        <f t="shared" si="23"/>
        <v>42710.4015492</v>
      </c>
      <c r="S14" s="51">
        <f t="shared" si="9"/>
        <v>42710.4015492</v>
      </c>
      <c r="T14" s="20">
        <f>R$6*'2008A'!$F14</f>
        <v>1380.0462368</v>
      </c>
      <c r="W14" s="33">
        <f t="shared" si="24"/>
        <v>1235.7842868</v>
      </c>
      <c r="X14" s="33">
        <f t="shared" si="2"/>
        <v>1235.7842868</v>
      </c>
      <c r="Y14" s="20">
        <f>W$6*'2008A'!$F14</f>
        <v>39.9303072</v>
      </c>
      <c r="AA14" s="51"/>
      <c r="AB14" s="33">
        <f t="shared" si="25"/>
        <v>606.5695125000001</v>
      </c>
      <c r="AC14" s="33">
        <f t="shared" si="3"/>
        <v>606.5695125000001</v>
      </c>
      <c r="AD14" s="20">
        <f>AB$6*'2008A'!$F14</f>
        <v>19.5993</v>
      </c>
      <c r="AG14" s="33">
        <f t="shared" si="26"/>
        <v>4964.7040632</v>
      </c>
      <c r="AH14" s="33">
        <f t="shared" si="27"/>
        <v>4964.7040632</v>
      </c>
      <c r="AI14" s="20">
        <f>AG$6*'2008A'!$F14</f>
        <v>160.41809279999998</v>
      </c>
      <c r="AL14" s="33">
        <f t="shared" si="11"/>
        <v>901.4970888</v>
      </c>
      <c r="AM14" s="33">
        <f t="shared" si="4"/>
        <v>901.4970888</v>
      </c>
      <c r="AN14" s="20">
        <f>AL$6*'2008A'!$F14</f>
        <v>29.1289152</v>
      </c>
      <c r="AQ14" s="33">
        <f t="shared" si="28"/>
        <v>12580.701</v>
      </c>
      <c r="AR14" s="33">
        <f t="shared" si="12"/>
        <v>12580.701</v>
      </c>
      <c r="AS14" s="20">
        <f>AQ$6*'2008A'!$F14</f>
        <v>406.504</v>
      </c>
      <c r="AV14" s="33">
        <f t="shared" si="29"/>
        <v>9305.5850811</v>
      </c>
      <c r="AW14" s="33">
        <f t="shared" si="30"/>
        <v>9305.5850811</v>
      </c>
      <c r="AX14" s="20">
        <f>AV$6*'2008A'!$F14</f>
        <v>300.67939440000004</v>
      </c>
      <c r="AZ14" s="51"/>
      <c r="BA14" s="51">
        <f t="shared" si="14"/>
        <v>4921.9296798</v>
      </c>
      <c r="BB14" s="33">
        <f t="shared" si="5"/>
        <v>4921.9296798</v>
      </c>
      <c r="BC14" s="20">
        <f>BA$6*'2008A'!$F14</f>
        <v>159.03597919999999</v>
      </c>
      <c r="BE14" s="51"/>
      <c r="BF14" s="51">
        <f t="shared" si="31"/>
        <v>14033.5922412</v>
      </c>
      <c r="BG14" s="33">
        <f t="shared" si="64"/>
        <v>14033.5922412</v>
      </c>
      <c r="BH14" s="20">
        <f>BF$6*'2008A'!$F14</f>
        <v>453.4494048</v>
      </c>
      <c r="BK14" s="33">
        <f t="shared" si="32"/>
        <v>6593.9048427</v>
      </c>
      <c r="BL14" s="33">
        <f t="shared" si="6"/>
        <v>6593.9048427</v>
      </c>
      <c r="BM14" s="20">
        <f>BK$6*'2008A'!$F14</f>
        <v>213.0603608</v>
      </c>
      <c r="BP14" s="33">
        <f t="shared" si="33"/>
        <v>4772.2193379</v>
      </c>
      <c r="BQ14" s="33">
        <f t="shared" si="65"/>
        <v>4772.2193379</v>
      </c>
      <c r="BR14" s="20">
        <f>BP$6*'2008A'!$F14</f>
        <v>154.1985816</v>
      </c>
      <c r="BU14" s="33">
        <f t="shared" si="34"/>
        <v>6868.8830216999995</v>
      </c>
      <c r="BV14" s="33">
        <f t="shared" si="35"/>
        <v>6868.8830216999995</v>
      </c>
      <c r="BW14" s="20">
        <f>BU$6*'2008A'!$F14</f>
        <v>221.9453768</v>
      </c>
      <c r="BZ14" s="33">
        <f t="shared" si="36"/>
        <v>1412.8127223000001</v>
      </c>
      <c r="CA14" s="33">
        <f t="shared" si="15"/>
        <v>1412.8127223000001</v>
      </c>
      <c r="CB14" s="20">
        <f>BZ$6*'2008A'!$F14</f>
        <v>45.650399199999995</v>
      </c>
      <c r="CE14" s="33">
        <f t="shared" si="37"/>
        <v>5359.9177989</v>
      </c>
      <c r="CF14" s="33">
        <f t="shared" si="38"/>
        <v>5359.9177989</v>
      </c>
      <c r="CG14" s="20">
        <f>CE$6*'2008A'!$F14</f>
        <v>173.18812559999998</v>
      </c>
      <c r="CJ14" s="33">
        <f t="shared" si="39"/>
        <v>1336.9690677</v>
      </c>
      <c r="CK14" s="33">
        <f t="shared" si="66"/>
        <v>1336.9690677</v>
      </c>
      <c r="CL14" s="20">
        <f>CJ$6*'2008A'!$F14</f>
        <v>43.1997608</v>
      </c>
      <c r="CO14" s="33">
        <f t="shared" si="40"/>
        <v>5372.1390513</v>
      </c>
      <c r="CP14" s="33">
        <f t="shared" si="16"/>
        <v>5372.1390513</v>
      </c>
      <c r="CQ14" s="20">
        <f>CO$6*'2008A'!$F14</f>
        <v>173.5830152</v>
      </c>
      <c r="CT14" s="33">
        <f t="shared" si="41"/>
        <v>30066.617319900004</v>
      </c>
      <c r="CU14" s="33">
        <f t="shared" si="17"/>
        <v>30066.617319900004</v>
      </c>
      <c r="CV14" s="20">
        <f>CT$6*'2008A'!$F14</f>
        <v>971.5039095999999</v>
      </c>
      <c r="CY14" s="33">
        <f t="shared" si="42"/>
        <v>87.34600979999999</v>
      </c>
      <c r="CZ14" s="33">
        <f t="shared" si="18"/>
        <v>87.34600979999999</v>
      </c>
      <c r="DA14" s="20">
        <f>CY$6*'2008A'!$F14</f>
        <v>2.8222992000000002</v>
      </c>
      <c r="DD14" s="33">
        <f t="shared" si="43"/>
        <v>5732.6659971</v>
      </c>
      <c r="DE14" s="33">
        <f t="shared" si="19"/>
        <v>5732.6659971</v>
      </c>
      <c r="DF14" s="20">
        <f>DD$6*'2008A'!$F14</f>
        <v>185.2322584</v>
      </c>
      <c r="DI14" s="33">
        <f t="shared" si="44"/>
        <v>5032.8195729</v>
      </c>
      <c r="DJ14" s="33">
        <f t="shared" si="20"/>
        <v>5032.8195729</v>
      </c>
      <c r="DK14" s="20">
        <f>DI$6*'2008A'!$F14</f>
        <v>162.6190216</v>
      </c>
    </row>
    <row r="15" spans="1:115" ht="12.75">
      <c r="A15" s="19">
        <v>41365</v>
      </c>
      <c r="B15" t="s">
        <v>41</v>
      </c>
      <c r="C15" s="35">
        <v>3420000</v>
      </c>
      <c r="D15" s="35">
        <v>1797243</v>
      </c>
      <c r="E15" s="35">
        <f t="shared" si="0"/>
        <v>5217243</v>
      </c>
      <c r="G15" s="71">
        <f t="shared" si="7"/>
        <v>346509.61199999996</v>
      </c>
      <c r="H15" s="51">
        <f t="shared" si="1"/>
        <v>182094.14461979998</v>
      </c>
      <c r="I15" s="51">
        <f t="shared" si="21"/>
        <v>528603.7566197999</v>
      </c>
      <c r="J15" s="51">
        <f t="shared" si="1"/>
        <v>5883.7737392</v>
      </c>
      <c r="L15" s="33">
        <f t="shared" si="45"/>
        <v>34627.5</v>
      </c>
      <c r="M15" s="33">
        <f t="shared" si="22"/>
        <v>18197.085375</v>
      </c>
      <c r="N15" s="33">
        <f t="shared" si="8"/>
        <v>52824.585374999995</v>
      </c>
      <c r="O15" s="20">
        <f>M$6*'2008A'!$F15</f>
        <v>587.979</v>
      </c>
      <c r="Q15" s="33">
        <f t="shared" si="46"/>
        <v>81274.248</v>
      </c>
      <c r="R15" s="51">
        <f t="shared" si="23"/>
        <v>42710.4015492</v>
      </c>
      <c r="S15" s="51">
        <f t="shared" si="9"/>
        <v>123984.64954920001</v>
      </c>
      <c r="T15" s="20">
        <f>R$6*'2008A'!$F15</f>
        <v>1380.0462368</v>
      </c>
      <c r="V15" s="33">
        <f t="shared" si="47"/>
        <v>2351.592</v>
      </c>
      <c r="W15" s="33">
        <f t="shared" si="24"/>
        <v>1235.7842868</v>
      </c>
      <c r="X15" s="33">
        <f t="shared" si="2"/>
        <v>3587.3762868000003</v>
      </c>
      <c r="Y15" s="20">
        <f>W$6*'2008A'!$F15</f>
        <v>39.9303072</v>
      </c>
      <c r="AA15" s="51">
        <f t="shared" si="48"/>
        <v>1154.2500000000002</v>
      </c>
      <c r="AB15" s="33">
        <f t="shared" si="25"/>
        <v>606.5695125000001</v>
      </c>
      <c r="AC15" s="33">
        <f t="shared" si="3"/>
        <v>1760.8195125000002</v>
      </c>
      <c r="AD15" s="20">
        <f>AB$6*'2008A'!$F15</f>
        <v>19.5993</v>
      </c>
      <c r="AF15" s="33">
        <f t="shared" si="49"/>
        <v>9447.408</v>
      </c>
      <c r="AG15" s="33">
        <f t="shared" si="26"/>
        <v>4964.7040632</v>
      </c>
      <c r="AH15" s="33">
        <f t="shared" si="27"/>
        <v>14412.112063199998</v>
      </c>
      <c r="AI15" s="20">
        <f>AG$6*'2008A'!$F15</f>
        <v>160.41809279999998</v>
      </c>
      <c r="AK15" s="33">
        <f t="shared" si="10"/>
        <v>1715.4720000000002</v>
      </c>
      <c r="AL15" s="33">
        <f t="shared" si="11"/>
        <v>901.4970888</v>
      </c>
      <c r="AM15" s="33">
        <f t="shared" si="4"/>
        <v>2616.9690888000005</v>
      </c>
      <c r="AN15" s="20">
        <f>AL$6*'2008A'!$F15</f>
        <v>29.1289152</v>
      </c>
      <c r="AP15" s="33">
        <f t="shared" si="50"/>
        <v>23940</v>
      </c>
      <c r="AQ15" s="33">
        <f t="shared" si="28"/>
        <v>12580.701</v>
      </c>
      <c r="AR15" s="33">
        <f t="shared" si="12"/>
        <v>36520.701</v>
      </c>
      <c r="AS15" s="20">
        <f>AQ$6*'2008A'!$F15</f>
        <v>406.504</v>
      </c>
      <c r="AU15" s="33">
        <f t="shared" si="51"/>
        <v>17707.734</v>
      </c>
      <c r="AV15" s="33">
        <f t="shared" si="29"/>
        <v>9305.5850811</v>
      </c>
      <c r="AW15" s="33">
        <f t="shared" si="30"/>
        <v>27013.319081100002</v>
      </c>
      <c r="AX15" s="20">
        <f>AV$6*'2008A'!$F15</f>
        <v>300.67939440000004</v>
      </c>
      <c r="AZ15" s="51">
        <f t="shared" si="13"/>
        <v>9366.011999999999</v>
      </c>
      <c r="BA15" s="51">
        <f t="shared" si="14"/>
        <v>4921.9296798</v>
      </c>
      <c r="BB15" s="33">
        <f t="shared" si="5"/>
        <v>14287.941679799998</v>
      </c>
      <c r="BC15" s="20">
        <f>BA$6*'2008A'!$F15</f>
        <v>159.03597919999999</v>
      </c>
      <c r="BE15" s="51">
        <f t="shared" si="52"/>
        <v>26704.728</v>
      </c>
      <c r="BF15" s="51">
        <f t="shared" si="31"/>
        <v>14033.5922412</v>
      </c>
      <c r="BG15" s="33">
        <f t="shared" si="64"/>
        <v>40738.320241199996</v>
      </c>
      <c r="BH15" s="20">
        <f>BF$6*'2008A'!$F15</f>
        <v>453.4494048</v>
      </c>
      <c r="BJ15" s="33">
        <f t="shared" si="53"/>
        <v>12547.638</v>
      </c>
      <c r="BK15" s="33">
        <f t="shared" si="32"/>
        <v>6593.9048427</v>
      </c>
      <c r="BL15" s="33">
        <f t="shared" si="6"/>
        <v>19141.5428427</v>
      </c>
      <c r="BM15" s="20">
        <f>BK$6*'2008A'!$F15</f>
        <v>213.0603608</v>
      </c>
      <c r="BO15" s="33">
        <f t="shared" si="54"/>
        <v>9081.126</v>
      </c>
      <c r="BP15" s="33">
        <f t="shared" si="33"/>
        <v>4772.2193379</v>
      </c>
      <c r="BQ15" s="33">
        <f t="shared" si="65"/>
        <v>13853.3453379</v>
      </c>
      <c r="BR15" s="20">
        <f>BP$6*'2008A'!$F15</f>
        <v>154.1985816</v>
      </c>
      <c r="BT15" s="33">
        <f t="shared" si="55"/>
        <v>13070.897999999997</v>
      </c>
      <c r="BU15" s="33">
        <f t="shared" si="34"/>
        <v>6868.8830216999995</v>
      </c>
      <c r="BV15" s="33">
        <f t="shared" si="35"/>
        <v>19939.781021699997</v>
      </c>
      <c r="BW15" s="20">
        <f>BU$6*'2008A'!$F15</f>
        <v>221.9453768</v>
      </c>
      <c r="BY15" s="33">
        <f t="shared" si="56"/>
        <v>2688.462</v>
      </c>
      <c r="BZ15" s="33">
        <f t="shared" si="36"/>
        <v>1412.8127223000001</v>
      </c>
      <c r="CA15" s="33">
        <f t="shared" si="15"/>
        <v>4101.274722300001</v>
      </c>
      <c r="CB15" s="20">
        <f>BZ$6*'2008A'!$F15</f>
        <v>45.650399199999995</v>
      </c>
      <c r="CD15" s="33">
        <f t="shared" si="57"/>
        <v>10199.466</v>
      </c>
      <c r="CE15" s="33">
        <f t="shared" si="37"/>
        <v>5359.9177989</v>
      </c>
      <c r="CF15" s="33">
        <f t="shared" si="38"/>
        <v>15559.3837989</v>
      </c>
      <c r="CG15" s="20">
        <f>CE$6*'2008A'!$F15</f>
        <v>173.18812559999998</v>
      </c>
      <c r="CI15" s="33">
        <f t="shared" si="58"/>
        <v>2544.138</v>
      </c>
      <c r="CJ15" s="33">
        <f t="shared" si="39"/>
        <v>1336.9690677</v>
      </c>
      <c r="CK15" s="33">
        <f t="shared" si="66"/>
        <v>3881.1070677</v>
      </c>
      <c r="CL15" s="20">
        <f>CJ$6*'2008A'!$F15</f>
        <v>43.1997608</v>
      </c>
      <c r="CN15" s="33">
        <f t="shared" si="59"/>
        <v>10222.722000000002</v>
      </c>
      <c r="CO15" s="33">
        <f t="shared" si="40"/>
        <v>5372.1390513</v>
      </c>
      <c r="CP15" s="33">
        <f t="shared" si="16"/>
        <v>15594.861051300002</v>
      </c>
      <c r="CQ15" s="20">
        <f>CO$6*'2008A'!$F15</f>
        <v>173.5830152</v>
      </c>
      <c r="CS15" s="33">
        <f t="shared" si="60"/>
        <v>57214.206000000006</v>
      </c>
      <c r="CT15" s="33">
        <f t="shared" si="41"/>
        <v>30066.617319900004</v>
      </c>
      <c r="CU15" s="33">
        <f t="shared" si="17"/>
        <v>87280.82331990001</v>
      </c>
      <c r="CV15" s="20">
        <f>CT$6*'2008A'!$F15</f>
        <v>971.5039095999999</v>
      </c>
      <c r="CX15" s="33">
        <f t="shared" si="61"/>
        <v>166.21200000000002</v>
      </c>
      <c r="CY15" s="33">
        <f t="shared" si="42"/>
        <v>87.34600979999999</v>
      </c>
      <c r="CZ15" s="33">
        <f t="shared" si="18"/>
        <v>253.5580098</v>
      </c>
      <c r="DA15" s="20">
        <f>CY$6*'2008A'!$F15</f>
        <v>2.8222992000000002</v>
      </c>
      <c r="DC15" s="33">
        <f t="shared" si="62"/>
        <v>10908.774</v>
      </c>
      <c r="DD15" s="33">
        <f t="shared" si="43"/>
        <v>5732.6659971</v>
      </c>
      <c r="DE15" s="33">
        <f t="shared" si="19"/>
        <v>16641.4399971</v>
      </c>
      <c r="DF15" s="20">
        <f>DD$6*'2008A'!$F15</f>
        <v>185.2322584</v>
      </c>
      <c r="DH15" s="33">
        <f t="shared" si="63"/>
        <v>9577.026</v>
      </c>
      <c r="DI15" s="33">
        <f t="shared" si="44"/>
        <v>5032.8195729</v>
      </c>
      <c r="DJ15" s="33">
        <f t="shared" si="20"/>
        <v>14609.8455729</v>
      </c>
      <c r="DK15" s="20">
        <f>DI$6*'2008A'!$F15</f>
        <v>162.6190216</v>
      </c>
    </row>
    <row r="16" spans="1:115" ht="12.75">
      <c r="A16" s="19">
        <v>41548</v>
      </c>
      <c r="D16" s="35">
        <v>1728843</v>
      </c>
      <c r="E16" s="35">
        <f t="shared" si="0"/>
        <v>1728843</v>
      </c>
      <c r="G16" s="71"/>
      <c r="H16" s="51">
        <f t="shared" si="1"/>
        <v>175163.95237979997</v>
      </c>
      <c r="I16" s="51">
        <f t="shared" si="21"/>
        <v>175163.95237979997</v>
      </c>
      <c r="J16" s="51">
        <f t="shared" si="1"/>
        <v>5883.7737392</v>
      </c>
      <c r="M16" s="33">
        <f t="shared" si="22"/>
        <v>17504.535375</v>
      </c>
      <c r="N16" s="33">
        <f t="shared" si="8"/>
        <v>17504.535375</v>
      </c>
      <c r="O16" s="20">
        <f>M$6*'2008A'!$F16</f>
        <v>587.979</v>
      </c>
      <c r="R16" s="51">
        <f t="shared" si="23"/>
        <v>41084.9165892</v>
      </c>
      <c r="S16" s="51">
        <f t="shared" si="9"/>
        <v>41084.9165892</v>
      </c>
      <c r="T16" s="20">
        <f>R$6*'2008A'!$F16</f>
        <v>1380.0462368</v>
      </c>
      <c r="W16" s="33">
        <f t="shared" si="24"/>
        <v>1188.7524468000001</v>
      </c>
      <c r="X16" s="33">
        <f t="shared" si="2"/>
        <v>1188.7524468000001</v>
      </c>
      <c r="Y16" s="20">
        <f>W$6*'2008A'!$F16</f>
        <v>39.9303072</v>
      </c>
      <c r="AA16" s="51"/>
      <c r="AB16" s="33">
        <f t="shared" si="25"/>
        <v>583.4845125</v>
      </c>
      <c r="AC16" s="33">
        <f t="shared" si="3"/>
        <v>583.4845125</v>
      </c>
      <c r="AD16" s="20">
        <f>AB$6*'2008A'!$F16</f>
        <v>19.5993</v>
      </c>
      <c r="AG16" s="33">
        <f t="shared" si="26"/>
        <v>4775.7559032</v>
      </c>
      <c r="AH16" s="33">
        <f t="shared" si="27"/>
        <v>4775.7559032</v>
      </c>
      <c r="AI16" s="20">
        <f>AG$6*'2008A'!$F16</f>
        <v>160.41809279999998</v>
      </c>
      <c r="AL16" s="33">
        <f t="shared" si="11"/>
        <v>867.1876488</v>
      </c>
      <c r="AM16" s="33">
        <f t="shared" si="4"/>
        <v>867.1876488</v>
      </c>
      <c r="AN16" s="20">
        <f>AL$6*'2008A'!$F16</f>
        <v>29.1289152</v>
      </c>
      <c r="AQ16" s="33">
        <f t="shared" si="28"/>
        <v>12101.900999999998</v>
      </c>
      <c r="AR16" s="33">
        <f t="shared" si="12"/>
        <v>12101.900999999998</v>
      </c>
      <c r="AS16" s="20">
        <f>AQ$6*'2008A'!$F16</f>
        <v>406.504</v>
      </c>
      <c r="AV16" s="33">
        <f t="shared" si="29"/>
        <v>8951.430401099999</v>
      </c>
      <c r="AW16" s="33">
        <f t="shared" si="30"/>
        <v>8951.430401099999</v>
      </c>
      <c r="AX16" s="20">
        <f>AV$6*'2008A'!$F16</f>
        <v>300.67939440000004</v>
      </c>
      <c r="AZ16" s="51"/>
      <c r="BA16" s="51">
        <f t="shared" si="14"/>
        <v>4734.6094398</v>
      </c>
      <c r="BB16" s="33">
        <f t="shared" si="5"/>
        <v>4734.6094398</v>
      </c>
      <c r="BC16" s="20">
        <f>BA$6*'2008A'!$F16</f>
        <v>159.03597919999999</v>
      </c>
      <c r="BE16" s="51"/>
      <c r="BF16" s="51">
        <f t="shared" si="31"/>
        <v>13499.497681199999</v>
      </c>
      <c r="BG16" s="33">
        <f t="shared" si="64"/>
        <v>13499.497681199999</v>
      </c>
      <c r="BH16" s="20">
        <f>BF$6*'2008A'!$F16</f>
        <v>453.4494048</v>
      </c>
      <c r="BK16" s="33">
        <f t="shared" si="32"/>
        <v>6342.9520827</v>
      </c>
      <c r="BL16" s="33">
        <f t="shared" si="6"/>
        <v>6342.9520827</v>
      </c>
      <c r="BM16" s="20">
        <f>BK$6*'2008A'!$F16</f>
        <v>213.0603608</v>
      </c>
      <c r="BP16" s="33">
        <f t="shared" si="33"/>
        <v>4590.5968179</v>
      </c>
      <c r="BQ16" s="33">
        <f t="shared" si="65"/>
        <v>4590.5968179</v>
      </c>
      <c r="BR16" s="20">
        <f>BP$6*'2008A'!$F16</f>
        <v>154.1985816</v>
      </c>
      <c r="BU16" s="33">
        <f t="shared" si="34"/>
        <v>6607.4650617</v>
      </c>
      <c r="BV16" s="33">
        <f t="shared" si="35"/>
        <v>6607.4650617</v>
      </c>
      <c r="BW16" s="20">
        <f>BU$6*'2008A'!$F16</f>
        <v>221.9453768</v>
      </c>
      <c r="BZ16" s="33">
        <f t="shared" si="36"/>
        <v>1359.0434823</v>
      </c>
      <c r="CA16" s="33">
        <f t="shared" si="15"/>
        <v>1359.0434823</v>
      </c>
      <c r="CB16" s="20">
        <f>BZ$6*'2008A'!$F16</f>
        <v>45.650399199999995</v>
      </c>
      <c r="CE16" s="33">
        <f t="shared" si="37"/>
        <v>5155.928478899999</v>
      </c>
      <c r="CF16" s="33">
        <f t="shared" si="38"/>
        <v>5155.928478899999</v>
      </c>
      <c r="CG16" s="20">
        <f>CE$6*'2008A'!$F16</f>
        <v>173.18812559999998</v>
      </c>
      <c r="CJ16" s="33">
        <f t="shared" si="39"/>
        <v>1286.0863077000001</v>
      </c>
      <c r="CK16" s="33">
        <f t="shared" si="66"/>
        <v>1286.0863077000001</v>
      </c>
      <c r="CL16" s="20">
        <f>CJ$6*'2008A'!$F16</f>
        <v>43.1997608</v>
      </c>
      <c r="CO16" s="33">
        <f t="shared" si="40"/>
        <v>5167.6846113</v>
      </c>
      <c r="CP16" s="33">
        <f t="shared" si="16"/>
        <v>5167.6846113</v>
      </c>
      <c r="CQ16" s="20">
        <f>CO$6*'2008A'!$F16</f>
        <v>173.5830152</v>
      </c>
      <c r="CT16" s="33">
        <f t="shared" si="41"/>
        <v>28922.333199900004</v>
      </c>
      <c r="CU16" s="33">
        <f t="shared" si="17"/>
        <v>28922.333199900004</v>
      </c>
      <c r="CV16" s="20">
        <f>CT$6*'2008A'!$F16</f>
        <v>971.5039095999999</v>
      </c>
      <c r="CY16" s="33">
        <f t="shared" si="42"/>
        <v>84.0217698</v>
      </c>
      <c r="CZ16" s="33">
        <f t="shared" si="18"/>
        <v>84.0217698</v>
      </c>
      <c r="DA16" s="20">
        <f>CY$6*'2008A'!$F16</f>
        <v>2.8222992000000002</v>
      </c>
      <c r="DD16" s="33">
        <f t="shared" si="43"/>
        <v>5514.490517099999</v>
      </c>
      <c r="DE16" s="33">
        <f t="shared" si="19"/>
        <v>5514.490517099999</v>
      </c>
      <c r="DF16" s="20">
        <f>DD$6*'2008A'!$F16</f>
        <v>185.2322584</v>
      </c>
      <c r="DI16" s="33">
        <f t="shared" si="44"/>
        <v>4841.2790529</v>
      </c>
      <c r="DJ16" s="33">
        <f t="shared" si="20"/>
        <v>4841.2790529</v>
      </c>
      <c r="DK16" s="20">
        <f>DI$6*'2008A'!$F16</f>
        <v>162.6190216</v>
      </c>
    </row>
    <row r="17" spans="1:115" ht="12.75">
      <c r="A17" s="19">
        <v>41730</v>
      </c>
      <c r="C17" s="35">
        <v>3555000</v>
      </c>
      <c r="D17" s="35">
        <v>1728843</v>
      </c>
      <c r="E17" s="35">
        <f t="shared" si="0"/>
        <v>5283843</v>
      </c>
      <c r="G17" s="71">
        <f t="shared" si="7"/>
        <v>360187.62299999996</v>
      </c>
      <c r="H17" s="51">
        <f t="shared" si="1"/>
        <v>175163.95237979997</v>
      </c>
      <c r="I17" s="51">
        <f t="shared" si="21"/>
        <v>535351.5753797999</v>
      </c>
      <c r="J17" s="51">
        <f t="shared" si="1"/>
        <v>5883.7737392</v>
      </c>
      <c r="L17" s="33">
        <f t="shared" si="45"/>
        <v>35994.375</v>
      </c>
      <c r="M17" s="33">
        <f t="shared" si="22"/>
        <v>17504.535375</v>
      </c>
      <c r="N17" s="33">
        <f t="shared" si="8"/>
        <v>53498.910375</v>
      </c>
      <c r="O17" s="20">
        <f>M$6*'2008A'!$F17</f>
        <v>587.979</v>
      </c>
      <c r="Q17" s="33">
        <f t="shared" si="46"/>
        <v>84482.44200000001</v>
      </c>
      <c r="R17" s="51">
        <f t="shared" si="23"/>
        <v>41084.9165892</v>
      </c>
      <c r="S17" s="51">
        <f t="shared" si="9"/>
        <v>125567.35858920001</v>
      </c>
      <c r="T17" s="20">
        <f>R$6*'2008A'!$F17</f>
        <v>1380.0462368</v>
      </c>
      <c r="V17" s="33">
        <f t="shared" si="47"/>
        <v>2444.418</v>
      </c>
      <c r="W17" s="33">
        <f t="shared" si="24"/>
        <v>1188.7524468000001</v>
      </c>
      <c r="X17" s="33">
        <f t="shared" si="2"/>
        <v>3633.1704468000003</v>
      </c>
      <c r="Y17" s="20">
        <f>W$6*'2008A'!$F17</f>
        <v>39.9303072</v>
      </c>
      <c r="AA17" s="51">
        <f t="shared" si="48"/>
        <v>1199.8125000000002</v>
      </c>
      <c r="AB17" s="33">
        <f t="shared" si="25"/>
        <v>583.4845125</v>
      </c>
      <c r="AC17" s="33">
        <f t="shared" si="3"/>
        <v>1783.2970125000002</v>
      </c>
      <c r="AD17" s="20">
        <f>AB$6*'2008A'!$F17</f>
        <v>19.5993</v>
      </c>
      <c r="AF17" s="33">
        <f t="shared" si="49"/>
        <v>9820.332</v>
      </c>
      <c r="AG17" s="33">
        <f t="shared" si="26"/>
        <v>4775.7559032</v>
      </c>
      <c r="AH17" s="33">
        <f t="shared" si="27"/>
        <v>14596.087903200001</v>
      </c>
      <c r="AI17" s="20">
        <f>AG$6*'2008A'!$F17</f>
        <v>160.41809279999998</v>
      </c>
      <c r="AK17" s="33">
        <f t="shared" si="10"/>
        <v>1783.188</v>
      </c>
      <c r="AL17" s="33">
        <f t="shared" si="11"/>
        <v>867.1876488</v>
      </c>
      <c r="AM17" s="33">
        <f t="shared" si="4"/>
        <v>2650.3756488</v>
      </c>
      <c r="AN17" s="20">
        <f>AL$6*'2008A'!$F17</f>
        <v>29.1289152</v>
      </c>
      <c r="AP17" s="33">
        <f t="shared" si="50"/>
        <v>24885</v>
      </c>
      <c r="AQ17" s="33">
        <f t="shared" si="28"/>
        <v>12101.900999999998</v>
      </c>
      <c r="AR17" s="33">
        <f t="shared" si="12"/>
        <v>36986.901</v>
      </c>
      <c r="AS17" s="20">
        <f>AQ$6*'2008A'!$F17</f>
        <v>406.504</v>
      </c>
      <c r="AU17" s="33">
        <f t="shared" si="51"/>
        <v>18406.7235</v>
      </c>
      <c r="AV17" s="33">
        <f t="shared" si="29"/>
        <v>8951.430401099999</v>
      </c>
      <c r="AW17" s="33">
        <f t="shared" si="30"/>
        <v>27358.1539011</v>
      </c>
      <c r="AX17" s="20">
        <f>AV$6*'2008A'!$F17</f>
        <v>300.67939440000004</v>
      </c>
      <c r="AZ17" s="51">
        <f t="shared" si="13"/>
        <v>9735.723</v>
      </c>
      <c r="BA17" s="51">
        <f t="shared" si="14"/>
        <v>4734.6094398</v>
      </c>
      <c r="BB17" s="33">
        <f t="shared" si="5"/>
        <v>14470.3324398</v>
      </c>
      <c r="BC17" s="20">
        <f>BA$6*'2008A'!$F17</f>
        <v>159.03597919999999</v>
      </c>
      <c r="BE17" s="51">
        <f t="shared" si="52"/>
        <v>27758.861999999997</v>
      </c>
      <c r="BF17" s="51">
        <f t="shared" si="31"/>
        <v>13499.497681199999</v>
      </c>
      <c r="BG17" s="33">
        <f t="shared" si="64"/>
        <v>41258.359681199996</v>
      </c>
      <c r="BH17" s="20">
        <f>BF$6*'2008A'!$F17</f>
        <v>453.4494048</v>
      </c>
      <c r="BJ17" s="33">
        <f t="shared" si="53"/>
        <v>13042.9395</v>
      </c>
      <c r="BK17" s="33">
        <f t="shared" si="32"/>
        <v>6342.9520827</v>
      </c>
      <c r="BL17" s="33">
        <f t="shared" si="6"/>
        <v>19385.891582700002</v>
      </c>
      <c r="BM17" s="20">
        <f>BK$6*'2008A'!$F17</f>
        <v>213.0603608</v>
      </c>
      <c r="BO17" s="33">
        <f t="shared" si="54"/>
        <v>9439.591499999999</v>
      </c>
      <c r="BP17" s="33">
        <f t="shared" si="33"/>
        <v>4590.5968179</v>
      </c>
      <c r="BQ17" s="33">
        <f t="shared" si="65"/>
        <v>14030.1883179</v>
      </c>
      <c r="BR17" s="20">
        <f>BP$6*'2008A'!$F17</f>
        <v>154.1985816</v>
      </c>
      <c r="BT17" s="33">
        <f t="shared" si="55"/>
        <v>13586.8545</v>
      </c>
      <c r="BU17" s="33">
        <f t="shared" si="34"/>
        <v>6607.4650617</v>
      </c>
      <c r="BV17" s="33">
        <f t="shared" si="35"/>
        <v>20194.3195617</v>
      </c>
      <c r="BW17" s="20">
        <f>BU$6*'2008A'!$F17</f>
        <v>221.9453768</v>
      </c>
      <c r="BY17" s="33">
        <f t="shared" si="56"/>
        <v>2794.5854999999997</v>
      </c>
      <c r="BZ17" s="33">
        <f t="shared" si="36"/>
        <v>1359.0434823</v>
      </c>
      <c r="CA17" s="33">
        <f t="shared" si="15"/>
        <v>4153.6289823</v>
      </c>
      <c r="CB17" s="20">
        <f>BZ$6*'2008A'!$F17</f>
        <v>45.650399199999995</v>
      </c>
      <c r="CD17" s="33">
        <f t="shared" si="57"/>
        <v>10602.0765</v>
      </c>
      <c r="CE17" s="33">
        <f t="shared" si="37"/>
        <v>5155.928478899999</v>
      </c>
      <c r="CF17" s="33">
        <f t="shared" si="38"/>
        <v>15758.004978899999</v>
      </c>
      <c r="CG17" s="20">
        <f>CE$6*'2008A'!$F17</f>
        <v>173.18812559999998</v>
      </c>
      <c r="CI17" s="33">
        <f t="shared" si="58"/>
        <v>2644.5645</v>
      </c>
      <c r="CJ17" s="33">
        <f t="shared" si="39"/>
        <v>1286.0863077000001</v>
      </c>
      <c r="CK17" s="33">
        <f t="shared" si="66"/>
        <v>3930.6508077</v>
      </c>
      <c r="CL17" s="20">
        <f>CJ$6*'2008A'!$F17</f>
        <v>43.1997608</v>
      </c>
      <c r="CN17" s="33">
        <f t="shared" si="59"/>
        <v>10626.2505</v>
      </c>
      <c r="CO17" s="33">
        <f t="shared" si="40"/>
        <v>5167.6846113</v>
      </c>
      <c r="CP17" s="33">
        <f t="shared" si="16"/>
        <v>15793.935111300001</v>
      </c>
      <c r="CQ17" s="20">
        <f>CO$6*'2008A'!$F17</f>
        <v>173.5830152</v>
      </c>
      <c r="CS17" s="33">
        <f t="shared" si="60"/>
        <v>59472.6615</v>
      </c>
      <c r="CT17" s="33">
        <f t="shared" si="41"/>
        <v>28922.333199900004</v>
      </c>
      <c r="CU17" s="33">
        <f t="shared" si="17"/>
        <v>88394.99469990001</v>
      </c>
      <c r="CV17" s="20">
        <f>CT$6*'2008A'!$F17</f>
        <v>971.5039095999999</v>
      </c>
      <c r="CX17" s="33">
        <f t="shared" si="61"/>
        <v>172.773</v>
      </c>
      <c r="CY17" s="33">
        <f t="shared" si="42"/>
        <v>84.0217698</v>
      </c>
      <c r="CZ17" s="33">
        <f t="shared" si="18"/>
        <v>256.7947698</v>
      </c>
      <c r="DA17" s="20">
        <f>CY$6*'2008A'!$F17</f>
        <v>2.8222992000000002</v>
      </c>
      <c r="DC17" s="33">
        <f t="shared" si="62"/>
        <v>11339.383499999998</v>
      </c>
      <c r="DD17" s="33">
        <f t="shared" si="43"/>
        <v>5514.490517099999</v>
      </c>
      <c r="DE17" s="33">
        <f t="shared" si="19"/>
        <v>16853.874017099995</v>
      </c>
      <c r="DF17" s="20">
        <f>DD$6*'2008A'!$F17</f>
        <v>185.2322584</v>
      </c>
      <c r="DH17" s="33">
        <f t="shared" si="63"/>
        <v>9955.0665</v>
      </c>
      <c r="DI17" s="33">
        <f t="shared" si="44"/>
        <v>4841.2790529</v>
      </c>
      <c r="DJ17" s="33">
        <f t="shared" si="20"/>
        <v>14796.345552900002</v>
      </c>
      <c r="DK17" s="20">
        <f>DI$6*'2008A'!$F17</f>
        <v>162.6190216</v>
      </c>
    </row>
    <row r="18" spans="1:115" ht="12.75">
      <c r="A18" s="19">
        <v>41913</v>
      </c>
      <c r="D18" s="35">
        <v>1657743</v>
      </c>
      <c r="E18" s="35">
        <f t="shared" si="0"/>
        <v>1657743</v>
      </c>
      <c r="G18" s="71"/>
      <c r="H18" s="51">
        <f t="shared" si="1"/>
        <v>167960.1999198</v>
      </c>
      <c r="I18" s="51">
        <f t="shared" si="21"/>
        <v>167960.1999198</v>
      </c>
      <c r="J18" s="51">
        <f t="shared" si="1"/>
        <v>5883.7737392</v>
      </c>
      <c r="M18" s="33">
        <f t="shared" si="22"/>
        <v>16784.647875</v>
      </c>
      <c r="N18" s="33">
        <f t="shared" si="8"/>
        <v>16784.647875</v>
      </c>
      <c r="O18" s="20">
        <f>M$6*'2008A'!$F18</f>
        <v>587.979</v>
      </c>
      <c r="R18" s="51">
        <f t="shared" si="23"/>
        <v>39395.2677492</v>
      </c>
      <c r="S18" s="51">
        <f t="shared" si="9"/>
        <v>39395.2677492</v>
      </c>
      <c r="T18" s="20">
        <f>R$6*'2008A'!$F18</f>
        <v>1380.0462368</v>
      </c>
      <c r="W18" s="33">
        <f t="shared" si="24"/>
        <v>1139.8640868</v>
      </c>
      <c r="X18" s="33">
        <f t="shared" si="2"/>
        <v>1139.8640868</v>
      </c>
      <c r="Y18" s="20">
        <f>W$6*'2008A'!$F18</f>
        <v>39.9303072</v>
      </c>
      <c r="AA18" s="51"/>
      <c r="AB18" s="33">
        <f t="shared" si="25"/>
        <v>559.4882625</v>
      </c>
      <c r="AC18" s="33">
        <f t="shared" si="3"/>
        <v>559.4882625</v>
      </c>
      <c r="AD18" s="20">
        <f>AB$6*'2008A'!$F18</f>
        <v>19.5993</v>
      </c>
      <c r="AG18" s="33">
        <f t="shared" si="26"/>
        <v>4579.3492632</v>
      </c>
      <c r="AH18" s="33">
        <f t="shared" si="27"/>
        <v>4579.3492632</v>
      </c>
      <c r="AI18" s="20">
        <f>AG$6*'2008A'!$F18</f>
        <v>160.41809279999998</v>
      </c>
      <c r="AL18" s="33">
        <f t="shared" si="11"/>
        <v>831.5238888</v>
      </c>
      <c r="AM18" s="33">
        <f t="shared" si="4"/>
        <v>831.5238888</v>
      </c>
      <c r="AN18" s="20">
        <f>AL$6*'2008A'!$F18</f>
        <v>29.1289152</v>
      </c>
      <c r="AQ18" s="33">
        <f t="shared" si="28"/>
        <v>11604.201</v>
      </c>
      <c r="AR18" s="33">
        <f t="shared" si="12"/>
        <v>11604.201</v>
      </c>
      <c r="AS18" s="20">
        <f>AQ$6*'2008A'!$F18</f>
        <v>406.504</v>
      </c>
      <c r="AV18" s="33">
        <f t="shared" si="29"/>
        <v>8583.2959311</v>
      </c>
      <c r="AW18" s="33">
        <f t="shared" si="30"/>
        <v>8583.2959311</v>
      </c>
      <c r="AX18" s="20">
        <f>AV$6*'2008A'!$F18</f>
        <v>300.67939440000004</v>
      </c>
      <c r="AZ18" s="51"/>
      <c r="BA18" s="51">
        <f t="shared" si="14"/>
        <v>4539.894979799999</v>
      </c>
      <c r="BB18" s="33">
        <f t="shared" si="5"/>
        <v>4539.894979799999</v>
      </c>
      <c r="BC18" s="20">
        <f>BA$6*'2008A'!$F18</f>
        <v>159.03597919999999</v>
      </c>
      <c r="BE18" s="51"/>
      <c r="BF18" s="51">
        <f t="shared" si="31"/>
        <v>12944.3204412</v>
      </c>
      <c r="BG18" s="33">
        <f t="shared" si="64"/>
        <v>12944.3204412</v>
      </c>
      <c r="BH18" s="20">
        <f>BF$6*'2008A'!$F18</f>
        <v>453.4494048</v>
      </c>
      <c r="BK18" s="33">
        <f t="shared" si="32"/>
        <v>6082.093292699999</v>
      </c>
      <c r="BL18" s="33">
        <f t="shared" si="6"/>
        <v>6082.093292699999</v>
      </c>
      <c r="BM18" s="20">
        <f>BK$6*'2008A'!$F18</f>
        <v>213.0603608</v>
      </c>
      <c r="BP18" s="33">
        <f t="shared" si="33"/>
        <v>4401.8049879</v>
      </c>
      <c r="BQ18" s="33">
        <f t="shared" si="65"/>
        <v>4401.8049879</v>
      </c>
      <c r="BR18" s="20">
        <f>BP$6*'2008A'!$F18</f>
        <v>154.1985816</v>
      </c>
      <c r="BU18" s="33">
        <f t="shared" si="34"/>
        <v>6335.727971699999</v>
      </c>
      <c r="BV18" s="33">
        <f t="shared" si="35"/>
        <v>6335.727971699999</v>
      </c>
      <c r="BW18" s="20">
        <f>BU$6*'2008A'!$F18</f>
        <v>221.9453768</v>
      </c>
      <c r="BZ18" s="33">
        <f t="shared" si="36"/>
        <v>1303.1517723</v>
      </c>
      <c r="CA18" s="33">
        <f t="shared" si="15"/>
        <v>1303.1517723</v>
      </c>
      <c r="CB18" s="20">
        <f>BZ$6*'2008A'!$F18</f>
        <v>45.650399199999995</v>
      </c>
      <c r="CE18" s="33">
        <f t="shared" si="37"/>
        <v>4943.8869489</v>
      </c>
      <c r="CF18" s="33">
        <f t="shared" si="38"/>
        <v>4943.8869489</v>
      </c>
      <c r="CG18" s="20">
        <f>CE$6*'2008A'!$F18</f>
        <v>173.18812559999998</v>
      </c>
      <c r="CJ18" s="33">
        <f t="shared" si="39"/>
        <v>1233.1950177</v>
      </c>
      <c r="CK18" s="33">
        <f t="shared" si="66"/>
        <v>1233.1950177</v>
      </c>
      <c r="CL18" s="20">
        <f>CJ$6*'2008A'!$F18</f>
        <v>43.1997608</v>
      </c>
      <c r="CO18" s="33">
        <f t="shared" si="40"/>
        <v>4955.1596013</v>
      </c>
      <c r="CP18" s="33">
        <f t="shared" si="16"/>
        <v>4955.1596013</v>
      </c>
      <c r="CQ18" s="20">
        <f>CO$6*'2008A'!$F18</f>
        <v>173.5830152</v>
      </c>
      <c r="CT18" s="33">
        <f t="shared" si="41"/>
        <v>27732.879969899997</v>
      </c>
      <c r="CU18" s="33">
        <f t="shared" si="17"/>
        <v>27732.879969899997</v>
      </c>
      <c r="CV18" s="20">
        <f>CT$6*'2008A'!$F18</f>
        <v>971.5039095999999</v>
      </c>
      <c r="CY18" s="33">
        <f t="shared" si="42"/>
        <v>80.5663098</v>
      </c>
      <c r="CZ18" s="33">
        <f t="shared" si="18"/>
        <v>80.5663098</v>
      </c>
      <c r="DA18" s="20">
        <f>CY$6*'2008A'!$F18</f>
        <v>2.8222992000000002</v>
      </c>
      <c r="DD18" s="33">
        <f t="shared" si="43"/>
        <v>5287.702847099999</v>
      </c>
      <c r="DE18" s="33">
        <f t="shared" si="19"/>
        <v>5287.702847099999</v>
      </c>
      <c r="DF18" s="20">
        <f>DD$6*'2008A'!$F18</f>
        <v>185.2322584</v>
      </c>
      <c r="DI18" s="33">
        <f t="shared" si="44"/>
        <v>4642.1777229</v>
      </c>
      <c r="DJ18" s="33">
        <f t="shared" si="20"/>
        <v>4642.1777229</v>
      </c>
      <c r="DK18" s="20">
        <f>DI$6*'2008A'!$F18</f>
        <v>162.6190216</v>
      </c>
    </row>
    <row r="19" spans="1:115" ht="12.75">
      <c r="A19" s="19">
        <v>42095</v>
      </c>
      <c r="C19" s="35">
        <v>3700000</v>
      </c>
      <c r="D19" s="35">
        <v>1657743</v>
      </c>
      <c r="E19" s="35">
        <f t="shared" si="0"/>
        <v>5357743</v>
      </c>
      <c r="G19" s="71">
        <f t="shared" si="7"/>
        <v>374878.82</v>
      </c>
      <c r="H19" s="51">
        <f t="shared" si="1"/>
        <v>167960.1999198</v>
      </c>
      <c r="I19" s="51">
        <f t="shared" si="21"/>
        <v>542839.0199198</v>
      </c>
      <c r="J19" s="51">
        <f t="shared" si="1"/>
        <v>5883.7737392</v>
      </c>
      <c r="L19" s="33">
        <f t="shared" si="45"/>
        <v>37462.5</v>
      </c>
      <c r="M19" s="33">
        <f t="shared" si="22"/>
        <v>16784.647875</v>
      </c>
      <c r="N19" s="33">
        <f t="shared" si="8"/>
        <v>54247.147874999995</v>
      </c>
      <c r="O19" s="20">
        <f>M$6*'2008A'!$F19</f>
        <v>587.979</v>
      </c>
      <c r="Q19" s="33">
        <f t="shared" si="46"/>
        <v>87928.28</v>
      </c>
      <c r="R19" s="51">
        <f t="shared" si="23"/>
        <v>39395.2677492</v>
      </c>
      <c r="S19" s="51">
        <f t="shared" si="9"/>
        <v>127323.54774919999</v>
      </c>
      <c r="T19" s="20">
        <f>R$6*'2008A'!$F19</f>
        <v>1380.0462368</v>
      </c>
      <c r="V19" s="33">
        <f t="shared" si="47"/>
        <v>2544.12</v>
      </c>
      <c r="W19" s="33">
        <f t="shared" si="24"/>
        <v>1139.8640868</v>
      </c>
      <c r="X19" s="33">
        <f t="shared" si="2"/>
        <v>3683.9840868</v>
      </c>
      <c r="Y19" s="20">
        <f>W$6*'2008A'!$F19</f>
        <v>39.9303072</v>
      </c>
      <c r="AA19" s="51">
        <f t="shared" si="48"/>
        <v>1248.7500000000002</v>
      </c>
      <c r="AB19" s="33">
        <f t="shared" si="25"/>
        <v>559.4882625</v>
      </c>
      <c r="AC19" s="33">
        <f t="shared" si="3"/>
        <v>1808.2382625000002</v>
      </c>
      <c r="AD19" s="20">
        <f>AB$6*'2008A'!$F19</f>
        <v>19.5993</v>
      </c>
      <c r="AF19" s="33">
        <f t="shared" si="49"/>
        <v>10220.88</v>
      </c>
      <c r="AG19" s="33">
        <f t="shared" si="26"/>
        <v>4579.3492632</v>
      </c>
      <c r="AH19" s="33">
        <f t="shared" si="27"/>
        <v>14800.229263199999</v>
      </c>
      <c r="AI19" s="20">
        <f>AG$6*'2008A'!$F19</f>
        <v>160.41809279999998</v>
      </c>
      <c r="AK19" s="33">
        <f t="shared" si="10"/>
        <v>1855.92</v>
      </c>
      <c r="AL19" s="33">
        <f t="shared" si="11"/>
        <v>831.5238888</v>
      </c>
      <c r="AM19" s="33">
        <f t="shared" si="4"/>
        <v>2687.4438888</v>
      </c>
      <c r="AN19" s="20">
        <f>AL$6*'2008A'!$F19</f>
        <v>29.1289152</v>
      </c>
      <c r="AP19" s="33">
        <f t="shared" si="50"/>
        <v>25900</v>
      </c>
      <c r="AQ19" s="33">
        <f t="shared" si="28"/>
        <v>11604.201</v>
      </c>
      <c r="AR19" s="33">
        <f t="shared" si="12"/>
        <v>37504.201</v>
      </c>
      <c r="AS19" s="20">
        <f>AQ$6*'2008A'!$F19</f>
        <v>406.504</v>
      </c>
      <c r="AU19" s="33">
        <f t="shared" si="51"/>
        <v>19157.489999999998</v>
      </c>
      <c r="AV19" s="33">
        <f t="shared" si="29"/>
        <v>8583.2959311</v>
      </c>
      <c r="AW19" s="33">
        <f t="shared" si="30"/>
        <v>27740.7859311</v>
      </c>
      <c r="AX19" s="20">
        <f>AV$6*'2008A'!$F19</f>
        <v>300.67939440000004</v>
      </c>
      <c r="AZ19" s="51">
        <f t="shared" si="13"/>
        <v>10132.82</v>
      </c>
      <c r="BA19" s="51">
        <f t="shared" si="14"/>
        <v>4539.894979799999</v>
      </c>
      <c r="BB19" s="33">
        <f t="shared" si="5"/>
        <v>14672.7149798</v>
      </c>
      <c r="BC19" s="20">
        <f>BA$6*'2008A'!$F19</f>
        <v>159.03597919999999</v>
      </c>
      <c r="BE19" s="51">
        <f t="shared" si="52"/>
        <v>28891.08</v>
      </c>
      <c r="BF19" s="51">
        <f t="shared" si="31"/>
        <v>12944.3204412</v>
      </c>
      <c r="BG19" s="33">
        <f t="shared" si="64"/>
        <v>41835.4004412</v>
      </c>
      <c r="BH19" s="20">
        <f>BF$6*'2008A'!$F19</f>
        <v>453.4494048</v>
      </c>
      <c r="BJ19" s="33">
        <f t="shared" si="53"/>
        <v>13574.93</v>
      </c>
      <c r="BK19" s="33">
        <f t="shared" si="32"/>
        <v>6082.093292699999</v>
      </c>
      <c r="BL19" s="33">
        <f t="shared" si="6"/>
        <v>19657.0232927</v>
      </c>
      <c r="BM19" s="20">
        <f>BK$6*'2008A'!$F19</f>
        <v>213.0603608</v>
      </c>
      <c r="BO19" s="33">
        <f t="shared" si="54"/>
        <v>9824.61</v>
      </c>
      <c r="BP19" s="33">
        <f t="shared" si="33"/>
        <v>4401.8049879</v>
      </c>
      <c r="BQ19" s="33">
        <f t="shared" si="65"/>
        <v>14226.4149879</v>
      </c>
      <c r="BR19" s="20">
        <f>BP$6*'2008A'!$F19</f>
        <v>154.1985816</v>
      </c>
      <c r="BT19" s="33">
        <f t="shared" si="55"/>
        <v>14141.03</v>
      </c>
      <c r="BU19" s="33">
        <f t="shared" si="34"/>
        <v>6335.727971699999</v>
      </c>
      <c r="BV19" s="33">
        <f t="shared" si="35"/>
        <v>20476.7579717</v>
      </c>
      <c r="BW19" s="20">
        <f>BU$6*'2008A'!$F19</f>
        <v>221.9453768</v>
      </c>
      <c r="BY19" s="33">
        <f t="shared" si="56"/>
        <v>2908.57</v>
      </c>
      <c r="BZ19" s="33">
        <f t="shared" si="36"/>
        <v>1303.1517723</v>
      </c>
      <c r="CA19" s="33">
        <f t="shared" si="15"/>
        <v>4211.7217723</v>
      </c>
      <c r="CB19" s="20">
        <f>BZ$6*'2008A'!$F19</f>
        <v>45.650399199999995</v>
      </c>
      <c r="CD19" s="33">
        <f t="shared" si="57"/>
        <v>11034.51</v>
      </c>
      <c r="CE19" s="33">
        <f t="shared" si="37"/>
        <v>4943.8869489</v>
      </c>
      <c r="CF19" s="33">
        <f t="shared" si="38"/>
        <v>15978.396948900001</v>
      </c>
      <c r="CG19" s="20">
        <f>CE$6*'2008A'!$F19</f>
        <v>173.18812559999998</v>
      </c>
      <c r="CI19" s="33">
        <f t="shared" si="58"/>
        <v>2752.43</v>
      </c>
      <c r="CJ19" s="33">
        <f t="shared" si="39"/>
        <v>1233.1950177</v>
      </c>
      <c r="CK19" s="33">
        <f t="shared" si="66"/>
        <v>3985.6250177</v>
      </c>
      <c r="CL19" s="20">
        <f>CJ$6*'2008A'!$F19</f>
        <v>43.1997608</v>
      </c>
      <c r="CN19" s="33">
        <f t="shared" si="59"/>
        <v>11059.67</v>
      </c>
      <c r="CO19" s="33">
        <f t="shared" si="40"/>
        <v>4955.1596013</v>
      </c>
      <c r="CP19" s="33">
        <f t="shared" si="16"/>
        <v>16014.8296013</v>
      </c>
      <c r="CQ19" s="20">
        <f>CO$6*'2008A'!$F19</f>
        <v>173.5830152</v>
      </c>
      <c r="CS19" s="33">
        <f t="shared" si="60"/>
        <v>61898.41</v>
      </c>
      <c r="CT19" s="33">
        <f t="shared" si="41"/>
        <v>27732.879969899997</v>
      </c>
      <c r="CU19" s="33">
        <f t="shared" si="17"/>
        <v>89631.2899699</v>
      </c>
      <c r="CV19" s="20">
        <f>CT$6*'2008A'!$F19</f>
        <v>971.5039095999999</v>
      </c>
      <c r="CX19" s="33">
        <f t="shared" si="61"/>
        <v>179.82</v>
      </c>
      <c r="CY19" s="33">
        <f t="shared" si="42"/>
        <v>80.5663098</v>
      </c>
      <c r="CZ19" s="33">
        <f t="shared" si="18"/>
        <v>260.3863098</v>
      </c>
      <c r="DA19" s="20">
        <f>CY$6*'2008A'!$F19</f>
        <v>2.8222992000000002</v>
      </c>
      <c r="DC19" s="33">
        <f t="shared" si="62"/>
        <v>11801.89</v>
      </c>
      <c r="DD19" s="33">
        <f t="shared" si="43"/>
        <v>5287.702847099999</v>
      </c>
      <c r="DE19" s="33">
        <f t="shared" si="19"/>
        <v>17089.5928471</v>
      </c>
      <c r="DF19" s="20">
        <f>DD$6*'2008A'!$F19</f>
        <v>185.2322584</v>
      </c>
      <c r="DH19" s="33">
        <f t="shared" si="63"/>
        <v>10361.11</v>
      </c>
      <c r="DI19" s="33">
        <f t="shared" si="44"/>
        <v>4642.1777229</v>
      </c>
      <c r="DJ19" s="33">
        <f t="shared" si="20"/>
        <v>15003.2877229</v>
      </c>
      <c r="DK19" s="20">
        <f>DI$6*'2008A'!$F19</f>
        <v>162.6190216</v>
      </c>
    </row>
    <row r="20" spans="1:115" ht="12.75">
      <c r="A20" s="19">
        <v>42278</v>
      </c>
      <c r="D20" s="35">
        <v>1565243</v>
      </c>
      <c r="E20" s="35">
        <f t="shared" si="0"/>
        <v>1565243</v>
      </c>
      <c r="G20" s="71"/>
      <c r="H20" s="51">
        <f t="shared" si="1"/>
        <v>158588.22941980002</v>
      </c>
      <c r="I20" s="51">
        <f t="shared" si="21"/>
        <v>158588.22941980002</v>
      </c>
      <c r="J20" s="51">
        <f t="shared" si="1"/>
        <v>5883.7737392</v>
      </c>
      <c r="M20" s="33">
        <f t="shared" si="22"/>
        <v>15848.085374999999</v>
      </c>
      <c r="N20" s="33">
        <f t="shared" si="8"/>
        <v>15848.085374999999</v>
      </c>
      <c r="O20" s="20">
        <f>M$6*'2008A'!$F20</f>
        <v>587.979</v>
      </c>
      <c r="R20" s="51">
        <f t="shared" si="23"/>
        <v>37197.0607492</v>
      </c>
      <c r="S20" s="51">
        <f t="shared" si="9"/>
        <v>37197.0607492</v>
      </c>
      <c r="T20" s="20">
        <f>R$6*'2008A'!$F20</f>
        <v>1380.0462368</v>
      </c>
      <c r="W20" s="33">
        <f t="shared" si="24"/>
        <v>1076.2610868000002</v>
      </c>
      <c r="X20" s="33">
        <f t="shared" si="2"/>
        <v>1076.2610868000002</v>
      </c>
      <c r="Y20" s="20">
        <f>W$6*'2008A'!$F20</f>
        <v>39.9303072</v>
      </c>
      <c r="AA20" s="51"/>
      <c r="AB20" s="33">
        <f t="shared" si="25"/>
        <v>528.2695125</v>
      </c>
      <c r="AC20" s="33">
        <f t="shared" si="3"/>
        <v>528.2695125</v>
      </c>
      <c r="AD20" s="20">
        <f>AB$6*'2008A'!$F20</f>
        <v>19.5993</v>
      </c>
      <c r="AG20" s="33">
        <f t="shared" si="26"/>
        <v>4323.8272632</v>
      </c>
      <c r="AH20" s="33">
        <f t="shared" si="27"/>
        <v>4323.8272632</v>
      </c>
      <c r="AI20" s="20">
        <f>AG$6*'2008A'!$F20</f>
        <v>160.41809279999998</v>
      </c>
      <c r="AL20" s="33">
        <f t="shared" si="11"/>
        <v>785.1258888000001</v>
      </c>
      <c r="AM20" s="33">
        <f t="shared" si="4"/>
        <v>785.1258888000001</v>
      </c>
      <c r="AN20" s="20">
        <f>AL$6*'2008A'!$F20</f>
        <v>29.1289152</v>
      </c>
      <c r="AQ20" s="33">
        <f t="shared" si="28"/>
        <v>10956.701</v>
      </c>
      <c r="AR20" s="33">
        <f t="shared" si="12"/>
        <v>10956.701</v>
      </c>
      <c r="AS20" s="20">
        <f>AQ$6*'2008A'!$F20</f>
        <v>406.504</v>
      </c>
      <c r="AV20" s="33">
        <f t="shared" si="29"/>
        <v>8104.3586811</v>
      </c>
      <c r="AW20" s="33">
        <f t="shared" si="30"/>
        <v>8104.3586811</v>
      </c>
      <c r="AX20" s="20">
        <f>AV$6*'2008A'!$F20</f>
        <v>300.67939440000004</v>
      </c>
      <c r="AZ20" s="51"/>
      <c r="BA20" s="51">
        <f t="shared" si="14"/>
        <v>4286.5744798</v>
      </c>
      <c r="BB20" s="33">
        <f t="shared" si="5"/>
        <v>4286.5744798</v>
      </c>
      <c r="BC20" s="20">
        <f>BA$6*'2008A'!$F20</f>
        <v>159.03597919999999</v>
      </c>
      <c r="BE20" s="51"/>
      <c r="BF20" s="51">
        <f t="shared" si="31"/>
        <v>12222.0434412</v>
      </c>
      <c r="BG20" s="33">
        <f t="shared" si="64"/>
        <v>12222.0434412</v>
      </c>
      <c r="BH20" s="20">
        <f>BF$6*'2008A'!$F20</f>
        <v>453.4494048</v>
      </c>
      <c r="BK20" s="33">
        <f t="shared" si="32"/>
        <v>5742.720042700001</v>
      </c>
      <c r="BL20" s="33">
        <f t="shared" si="6"/>
        <v>5742.720042700001</v>
      </c>
      <c r="BM20" s="20">
        <f>BK$6*'2008A'!$F20</f>
        <v>213.0603608</v>
      </c>
      <c r="BP20" s="33">
        <f t="shared" si="33"/>
        <v>4156.189737899999</v>
      </c>
      <c r="BQ20" s="33">
        <f t="shared" si="65"/>
        <v>4156.189737899999</v>
      </c>
      <c r="BR20" s="20">
        <f>BP$6*'2008A'!$F20</f>
        <v>154.1985816</v>
      </c>
      <c r="BU20" s="33">
        <f t="shared" si="34"/>
        <v>5982.202221699999</v>
      </c>
      <c r="BV20" s="33">
        <f t="shared" si="35"/>
        <v>5982.202221699999</v>
      </c>
      <c r="BW20" s="20">
        <f>BU$6*'2008A'!$F20</f>
        <v>221.9453768</v>
      </c>
      <c r="BZ20" s="33">
        <f t="shared" si="36"/>
        <v>1230.4375223</v>
      </c>
      <c r="CA20" s="33">
        <f t="shared" si="15"/>
        <v>1230.4375223</v>
      </c>
      <c r="CB20" s="20">
        <f>BZ$6*'2008A'!$F20</f>
        <v>45.650399199999995</v>
      </c>
      <c r="CE20" s="33">
        <f t="shared" si="37"/>
        <v>4668.024198900001</v>
      </c>
      <c r="CF20" s="33">
        <f t="shared" si="38"/>
        <v>4668.024198900001</v>
      </c>
      <c r="CG20" s="20">
        <f>CE$6*'2008A'!$F20</f>
        <v>173.18812559999998</v>
      </c>
      <c r="CJ20" s="33">
        <f t="shared" si="39"/>
        <v>1164.3842677</v>
      </c>
      <c r="CK20" s="33">
        <f t="shared" si="66"/>
        <v>1164.3842677</v>
      </c>
      <c r="CL20" s="20">
        <f>CJ$6*'2008A'!$F20</f>
        <v>43.1997608</v>
      </c>
      <c r="CO20" s="33">
        <f t="shared" si="40"/>
        <v>4678.667851300001</v>
      </c>
      <c r="CP20" s="33">
        <f t="shared" si="16"/>
        <v>4678.667851300001</v>
      </c>
      <c r="CQ20" s="20">
        <f>CO$6*'2008A'!$F20</f>
        <v>173.5830152</v>
      </c>
      <c r="CT20" s="33">
        <f t="shared" si="41"/>
        <v>26185.4197199</v>
      </c>
      <c r="CU20" s="33">
        <f t="shared" si="17"/>
        <v>26185.4197199</v>
      </c>
      <c r="CV20" s="20">
        <f>CT$6*'2008A'!$F20</f>
        <v>971.5039095999999</v>
      </c>
      <c r="CY20" s="33">
        <f t="shared" si="42"/>
        <v>76.07080979999999</v>
      </c>
      <c r="CZ20" s="33">
        <f t="shared" si="18"/>
        <v>76.07080979999999</v>
      </c>
      <c r="DA20" s="20">
        <f>CY$6*'2008A'!$F20</f>
        <v>2.8222992000000002</v>
      </c>
      <c r="DD20" s="33">
        <f t="shared" si="43"/>
        <v>4992.6555971</v>
      </c>
      <c r="DE20" s="33">
        <f t="shared" si="19"/>
        <v>4992.6555971</v>
      </c>
      <c r="DF20" s="20">
        <f>DD$6*'2008A'!$F20</f>
        <v>185.2322584</v>
      </c>
      <c r="DI20" s="33">
        <f t="shared" si="44"/>
        <v>4383.149972900001</v>
      </c>
      <c r="DJ20" s="33">
        <f t="shared" si="20"/>
        <v>4383.149972900001</v>
      </c>
      <c r="DK20" s="20">
        <f>DI$6*'2008A'!$F20</f>
        <v>162.6190216</v>
      </c>
    </row>
    <row r="21" spans="1:115" ht="12.75">
      <c r="A21" s="19">
        <v>42461</v>
      </c>
      <c r="C21" s="35">
        <v>3885000</v>
      </c>
      <c r="D21" s="35">
        <v>1565243</v>
      </c>
      <c r="E21" s="35">
        <f t="shared" si="0"/>
        <v>5450243</v>
      </c>
      <c r="G21" s="71">
        <f t="shared" si="7"/>
        <v>393622.761</v>
      </c>
      <c r="H21" s="51">
        <f t="shared" si="1"/>
        <v>158588.22941980002</v>
      </c>
      <c r="I21" s="51">
        <f t="shared" si="21"/>
        <v>552210.9904198</v>
      </c>
      <c r="J21" s="51">
        <f t="shared" si="1"/>
        <v>5883.7737392</v>
      </c>
      <c r="L21" s="33">
        <f t="shared" si="45"/>
        <v>39335.625</v>
      </c>
      <c r="M21" s="33">
        <f t="shared" si="22"/>
        <v>15848.085374999999</v>
      </c>
      <c r="N21" s="33">
        <f t="shared" si="8"/>
        <v>55183.710374999995</v>
      </c>
      <c r="O21" s="20">
        <f>M$6*'2008A'!$F21</f>
        <v>587.979</v>
      </c>
      <c r="Q21" s="33">
        <f t="shared" si="46"/>
        <v>92324.694</v>
      </c>
      <c r="R21" s="51">
        <f t="shared" si="23"/>
        <v>37197.0607492</v>
      </c>
      <c r="S21" s="51">
        <f t="shared" si="9"/>
        <v>129521.7547492</v>
      </c>
      <c r="T21" s="20">
        <f>R$6*'2008A'!$F21</f>
        <v>1380.0462368</v>
      </c>
      <c r="V21" s="33">
        <f t="shared" si="47"/>
        <v>2671.3260000000005</v>
      </c>
      <c r="W21" s="33">
        <f t="shared" si="24"/>
        <v>1076.2610868000002</v>
      </c>
      <c r="X21" s="33">
        <f t="shared" si="2"/>
        <v>3747.5870868000006</v>
      </c>
      <c r="Y21" s="20">
        <f>W$6*'2008A'!$F21</f>
        <v>39.9303072</v>
      </c>
      <c r="AA21" s="51">
        <f t="shared" si="48"/>
        <v>1311.1875</v>
      </c>
      <c r="AB21" s="33">
        <f t="shared" si="25"/>
        <v>528.2695125</v>
      </c>
      <c r="AC21" s="33">
        <f t="shared" si="3"/>
        <v>1839.4570125</v>
      </c>
      <c r="AD21" s="20">
        <f>AB$6*'2008A'!$F21</f>
        <v>19.5993</v>
      </c>
      <c r="AF21" s="33">
        <f t="shared" si="49"/>
        <v>10731.923999999999</v>
      </c>
      <c r="AG21" s="33">
        <f t="shared" si="26"/>
        <v>4323.8272632</v>
      </c>
      <c r="AH21" s="33">
        <f t="shared" si="27"/>
        <v>15055.7512632</v>
      </c>
      <c r="AI21" s="20">
        <f>AG$6*'2008A'!$F21</f>
        <v>160.41809279999998</v>
      </c>
      <c r="AK21" s="33">
        <f t="shared" si="10"/>
        <v>1948.7160000000001</v>
      </c>
      <c r="AL21" s="33">
        <f t="shared" si="11"/>
        <v>785.1258888000001</v>
      </c>
      <c r="AM21" s="33">
        <f t="shared" si="4"/>
        <v>2733.8418888</v>
      </c>
      <c r="AN21" s="20">
        <f>AL$6*'2008A'!$F21</f>
        <v>29.1289152</v>
      </c>
      <c r="AP21" s="33">
        <f t="shared" si="50"/>
        <v>27195</v>
      </c>
      <c r="AQ21" s="33">
        <f t="shared" si="28"/>
        <v>10956.701</v>
      </c>
      <c r="AR21" s="33">
        <f t="shared" si="12"/>
        <v>38151.701</v>
      </c>
      <c r="AS21" s="20">
        <f>AQ$6*'2008A'!$F21</f>
        <v>406.504</v>
      </c>
      <c r="AU21" s="33">
        <f t="shared" si="51"/>
        <v>20115.364499999996</v>
      </c>
      <c r="AV21" s="33">
        <f t="shared" si="29"/>
        <v>8104.3586811</v>
      </c>
      <c r="AW21" s="33">
        <f t="shared" si="30"/>
        <v>28219.723181099995</v>
      </c>
      <c r="AX21" s="20">
        <f>AV$6*'2008A'!$F21</f>
        <v>300.67939440000004</v>
      </c>
      <c r="AZ21" s="51">
        <f t="shared" si="13"/>
        <v>10639.461</v>
      </c>
      <c r="BA21" s="51">
        <f t="shared" si="14"/>
        <v>4286.5744798</v>
      </c>
      <c r="BB21" s="33">
        <f t="shared" si="5"/>
        <v>14926.035479799999</v>
      </c>
      <c r="BC21" s="20">
        <f>BA$6*'2008A'!$F21</f>
        <v>159.03597919999999</v>
      </c>
      <c r="BE21" s="51">
        <f t="shared" si="52"/>
        <v>30335.634</v>
      </c>
      <c r="BF21" s="51">
        <f t="shared" si="31"/>
        <v>12222.0434412</v>
      </c>
      <c r="BG21" s="33">
        <f t="shared" si="64"/>
        <v>42557.677441199994</v>
      </c>
      <c r="BH21" s="20">
        <f>BF$6*'2008A'!$F21</f>
        <v>453.4494048</v>
      </c>
      <c r="BJ21" s="33">
        <f t="shared" si="53"/>
        <v>14253.6765</v>
      </c>
      <c r="BK21" s="33">
        <f t="shared" si="32"/>
        <v>5742.720042700001</v>
      </c>
      <c r="BL21" s="33">
        <f t="shared" si="6"/>
        <v>19996.3965427</v>
      </c>
      <c r="BM21" s="20">
        <f>BK$6*'2008A'!$F21</f>
        <v>213.0603608</v>
      </c>
      <c r="BO21" s="33">
        <f t="shared" si="54"/>
        <v>10315.840499999998</v>
      </c>
      <c r="BP21" s="33">
        <f t="shared" si="33"/>
        <v>4156.189737899999</v>
      </c>
      <c r="BQ21" s="33">
        <f t="shared" si="65"/>
        <v>14472.030237899999</v>
      </c>
      <c r="BR21" s="20">
        <f>BP$6*'2008A'!$F21</f>
        <v>154.1985816</v>
      </c>
      <c r="BT21" s="33">
        <f t="shared" si="55"/>
        <v>14848.081499999998</v>
      </c>
      <c r="BU21" s="33">
        <f t="shared" si="34"/>
        <v>5982.202221699999</v>
      </c>
      <c r="BV21" s="33">
        <f t="shared" si="35"/>
        <v>20830.283721699998</v>
      </c>
      <c r="BW21" s="20">
        <f>BU$6*'2008A'!$F21</f>
        <v>221.9453768</v>
      </c>
      <c r="BY21" s="33">
        <f t="shared" si="56"/>
        <v>3053.9984999999997</v>
      </c>
      <c r="BZ21" s="33">
        <f t="shared" si="36"/>
        <v>1230.4375223</v>
      </c>
      <c r="CA21" s="33">
        <f t="shared" si="15"/>
        <v>4284.436022299999</v>
      </c>
      <c r="CB21" s="20">
        <f>BZ$6*'2008A'!$F21</f>
        <v>45.650399199999995</v>
      </c>
      <c r="CD21" s="33">
        <f t="shared" si="57"/>
        <v>11586.2355</v>
      </c>
      <c r="CE21" s="33">
        <f t="shared" si="37"/>
        <v>4668.024198900001</v>
      </c>
      <c r="CF21" s="33">
        <f t="shared" si="38"/>
        <v>16254.259698900001</v>
      </c>
      <c r="CG21" s="20">
        <f>CE$6*'2008A'!$F21</f>
        <v>173.18812559999998</v>
      </c>
      <c r="CI21" s="33">
        <f t="shared" si="58"/>
        <v>2890.0514999999996</v>
      </c>
      <c r="CJ21" s="33">
        <f t="shared" si="39"/>
        <v>1164.3842677</v>
      </c>
      <c r="CK21" s="33">
        <f t="shared" si="66"/>
        <v>4054.4357677</v>
      </c>
      <c r="CL21" s="20">
        <f>CJ$6*'2008A'!$F21</f>
        <v>43.1997608</v>
      </c>
      <c r="CN21" s="33">
        <f t="shared" si="59"/>
        <v>11612.6535</v>
      </c>
      <c r="CO21" s="33">
        <f t="shared" si="40"/>
        <v>4678.667851300001</v>
      </c>
      <c r="CP21" s="33">
        <f t="shared" si="16"/>
        <v>16291.321351300001</v>
      </c>
      <c r="CQ21" s="20">
        <f>CO$6*'2008A'!$F21</f>
        <v>173.5830152</v>
      </c>
      <c r="CS21" s="33">
        <f t="shared" si="60"/>
        <v>64993.3305</v>
      </c>
      <c r="CT21" s="33">
        <f t="shared" si="41"/>
        <v>26185.4197199</v>
      </c>
      <c r="CU21" s="33">
        <f t="shared" si="17"/>
        <v>91178.7502199</v>
      </c>
      <c r="CV21" s="20">
        <f>CT$6*'2008A'!$F21</f>
        <v>971.5039095999999</v>
      </c>
      <c r="CX21" s="33">
        <f t="shared" si="61"/>
        <v>188.81099999999998</v>
      </c>
      <c r="CY21" s="33">
        <f t="shared" si="42"/>
        <v>76.07080979999999</v>
      </c>
      <c r="CZ21" s="33">
        <f t="shared" si="18"/>
        <v>264.8818098</v>
      </c>
      <c r="DA21" s="20">
        <f>CY$6*'2008A'!$F21</f>
        <v>2.8222992000000002</v>
      </c>
      <c r="DC21" s="33">
        <f t="shared" si="62"/>
        <v>12391.984499999999</v>
      </c>
      <c r="DD21" s="33">
        <f t="shared" si="43"/>
        <v>4992.6555971</v>
      </c>
      <c r="DE21" s="33">
        <f t="shared" si="19"/>
        <v>17384.640097099997</v>
      </c>
      <c r="DF21" s="20">
        <f>DD$6*'2008A'!$F21</f>
        <v>185.2322584</v>
      </c>
      <c r="DH21" s="33">
        <f t="shared" si="63"/>
        <v>10879.165500000001</v>
      </c>
      <c r="DI21" s="33">
        <f t="shared" si="44"/>
        <v>4383.149972900001</v>
      </c>
      <c r="DJ21" s="33">
        <f t="shared" si="20"/>
        <v>15262.315472900002</v>
      </c>
      <c r="DK21" s="20">
        <f>DI$6*'2008A'!$F21</f>
        <v>162.6190216</v>
      </c>
    </row>
    <row r="22" spans="1:115" ht="12.75">
      <c r="A22" s="19">
        <v>42644</v>
      </c>
      <c r="D22" s="35">
        <v>1468118</v>
      </c>
      <c r="E22" s="35">
        <f t="shared" si="0"/>
        <v>1468118</v>
      </c>
      <c r="G22" s="71"/>
      <c r="H22" s="51">
        <f t="shared" si="1"/>
        <v>148747.66039479998</v>
      </c>
      <c r="I22" s="51">
        <f t="shared" si="21"/>
        <v>148747.66039479998</v>
      </c>
      <c r="J22" s="51">
        <f t="shared" si="1"/>
        <v>5883.7737392</v>
      </c>
      <c r="M22" s="33">
        <f t="shared" si="22"/>
        <v>14864.694749999999</v>
      </c>
      <c r="N22" s="33">
        <f t="shared" si="8"/>
        <v>14864.694749999999</v>
      </c>
      <c r="O22" s="20">
        <f>M$6*'2008A'!$F22</f>
        <v>587.979</v>
      </c>
      <c r="R22" s="51">
        <f t="shared" si="23"/>
        <v>34888.943399200005</v>
      </c>
      <c r="S22" s="51">
        <f t="shared" si="9"/>
        <v>34888.943399200005</v>
      </c>
      <c r="T22" s="20">
        <f>R$6*'2008A'!$F22</f>
        <v>1380.0462368</v>
      </c>
      <c r="W22" s="33">
        <f t="shared" si="24"/>
        <v>1009.4779368000001</v>
      </c>
      <c r="X22" s="33">
        <f t="shared" si="2"/>
        <v>1009.4779368000001</v>
      </c>
      <c r="Y22" s="20">
        <f>W$6*'2008A'!$F22</f>
        <v>39.9303072</v>
      </c>
      <c r="AA22" s="51"/>
      <c r="AB22" s="33">
        <f t="shared" si="25"/>
        <v>495.48982500000005</v>
      </c>
      <c r="AC22" s="33">
        <f t="shared" si="3"/>
        <v>495.48982500000005</v>
      </c>
      <c r="AD22" s="20">
        <f>AB$6*'2008A'!$F22</f>
        <v>19.5993</v>
      </c>
      <c r="AG22" s="33">
        <f t="shared" si="26"/>
        <v>4055.5291631999994</v>
      </c>
      <c r="AH22" s="33">
        <f t="shared" si="27"/>
        <v>4055.5291631999994</v>
      </c>
      <c r="AI22" s="20">
        <f>AG$6*'2008A'!$F22</f>
        <v>160.41809279999998</v>
      </c>
      <c r="AL22" s="33">
        <f t="shared" si="11"/>
        <v>736.4079888</v>
      </c>
      <c r="AM22" s="33">
        <f t="shared" si="4"/>
        <v>736.4079888</v>
      </c>
      <c r="AN22" s="20">
        <f>AL$6*'2008A'!$F22</f>
        <v>29.1289152</v>
      </c>
      <c r="AQ22" s="33">
        <f t="shared" si="28"/>
        <v>10276.826</v>
      </c>
      <c r="AR22" s="33">
        <f t="shared" si="12"/>
        <v>10276.826</v>
      </c>
      <c r="AS22" s="20">
        <f>AQ$6*'2008A'!$F22</f>
        <v>406.504</v>
      </c>
      <c r="AV22" s="33">
        <f t="shared" si="29"/>
        <v>7601.474568599999</v>
      </c>
      <c r="AW22" s="33">
        <f t="shared" si="30"/>
        <v>7601.474568599999</v>
      </c>
      <c r="AX22" s="20">
        <f>AV$6*'2008A'!$F22</f>
        <v>300.67939440000004</v>
      </c>
      <c r="AZ22" s="51"/>
      <c r="BA22" s="51">
        <f t="shared" si="14"/>
        <v>4020.5879548</v>
      </c>
      <c r="BB22" s="33">
        <f t="shared" si="5"/>
        <v>4020.5879548</v>
      </c>
      <c r="BC22" s="20">
        <f>BA$6*'2008A'!$F22</f>
        <v>159.03597919999999</v>
      </c>
      <c r="BE22" s="51"/>
      <c r="BF22" s="51">
        <f t="shared" si="31"/>
        <v>11463.6525912</v>
      </c>
      <c r="BG22" s="33">
        <f t="shared" si="64"/>
        <v>11463.6525912</v>
      </c>
      <c r="BH22" s="20">
        <f>BF$6*'2008A'!$F22</f>
        <v>453.4494048</v>
      </c>
      <c r="BK22" s="33">
        <f t="shared" si="32"/>
        <v>5386.3781302</v>
      </c>
      <c r="BL22" s="33">
        <f t="shared" si="6"/>
        <v>5386.3781302</v>
      </c>
      <c r="BM22" s="20">
        <f>BK$6*'2008A'!$F22</f>
        <v>213.0603608</v>
      </c>
      <c r="BP22" s="33">
        <f t="shared" si="33"/>
        <v>3898.2937254000003</v>
      </c>
      <c r="BQ22" s="33">
        <f t="shared" si="65"/>
        <v>3898.2937254000003</v>
      </c>
      <c r="BR22" s="20">
        <f>BP$6*'2008A'!$F22</f>
        <v>154.1985816</v>
      </c>
      <c r="BU22" s="33">
        <f t="shared" si="34"/>
        <v>5611.0001842</v>
      </c>
      <c r="BV22" s="33">
        <f t="shared" si="35"/>
        <v>5611.0001842</v>
      </c>
      <c r="BW22" s="20">
        <f>BU$6*'2008A'!$F22</f>
        <v>221.9453768</v>
      </c>
      <c r="BZ22" s="33">
        <f t="shared" si="36"/>
        <v>1154.0875598</v>
      </c>
      <c r="CA22" s="33">
        <f t="shared" si="15"/>
        <v>1154.0875598</v>
      </c>
      <c r="CB22" s="20">
        <f>BZ$6*'2008A'!$F22</f>
        <v>45.650399199999995</v>
      </c>
      <c r="CE22" s="33">
        <f t="shared" si="37"/>
        <v>4378.3683114</v>
      </c>
      <c r="CF22" s="33">
        <f t="shared" si="38"/>
        <v>4378.3683114</v>
      </c>
      <c r="CG22" s="20">
        <f>CE$6*'2008A'!$F22</f>
        <v>173.18812559999998</v>
      </c>
      <c r="CJ22" s="33">
        <f t="shared" si="39"/>
        <v>1092.1329802</v>
      </c>
      <c r="CK22" s="33">
        <f t="shared" si="66"/>
        <v>1092.1329802</v>
      </c>
      <c r="CL22" s="20">
        <f>CJ$6*'2008A'!$F22</f>
        <v>43.1997608</v>
      </c>
      <c r="CO22" s="33">
        <f t="shared" si="40"/>
        <v>4388.3515138</v>
      </c>
      <c r="CP22" s="33">
        <f t="shared" si="16"/>
        <v>4388.3515138</v>
      </c>
      <c r="CQ22" s="20">
        <f>CO$6*'2008A'!$F22</f>
        <v>173.5830152</v>
      </c>
      <c r="CT22" s="33">
        <f t="shared" si="41"/>
        <v>24560.5864574</v>
      </c>
      <c r="CU22" s="33">
        <f t="shared" si="17"/>
        <v>24560.5864574</v>
      </c>
      <c r="CV22" s="20">
        <f>CT$6*'2008A'!$F22</f>
        <v>971.5039095999999</v>
      </c>
      <c r="CY22" s="33">
        <f t="shared" si="42"/>
        <v>71.35053479999999</v>
      </c>
      <c r="CZ22" s="33">
        <f t="shared" si="18"/>
        <v>71.35053479999999</v>
      </c>
      <c r="DA22" s="20">
        <f>CY$6*'2008A'!$F22</f>
        <v>2.8222992000000002</v>
      </c>
      <c r="DD22" s="33">
        <f t="shared" si="43"/>
        <v>4682.8559846</v>
      </c>
      <c r="DE22" s="33">
        <f t="shared" si="19"/>
        <v>4682.8559846</v>
      </c>
      <c r="DF22" s="20">
        <f>DD$6*'2008A'!$F22</f>
        <v>185.2322584</v>
      </c>
      <c r="DI22" s="33">
        <f t="shared" si="44"/>
        <v>4111.1708354</v>
      </c>
      <c r="DJ22" s="33">
        <f t="shared" si="20"/>
        <v>4111.1708354</v>
      </c>
      <c r="DK22" s="20">
        <f>DI$6*'2008A'!$F22</f>
        <v>162.6190216</v>
      </c>
    </row>
    <row r="23" spans="1:115" ht="12.75">
      <c r="A23" s="19">
        <v>42826</v>
      </c>
      <c r="C23" s="35">
        <v>4080000</v>
      </c>
      <c r="D23" s="35">
        <v>1468118</v>
      </c>
      <c r="E23" s="35">
        <f t="shared" si="0"/>
        <v>5548118</v>
      </c>
      <c r="G23" s="71">
        <f t="shared" si="7"/>
        <v>413379.88800000004</v>
      </c>
      <c r="H23" s="51">
        <f t="shared" si="1"/>
        <v>148747.66039479998</v>
      </c>
      <c r="I23" s="51">
        <f t="shared" si="21"/>
        <v>562127.5483948</v>
      </c>
      <c r="J23" s="51">
        <f t="shared" si="1"/>
        <v>5883.7737392</v>
      </c>
      <c r="L23" s="33">
        <f t="shared" si="45"/>
        <v>41310</v>
      </c>
      <c r="M23" s="33">
        <f t="shared" si="22"/>
        <v>14864.694749999999</v>
      </c>
      <c r="N23" s="33">
        <f t="shared" si="8"/>
        <v>56174.694749999995</v>
      </c>
      <c r="O23" s="20">
        <f>M$6*'2008A'!$F23</f>
        <v>587.979</v>
      </c>
      <c r="Q23" s="33">
        <f t="shared" si="46"/>
        <v>96958.75200000001</v>
      </c>
      <c r="R23" s="51">
        <f t="shared" si="23"/>
        <v>34888.943399200005</v>
      </c>
      <c r="S23" s="51">
        <f t="shared" si="9"/>
        <v>131847.69539920002</v>
      </c>
      <c r="T23" s="20">
        <f>R$6*'2008A'!$F23</f>
        <v>1380.0462368</v>
      </c>
      <c r="V23" s="33">
        <f t="shared" si="47"/>
        <v>2805.408</v>
      </c>
      <c r="W23" s="33">
        <f t="shared" si="24"/>
        <v>1009.4779368000001</v>
      </c>
      <c r="X23" s="33">
        <f t="shared" si="2"/>
        <v>3814.8859368</v>
      </c>
      <c r="Y23" s="20">
        <f>W$6*'2008A'!$F23</f>
        <v>39.9303072</v>
      </c>
      <c r="AA23" s="51">
        <f t="shared" si="48"/>
        <v>1377</v>
      </c>
      <c r="AB23" s="33">
        <f t="shared" si="25"/>
        <v>495.48982500000005</v>
      </c>
      <c r="AC23" s="33">
        <f t="shared" si="3"/>
        <v>1872.489825</v>
      </c>
      <c r="AD23" s="20">
        <f>AB$6*'2008A'!$F23</f>
        <v>19.5993</v>
      </c>
      <c r="AF23" s="33">
        <f t="shared" si="49"/>
        <v>11270.591999999999</v>
      </c>
      <c r="AG23" s="33">
        <f t="shared" si="26"/>
        <v>4055.5291631999994</v>
      </c>
      <c r="AH23" s="33">
        <f t="shared" si="27"/>
        <v>15326.121163199998</v>
      </c>
      <c r="AI23" s="20">
        <f>AG$6*'2008A'!$F23</f>
        <v>160.41809279999998</v>
      </c>
      <c r="AK23" s="33">
        <f t="shared" si="10"/>
        <v>2046.5280000000002</v>
      </c>
      <c r="AL23" s="33">
        <f t="shared" si="11"/>
        <v>736.4079888</v>
      </c>
      <c r="AM23" s="33">
        <f t="shared" si="4"/>
        <v>2782.9359888000004</v>
      </c>
      <c r="AN23" s="20">
        <f>AL$6*'2008A'!$F23</f>
        <v>29.1289152</v>
      </c>
      <c r="AP23" s="33">
        <f t="shared" si="50"/>
        <v>28560</v>
      </c>
      <c r="AQ23" s="33">
        <f t="shared" si="28"/>
        <v>10276.826</v>
      </c>
      <c r="AR23" s="33">
        <f t="shared" si="12"/>
        <v>38836.826</v>
      </c>
      <c r="AS23" s="20">
        <f>AQ$6*'2008A'!$F23</f>
        <v>406.504</v>
      </c>
      <c r="AU23" s="33">
        <f t="shared" si="51"/>
        <v>21125.015999999996</v>
      </c>
      <c r="AV23" s="33">
        <f t="shared" si="29"/>
        <v>7601.474568599999</v>
      </c>
      <c r="AW23" s="33">
        <f t="shared" si="30"/>
        <v>28726.490568599995</v>
      </c>
      <c r="AX23" s="20">
        <f>AV$6*'2008A'!$F23</f>
        <v>300.67939440000004</v>
      </c>
      <c r="AZ23" s="51">
        <f t="shared" si="13"/>
        <v>11173.488000000001</v>
      </c>
      <c r="BA23" s="51">
        <f t="shared" si="14"/>
        <v>4020.5879548</v>
      </c>
      <c r="BB23" s="33">
        <f t="shared" si="5"/>
        <v>15194.0759548</v>
      </c>
      <c r="BC23" s="20">
        <f>BA$6*'2008A'!$F23</f>
        <v>159.03597919999999</v>
      </c>
      <c r="BE23" s="51">
        <f t="shared" si="52"/>
        <v>31858.271999999997</v>
      </c>
      <c r="BF23" s="51">
        <f t="shared" si="31"/>
        <v>11463.6525912</v>
      </c>
      <c r="BG23" s="33">
        <f t="shared" si="64"/>
        <v>43321.9245912</v>
      </c>
      <c r="BH23" s="20">
        <f>BF$6*'2008A'!$F23</f>
        <v>453.4494048</v>
      </c>
      <c r="BJ23" s="33">
        <f t="shared" si="53"/>
        <v>14969.112</v>
      </c>
      <c r="BK23" s="33">
        <f t="shared" si="32"/>
        <v>5386.3781302</v>
      </c>
      <c r="BL23" s="33">
        <f t="shared" si="6"/>
        <v>20355.4901302</v>
      </c>
      <c r="BM23" s="20">
        <f>BK$6*'2008A'!$F23</f>
        <v>213.0603608</v>
      </c>
      <c r="BO23" s="33">
        <f t="shared" si="54"/>
        <v>10833.624</v>
      </c>
      <c r="BP23" s="33">
        <f t="shared" si="33"/>
        <v>3898.2937254000003</v>
      </c>
      <c r="BQ23" s="33">
        <f t="shared" si="65"/>
        <v>14731.9177254</v>
      </c>
      <c r="BR23" s="20">
        <f>BP$6*'2008A'!$F23</f>
        <v>154.1985816</v>
      </c>
      <c r="BT23" s="33">
        <f t="shared" si="55"/>
        <v>15593.351999999999</v>
      </c>
      <c r="BU23" s="33">
        <f t="shared" si="34"/>
        <v>5611.0001842</v>
      </c>
      <c r="BV23" s="33">
        <f t="shared" si="35"/>
        <v>21204.352184199997</v>
      </c>
      <c r="BW23" s="20">
        <f>BU$6*'2008A'!$F23</f>
        <v>221.9453768</v>
      </c>
      <c r="BY23" s="33">
        <f t="shared" si="56"/>
        <v>3207.288</v>
      </c>
      <c r="BZ23" s="33">
        <f t="shared" si="36"/>
        <v>1154.0875598</v>
      </c>
      <c r="CA23" s="33">
        <f t="shared" si="15"/>
        <v>4361.3755598</v>
      </c>
      <c r="CB23" s="20">
        <f>BZ$6*'2008A'!$F23</f>
        <v>45.650399199999995</v>
      </c>
      <c r="CD23" s="33">
        <f t="shared" si="57"/>
        <v>12167.784</v>
      </c>
      <c r="CE23" s="33">
        <f t="shared" si="37"/>
        <v>4378.3683114</v>
      </c>
      <c r="CF23" s="33">
        <f t="shared" si="38"/>
        <v>16546.1523114</v>
      </c>
      <c r="CG23" s="20">
        <f>CE$6*'2008A'!$F23</f>
        <v>173.18812559999998</v>
      </c>
      <c r="CI23" s="33">
        <f t="shared" si="58"/>
        <v>3035.112</v>
      </c>
      <c r="CJ23" s="33">
        <f t="shared" si="39"/>
        <v>1092.1329802</v>
      </c>
      <c r="CK23" s="33">
        <f t="shared" si="66"/>
        <v>4127.2449802</v>
      </c>
      <c r="CL23" s="20">
        <f>CJ$6*'2008A'!$F23</f>
        <v>43.1997608</v>
      </c>
      <c r="CN23" s="33">
        <f t="shared" si="59"/>
        <v>12195.528</v>
      </c>
      <c r="CO23" s="33">
        <f t="shared" si="40"/>
        <v>4388.3515138</v>
      </c>
      <c r="CP23" s="33">
        <f t="shared" si="16"/>
        <v>16583.8795138</v>
      </c>
      <c r="CQ23" s="20">
        <f>CO$6*'2008A'!$F23</f>
        <v>173.5830152</v>
      </c>
      <c r="CS23" s="33">
        <f t="shared" si="60"/>
        <v>68255.54400000001</v>
      </c>
      <c r="CT23" s="33">
        <f t="shared" si="41"/>
        <v>24560.5864574</v>
      </c>
      <c r="CU23" s="33">
        <f t="shared" si="17"/>
        <v>92816.13045740001</v>
      </c>
      <c r="CV23" s="20">
        <f>CT$6*'2008A'!$F23</f>
        <v>971.5039095999999</v>
      </c>
      <c r="CX23" s="33">
        <f t="shared" si="61"/>
        <v>198.28799999999998</v>
      </c>
      <c r="CY23" s="33">
        <f t="shared" si="42"/>
        <v>71.35053479999999</v>
      </c>
      <c r="CZ23" s="33">
        <f t="shared" si="18"/>
        <v>269.6385348</v>
      </c>
      <c r="DA23" s="20">
        <f>CY$6*'2008A'!$F23</f>
        <v>2.8222992000000002</v>
      </c>
      <c r="DC23" s="33">
        <f t="shared" si="62"/>
        <v>13013.975999999999</v>
      </c>
      <c r="DD23" s="33">
        <f t="shared" si="43"/>
        <v>4682.8559846</v>
      </c>
      <c r="DE23" s="33">
        <f t="shared" si="19"/>
        <v>17696.831984599998</v>
      </c>
      <c r="DF23" s="20">
        <f>DD$6*'2008A'!$F23</f>
        <v>185.2322584</v>
      </c>
      <c r="DH23" s="33">
        <f t="shared" si="63"/>
        <v>11425.223999999998</v>
      </c>
      <c r="DI23" s="33">
        <f t="shared" si="44"/>
        <v>4111.1708354</v>
      </c>
      <c r="DJ23" s="33">
        <f t="shared" si="20"/>
        <v>15536.394835399999</v>
      </c>
      <c r="DK23" s="20">
        <f>DI$6*'2008A'!$F23</f>
        <v>162.6190216</v>
      </c>
    </row>
    <row r="24" spans="1:115" ht="12.75">
      <c r="A24" s="19">
        <v>43009</v>
      </c>
      <c r="B24" s="27"/>
      <c r="D24" s="35">
        <v>1366118</v>
      </c>
      <c r="E24" s="35">
        <f t="shared" si="0"/>
        <v>1366118</v>
      </c>
      <c r="G24" s="71"/>
      <c r="H24" s="51">
        <f t="shared" si="1"/>
        <v>138413.1631948</v>
      </c>
      <c r="I24" s="51">
        <f t="shared" si="21"/>
        <v>138413.1631948</v>
      </c>
      <c r="J24" s="51">
        <f t="shared" si="1"/>
        <v>5883.7737392</v>
      </c>
      <c r="M24" s="33">
        <f t="shared" si="22"/>
        <v>13831.944749999999</v>
      </c>
      <c r="N24" s="33">
        <f t="shared" si="8"/>
        <v>13831.944749999999</v>
      </c>
      <c r="O24" s="20">
        <f>M$6*'2008A'!$F24</f>
        <v>587.979</v>
      </c>
      <c r="R24" s="51">
        <f t="shared" si="23"/>
        <v>32464.974599200003</v>
      </c>
      <c r="S24" s="51">
        <f t="shared" si="9"/>
        <v>32464.974599200003</v>
      </c>
      <c r="T24" s="20">
        <f>R$6*'2008A'!$F24</f>
        <v>1380.0462368</v>
      </c>
      <c r="W24" s="33">
        <f t="shared" si="24"/>
        <v>939.3427368</v>
      </c>
      <c r="X24" s="33">
        <f t="shared" si="2"/>
        <v>939.3427368</v>
      </c>
      <c r="Y24" s="20">
        <f>W$6*'2008A'!$F24</f>
        <v>39.9303072</v>
      </c>
      <c r="AA24" s="51"/>
      <c r="AB24" s="33">
        <f t="shared" si="25"/>
        <v>461.06482500000004</v>
      </c>
      <c r="AC24" s="33">
        <f t="shared" si="3"/>
        <v>461.06482500000004</v>
      </c>
      <c r="AD24" s="20">
        <f>AB$6*'2008A'!$F24</f>
        <v>19.5993</v>
      </c>
      <c r="AG24" s="33">
        <f t="shared" si="26"/>
        <v>3773.7643632</v>
      </c>
      <c r="AH24" s="33">
        <f t="shared" si="27"/>
        <v>3773.7643632</v>
      </c>
      <c r="AI24" s="20">
        <f>AG$6*'2008A'!$F24</f>
        <v>160.41809279999998</v>
      </c>
      <c r="AL24" s="33">
        <f t="shared" si="11"/>
        <v>685.2447888000002</v>
      </c>
      <c r="AM24" s="33">
        <f t="shared" si="4"/>
        <v>685.2447888000002</v>
      </c>
      <c r="AN24" s="20">
        <f>AL$6*'2008A'!$F24</f>
        <v>29.1289152</v>
      </c>
      <c r="AQ24" s="33">
        <f t="shared" si="28"/>
        <v>9562.826</v>
      </c>
      <c r="AR24" s="33">
        <f t="shared" si="12"/>
        <v>9562.826</v>
      </c>
      <c r="AS24" s="20">
        <f>AQ$6*'2008A'!$F24</f>
        <v>406.504</v>
      </c>
      <c r="AV24" s="33">
        <f t="shared" si="29"/>
        <v>7073.349168599999</v>
      </c>
      <c r="AW24" s="33">
        <f t="shared" si="30"/>
        <v>7073.349168599999</v>
      </c>
      <c r="AX24" s="20">
        <f>AV$6*'2008A'!$F24</f>
        <v>300.67939440000004</v>
      </c>
      <c r="AZ24" s="51"/>
      <c r="BA24" s="51">
        <f t="shared" si="14"/>
        <v>3741.2507548</v>
      </c>
      <c r="BB24" s="33">
        <f t="shared" si="5"/>
        <v>3741.2507548</v>
      </c>
      <c r="BC24" s="20">
        <f>BA$6*'2008A'!$F24</f>
        <v>159.03597919999999</v>
      </c>
      <c r="BE24" s="51"/>
      <c r="BF24" s="51">
        <f t="shared" si="31"/>
        <v>10667.1957912</v>
      </c>
      <c r="BG24" s="33">
        <f t="shared" si="64"/>
        <v>10667.1957912</v>
      </c>
      <c r="BH24" s="20">
        <f>BF$6*'2008A'!$F24</f>
        <v>453.4494048</v>
      </c>
      <c r="BK24" s="33">
        <f t="shared" si="32"/>
        <v>5012.1503302</v>
      </c>
      <c r="BL24" s="33">
        <f t="shared" si="6"/>
        <v>5012.1503302</v>
      </c>
      <c r="BM24" s="20">
        <f>BK$6*'2008A'!$F24</f>
        <v>213.0603608</v>
      </c>
      <c r="BP24" s="33">
        <f t="shared" si="33"/>
        <v>3627.4531253999994</v>
      </c>
      <c r="BQ24" s="33">
        <f t="shared" si="65"/>
        <v>3627.4531253999994</v>
      </c>
      <c r="BR24" s="20">
        <f>BP$6*'2008A'!$F24</f>
        <v>154.1985816</v>
      </c>
      <c r="BU24" s="33">
        <f t="shared" si="34"/>
        <v>5221.1663842</v>
      </c>
      <c r="BV24" s="33">
        <f t="shared" si="35"/>
        <v>5221.1663842</v>
      </c>
      <c r="BW24" s="20">
        <f>BU$6*'2008A'!$F24</f>
        <v>221.9453768</v>
      </c>
      <c r="BZ24" s="33">
        <f t="shared" si="36"/>
        <v>1073.9053598</v>
      </c>
      <c r="CA24" s="33">
        <f t="shared" si="15"/>
        <v>1073.9053598</v>
      </c>
      <c r="CB24" s="20">
        <f>BZ$6*'2008A'!$F24</f>
        <v>45.650399199999995</v>
      </c>
      <c r="CE24" s="33">
        <f t="shared" si="37"/>
        <v>4074.1737114000002</v>
      </c>
      <c r="CF24" s="33">
        <f t="shared" si="38"/>
        <v>4074.1737114000002</v>
      </c>
      <c r="CG24" s="20">
        <f>CE$6*'2008A'!$F24</f>
        <v>173.18812559999998</v>
      </c>
      <c r="CJ24" s="33">
        <f t="shared" si="39"/>
        <v>1016.2551802</v>
      </c>
      <c r="CK24" s="33">
        <f t="shared" si="66"/>
        <v>1016.2551802</v>
      </c>
      <c r="CL24" s="20">
        <f>CJ$6*'2008A'!$F24</f>
        <v>43.1997608</v>
      </c>
      <c r="CO24" s="33">
        <f t="shared" si="40"/>
        <v>4083.4633138</v>
      </c>
      <c r="CP24" s="33">
        <f t="shared" si="16"/>
        <v>4083.4633138</v>
      </c>
      <c r="CQ24" s="20">
        <f>CO$6*'2008A'!$F24</f>
        <v>173.5830152</v>
      </c>
      <c r="CT24" s="33">
        <f t="shared" si="41"/>
        <v>22854.197857400002</v>
      </c>
      <c r="CU24" s="33">
        <f t="shared" si="17"/>
        <v>22854.197857400002</v>
      </c>
      <c r="CV24" s="20">
        <f>CT$6*'2008A'!$F24</f>
        <v>971.5039095999999</v>
      </c>
      <c r="CY24" s="33">
        <f t="shared" si="42"/>
        <v>66.39333479999999</v>
      </c>
      <c r="CZ24" s="33">
        <f t="shared" si="18"/>
        <v>66.39333479999999</v>
      </c>
      <c r="DA24" s="20">
        <f>CY$6*'2008A'!$F24</f>
        <v>2.8222992000000002</v>
      </c>
      <c r="DD24" s="33">
        <f t="shared" si="43"/>
        <v>4357.5065846</v>
      </c>
      <c r="DE24" s="33">
        <f t="shared" si="19"/>
        <v>4357.5065846</v>
      </c>
      <c r="DF24" s="20">
        <f>DD$6*'2008A'!$F24</f>
        <v>185.2322584</v>
      </c>
      <c r="DI24" s="33">
        <f t="shared" si="44"/>
        <v>3825.5402354000003</v>
      </c>
      <c r="DJ24" s="33">
        <f t="shared" si="20"/>
        <v>3825.5402354000003</v>
      </c>
      <c r="DK24" s="20">
        <f>DI$6*'2008A'!$F24</f>
        <v>162.6190216</v>
      </c>
    </row>
    <row r="25" spans="1:115" ht="12.75">
      <c r="A25" s="19">
        <v>43191</v>
      </c>
      <c r="C25" s="35">
        <v>4285000</v>
      </c>
      <c r="D25" s="35">
        <v>1366118</v>
      </c>
      <c r="E25" s="35">
        <f t="shared" si="0"/>
        <v>5651118</v>
      </c>
      <c r="G25" s="71">
        <f t="shared" si="7"/>
        <v>434150.201</v>
      </c>
      <c r="H25" s="51">
        <f t="shared" si="1"/>
        <v>138413.1631948</v>
      </c>
      <c r="I25" s="51">
        <f t="shared" si="21"/>
        <v>572563.3641948</v>
      </c>
      <c r="J25" s="51">
        <f t="shared" si="1"/>
        <v>5883.7737392</v>
      </c>
      <c r="L25" s="33">
        <f t="shared" si="45"/>
        <v>43385.625</v>
      </c>
      <c r="M25" s="33">
        <f t="shared" si="22"/>
        <v>13831.944749999999</v>
      </c>
      <c r="N25" s="33">
        <f t="shared" si="8"/>
        <v>57217.569749999995</v>
      </c>
      <c r="O25" s="20">
        <f>M$6*'2008A'!$F25</f>
        <v>587.979</v>
      </c>
      <c r="Q25" s="33">
        <f t="shared" si="46"/>
        <v>101830.454</v>
      </c>
      <c r="R25" s="51">
        <f t="shared" si="23"/>
        <v>32464.974599200003</v>
      </c>
      <c r="S25" s="51">
        <f t="shared" si="9"/>
        <v>134295.4285992</v>
      </c>
      <c r="T25" s="20">
        <f>R$6*'2008A'!$F25</f>
        <v>1380.0462368</v>
      </c>
      <c r="V25" s="33">
        <f t="shared" si="47"/>
        <v>2946.3660000000004</v>
      </c>
      <c r="W25" s="33">
        <f t="shared" si="24"/>
        <v>939.3427368</v>
      </c>
      <c r="X25" s="33">
        <f t="shared" si="2"/>
        <v>3885.7087368</v>
      </c>
      <c r="Y25" s="20">
        <f>W$6*'2008A'!$F25</f>
        <v>39.9303072</v>
      </c>
      <c r="AA25" s="51">
        <f t="shared" si="48"/>
        <v>1446.1875</v>
      </c>
      <c r="AB25" s="33">
        <f t="shared" si="25"/>
        <v>461.06482500000004</v>
      </c>
      <c r="AC25" s="33">
        <f t="shared" si="3"/>
        <v>1907.252325</v>
      </c>
      <c r="AD25" s="20">
        <f>AB$6*'2008A'!$F25</f>
        <v>19.5993</v>
      </c>
      <c r="AF25" s="33">
        <f t="shared" si="49"/>
        <v>11836.883999999998</v>
      </c>
      <c r="AG25" s="33">
        <f t="shared" si="26"/>
        <v>3773.7643632</v>
      </c>
      <c r="AH25" s="33">
        <f t="shared" si="27"/>
        <v>15610.648363199998</v>
      </c>
      <c r="AI25" s="20">
        <f>AG$6*'2008A'!$F25</f>
        <v>160.41809279999998</v>
      </c>
      <c r="AK25" s="33">
        <f t="shared" si="10"/>
        <v>2149.356</v>
      </c>
      <c r="AL25" s="33">
        <f t="shared" si="11"/>
        <v>685.2447888000002</v>
      </c>
      <c r="AM25" s="33">
        <f t="shared" si="4"/>
        <v>2834.6007888000004</v>
      </c>
      <c r="AN25" s="20">
        <f>AL$6*'2008A'!$F25</f>
        <v>29.1289152</v>
      </c>
      <c r="AP25" s="33">
        <f t="shared" si="50"/>
        <v>29995</v>
      </c>
      <c r="AQ25" s="33">
        <f t="shared" si="28"/>
        <v>9562.826</v>
      </c>
      <c r="AR25" s="33">
        <f t="shared" si="12"/>
        <v>39557.826</v>
      </c>
      <c r="AS25" s="20">
        <f>AQ$6*'2008A'!$F25</f>
        <v>406.504</v>
      </c>
      <c r="AU25" s="33">
        <f t="shared" si="51"/>
        <v>22186.444499999998</v>
      </c>
      <c r="AV25" s="33">
        <f t="shared" si="29"/>
        <v>7073.349168599999</v>
      </c>
      <c r="AW25" s="33">
        <f t="shared" si="30"/>
        <v>29259.793668599996</v>
      </c>
      <c r="AX25" s="20">
        <f>AV$6*'2008A'!$F25</f>
        <v>300.67939440000004</v>
      </c>
      <c r="AZ25" s="51">
        <f t="shared" si="13"/>
        <v>11734.900999999998</v>
      </c>
      <c r="BA25" s="51">
        <f t="shared" si="14"/>
        <v>3741.2507548</v>
      </c>
      <c r="BB25" s="33">
        <f t="shared" si="5"/>
        <v>15476.151754799997</v>
      </c>
      <c r="BC25" s="20">
        <f>BA$6*'2008A'!$F25</f>
        <v>159.03597919999999</v>
      </c>
      <c r="BE25" s="51">
        <f t="shared" si="52"/>
        <v>33458.994</v>
      </c>
      <c r="BF25" s="51">
        <f t="shared" si="31"/>
        <v>10667.1957912</v>
      </c>
      <c r="BG25" s="33">
        <f t="shared" si="64"/>
        <v>44126.1897912</v>
      </c>
      <c r="BH25" s="20">
        <f>BF$6*'2008A'!$F25</f>
        <v>453.4494048</v>
      </c>
      <c r="BJ25" s="33">
        <f t="shared" si="53"/>
        <v>15721.236499999999</v>
      </c>
      <c r="BK25" s="33">
        <f t="shared" si="32"/>
        <v>5012.1503302</v>
      </c>
      <c r="BL25" s="33">
        <f t="shared" si="6"/>
        <v>20733.386830199997</v>
      </c>
      <c r="BM25" s="20">
        <f>BK$6*'2008A'!$F25</f>
        <v>213.0603608</v>
      </c>
      <c r="BO25" s="33">
        <f t="shared" si="54"/>
        <v>11377.960500000001</v>
      </c>
      <c r="BP25" s="33">
        <f t="shared" si="33"/>
        <v>3627.4531253999994</v>
      </c>
      <c r="BQ25" s="33">
        <f t="shared" si="65"/>
        <v>15005.4136254</v>
      </c>
      <c r="BR25" s="20">
        <f>BP$6*'2008A'!$F25</f>
        <v>154.1985816</v>
      </c>
      <c r="BT25" s="33">
        <f t="shared" si="55"/>
        <v>16376.841499999999</v>
      </c>
      <c r="BU25" s="33">
        <f t="shared" si="34"/>
        <v>5221.1663842</v>
      </c>
      <c r="BV25" s="33">
        <f t="shared" si="35"/>
        <v>21598.0078842</v>
      </c>
      <c r="BW25" s="20">
        <f>BU$6*'2008A'!$F25</f>
        <v>221.9453768</v>
      </c>
      <c r="BY25" s="33">
        <f t="shared" si="56"/>
        <v>3368.4384999999997</v>
      </c>
      <c r="BZ25" s="33">
        <f t="shared" si="36"/>
        <v>1073.9053598</v>
      </c>
      <c r="CA25" s="33">
        <f t="shared" si="15"/>
        <v>4442.343859799999</v>
      </c>
      <c r="CB25" s="20">
        <f>BZ$6*'2008A'!$F25</f>
        <v>45.650399199999995</v>
      </c>
      <c r="CD25" s="33">
        <f t="shared" si="57"/>
        <v>12779.1555</v>
      </c>
      <c r="CE25" s="33">
        <f t="shared" si="37"/>
        <v>4074.1737114000002</v>
      </c>
      <c r="CF25" s="33">
        <f t="shared" si="38"/>
        <v>16853.3292114</v>
      </c>
      <c r="CG25" s="20">
        <f>CE$6*'2008A'!$F25</f>
        <v>173.18812559999998</v>
      </c>
      <c r="CI25" s="33">
        <f t="shared" si="58"/>
        <v>3187.6114999999995</v>
      </c>
      <c r="CJ25" s="33">
        <f t="shared" si="39"/>
        <v>1016.2551802</v>
      </c>
      <c r="CK25" s="33">
        <f t="shared" si="66"/>
        <v>4203.8666802</v>
      </c>
      <c r="CL25" s="20">
        <f>CJ$6*'2008A'!$F25</f>
        <v>43.1997608</v>
      </c>
      <c r="CN25" s="33">
        <f t="shared" si="59"/>
        <v>12808.293500000002</v>
      </c>
      <c r="CO25" s="33">
        <f t="shared" si="40"/>
        <v>4083.4633138</v>
      </c>
      <c r="CP25" s="33">
        <f t="shared" si="16"/>
        <v>16891.756813800002</v>
      </c>
      <c r="CQ25" s="20">
        <f>CO$6*'2008A'!$F25</f>
        <v>173.5830152</v>
      </c>
      <c r="CS25" s="33">
        <f t="shared" si="60"/>
        <v>71685.0505</v>
      </c>
      <c r="CT25" s="33">
        <f t="shared" si="41"/>
        <v>22854.197857400002</v>
      </c>
      <c r="CU25" s="33">
        <f t="shared" si="17"/>
        <v>94539.2483574</v>
      </c>
      <c r="CV25" s="20">
        <f>CT$6*'2008A'!$F25</f>
        <v>971.5039095999999</v>
      </c>
      <c r="CX25" s="33">
        <f t="shared" si="61"/>
        <v>208.25099999999998</v>
      </c>
      <c r="CY25" s="33">
        <f t="shared" si="42"/>
        <v>66.39333479999999</v>
      </c>
      <c r="CZ25" s="33">
        <f t="shared" si="18"/>
        <v>274.64433479999997</v>
      </c>
      <c r="DA25" s="20">
        <f>CY$6*'2008A'!$F25</f>
        <v>2.8222992000000002</v>
      </c>
      <c r="DC25" s="33">
        <f t="shared" si="62"/>
        <v>13667.8645</v>
      </c>
      <c r="DD25" s="33">
        <f t="shared" si="43"/>
        <v>4357.5065846</v>
      </c>
      <c r="DE25" s="33">
        <f t="shared" si="19"/>
        <v>18025.3710846</v>
      </c>
      <c r="DF25" s="20">
        <f>DD$6*'2008A'!$F25</f>
        <v>185.2322584</v>
      </c>
      <c r="DH25" s="33">
        <f t="shared" si="63"/>
        <v>11999.2855</v>
      </c>
      <c r="DI25" s="33">
        <f t="shared" si="44"/>
        <v>3825.5402354000003</v>
      </c>
      <c r="DJ25" s="33">
        <f t="shared" si="20"/>
        <v>15824.8257354</v>
      </c>
      <c r="DK25" s="20">
        <f>DI$6*'2008A'!$F25</f>
        <v>162.6190216</v>
      </c>
    </row>
    <row r="26" spans="1:115" ht="12.75">
      <c r="A26" s="19">
        <v>43374</v>
      </c>
      <c r="D26" s="35">
        <v>1258993</v>
      </c>
      <c r="E26" s="35">
        <f t="shared" si="0"/>
        <v>1258993</v>
      </c>
      <c r="G26" s="71"/>
      <c r="H26" s="51">
        <f t="shared" si="1"/>
        <v>127559.40816980002</v>
      </c>
      <c r="I26" s="51">
        <f t="shared" si="21"/>
        <v>127559.40816980002</v>
      </c>
      <c r="J26" s="51">
        <f t="shared" si="1"/>
        <v>5883.7737392</v>
      </c>
      <c r="M26" s="33">
        <f t="shared" si="22"/>
        <v>12747.304124999999</v>
      </c>
      <c r="N26" s="33">
        <f t="shared" si="8"/>
        <v>12747.304124999999</v>
      </c>
      <c r="O26" s="20">
        <f>M$6*'2008A'!$F26</f>
        <v>587.979</v>
      </c>
      <c r="R26" s="51">
        <f t="shared" si="23"/>
        <v>29919.213249200002</v>
      </c>
      <c r="S26" s="51">
        <f t="shared" si="9"/>
        <v>29919.213249200002</v>
      </c>
      <c r="T26" s="20">
        <f>R$6*'2008A'!$F26</f>
        <v>1380.0462368</v>
      </c>
      <c r="W26" s="33">
        <f t="shared" si="24"/>
        <v>865.6835868000001</v>
      </c>
      <c r="X26" s="33">
        <f t="shared" si="2"/>
        <v>865.6835868000001</v>
      </c>
      <c r="Y26" s="20">
        <f>W$6*'2008A'!$F26</f>
        <v>39.9303072</v>
      </c>
      <c r="AA26" s="51"/>
      <c r="AB26" s="33">
        <f t="shared" si="25"/>
        <v>424.9101375000001</v>
      </c>
      <c r="AC26" s="33">
        <f t="shared" si="3"/>
        <v>424.9101375000001</v>
      </c>
      <c r="AD26" s="20">
        <f>AB$6*'2008A'!$F26</f>
        <v>19.5993</v>
      </c>
      <c r="AG26" s="33">
        <f t="shared" si="26"/>
        <v>3477.8422631999997</v>
      </c>
      <c r="AH26" s="33">
        <f t="shared" si="27"/>
        <v>3477.8422631999997</v>
      </c>
      <c r="AI26" s="20">
        <f>AG$6*'2008A'!$F26</f>
        <v>160.41809279999998</v>
      </c>
      <c r="AL26" s="33">
        <f t="shared" si="11"/>
        <v>631.5108888</v>
      </c>
      <c r="AM26" s="33">
        <f t="shared" si="4"/>
        <v>631.5108888</v>
      </c>
      <c r="AN26" s="20">
        <f>AL$6*'2008A'!$F26</f>
        <v>29.1289152</v>
      </c>
      <c r="AQ26" s="33">
        <f t="shared" si="28"/>
        <v>8812.951</v>
      </c>
      <c r="AR26" s="33">
        <f t="shared" si="12"/>
        <v>8812.951</v>
      </c>
      <c r="AS26" s="20">
        <f>AQ$6*'2008A'!$F26</f>
        <v>406.504</v>
      </c>
      <c r="AV26" s="33">
        <f t="shared" si="29"/>
        <v>6518.688056099999</v>
      </c>
      <c r="AW26" s="33">
        <f t="shared" si="30"/>
        <v>6518.688056099999</v>
      </c>
      <c r="AX26" s="20">
        <f>AV$6*'2008A'!$F26</f>
        <v>300.67939440000004</v>
      </c>
      <c r="AZ26" s="51"/>
      <c r="BA26" s="51">
        <f t="shared" si="14"/>
        <v>3447.8782298</v>
      </c>
      <c r="BB26" s="33">
        <f t="shared" si="5"/>
        <v>3447.8782298</v>
      </c>
      <c r="BC26" s="20">
        <f>BA$6*'2008A'!$F26</f>
        <v>159.03597919999999</v>
      </c>
      <c r="BE26" s="51"/>
      <c r="BF26" s="51">
        <f t="shared" si="31"/>
        <v>9830.720941200001</v>
      </c>
      <c r="BG26" s="33">
        <f t="shared" si="64"/>
        <v>9830.720941200001</v>
      </c>
      <c r="BH26" s="20">
        <f>BF$6*'2008A'!$F26</f>
        <v>453.4494048</v>
      </c>
      <c r="BK26" s="33">
        <f t="shared" si="32"/>
        <v>4619.1194177</v>
      </c>
      <c r="BL26" s="33">
        <f t="shared" si="6"/>
        <v>4619.1194177</v>
      </c>
      <c r="BM26" s="20">
        <f>BK$6*'2008A'!$F26</f>
        <v>213.0603608</v>
      </c>
      <c r="BP26" s="33">
        <f t="shared" si="33"/>
        <v>3343.0041128999997</v>
      </c>
      <c r="BQ26" s="33">
        <f t="shared" si="65"/>
        <v>3343.0041128999997</v>
      </c>
      <c r="BR26" s="20">
        <f>BP$6*'2008A'!$F26</f>
        <v>154.1985816</v>
      </c>
      <c r="BU26" s="33">
        <f t="shared" si="34"/>
        <v>4811.7453467</v>
      </c>
      <c r="BV26" s="33">
        <f t="shared" si="35"/>
        <v>4811.7453467</v>
      </c>
      <c r="BW26" s="20">
        <f>BU$6*'2008A'!$F26</f>
        <v>221.9453768</v>
      </c>
      <c r="BZ26" s="33">
        <f t="shared" si="36"/>
        <v>989.6943973</v>
      </c>
      <c r="CA26" s="33">
        <f t="shared" si="15"/>
        <v>989.6943973</v>
      </c>
      <c r="CB26" s="20">
        <f>BZ$6*'2008A'!$F26</f>
        <v>45.650399199999995</v>
      </c>
      <c r="CE26" s="33">
        <f t="shared" si="37"/>
        <v>3754.6948239000003</v>
      </c>
      <c r="CF26" s="33">
        <f t="shared" si="38"/>
        <v>3754.6948239000003</v>
      </c>
      <c r="CG26" s="20">
        <f>CE$6*'2008A'!$F26</f>
        <v>173.18812559999998</v>
      </c>
      <c r="CJ26" s="33">
        <f t="shared" si="39"/>
        <v>936.5648926999999</v>
      </c>
      <c r="CK26" s="33">
        <f t="shared" si="66"/>
        <v>936.5648926999999</v>
      </c>
      <c r="CL26" s="20">
        <f>CJ$6*'2008A'!$F26</f>
        <v>43.1997608</v>
      </c>
      <c r="CO26" s="33">
        <f t="shared" si="40"/>
        <v>3763.2559763000004</v>
      </c>
      <c r="CP26" s="33">
        <f t="shared" si="16"/>
        <v>3763.2559763000004</v>
      </c>
      <c r="CQ26" s="20">
        <f>CO$6*'2008A'!$F26</f>
        <v>173.5830152</v>
      </c>
      <c r="CT26" s="33">
        <f t="shared" si="41"/>
        <v>21062.0715949</v>
      </c>
      <c r="CU26" s="33">
        <f t="shared" si="17"/>
        <v>21062.0715949</v>
      </c>
      <c r="CV26" s="20">
        <f>CT$6*'2008A'!$F26</f>
        <v>971.5039095999999</v>
      </c>
      <c r="CY26" s="33">
        <f t="shared" si="42"/>
        <v>61.1870598</v>
      </c>
      <c r="CZ26" s="33">
        <f t="shared" si="18"/>
        <v>61.1870598</v>
      </c>
      <c r="DA26" s="20">
        <f>CY$6*'2008A'!$F26</f>
        <v>2.8222992000000002</v>
      </c>
      <c r="DD26" s="33">
        <f t="shared" si="43"/>
        <v>4015.8099720999994</v>
      </c>
      <c r="DE26" s="33">
        <f t="shared" si="19"/>
        <v>4015.8099720999994</v>
      </c>
      <c r="DF26" s="20">
        <f>DD$6*'2008A'!$F26</f>
        <v>185.2322584</v>
      </c>
      <c r="DI26" s="33">
        <f t="shared" si="44"/>
        <v>3525.5580979</v>
      </c>
      <c r="DJ26" s="33">
        <f t="shared" si="20"/>
        <v>3525.5580979</v>
      </c>
      <c r="DK26" s="20">
        <f>DI$6*'2008A'!$F26</f>
        <v>162.6190216</v>
      </c>
    </row>
    <row r="27" spans="1:115" ht="12.75">
      <c r="A27" s="19">
        <v>43556</v>
      </c>
      <c r="C27" s="35">
        <v>4495000</v>
      </c>
      <c r="D27" s="35">
        <v>1258993</v>
      </c>
      <c r="E27" s="35">
        <f t="shared" si="0"/>
        <v>5753993</v>
      </c>
      <c r="G27" s="71">
        <f t="shared" si="7"/>
        <v>455427.10699999996</v>
      </c>
      <c r="H27" s="51">
        <f t="shared" si="1"/>
        <v>127559.40816980002</v>
      </c>
      <c r="I27" s="51">
        <f t="shared" si="21"/>
        <v>582986.5151698</v>
      </c>
      <c r="J27" s="51">
        <f t="shared" si="1"/>
        <v>5883.7737392</v>
      </c>
      <c r="L27" s="33">
        <f t="shared" si="45"/>
        <v>45511.875</v>
      </c>
      <c r="M27" s="33">
        <f t="shared" si="22"/>
        <v>12747.304124999999</v>
      </c>
      <c r="N27" s="33">
        <f t="shared" si="8"/>
        <v>58259.179124999995</v>
      </c>
      <c r="O27" s="20">
        <f>M$6*'2008A'!$F27</f>
        <v>587.979</v>
      </c>
      <c r="Q27" s="33">
        <f t="shared" si="46"/>
        <v>106820.978</v>
      </c>
      <c r="R27" s="51">
        <f t="shared" si="23"/>
        <v>29919.213249200002</v>
      </c>
      <c r="S27" s="51">
        <f t="shared" si="9"/>
        <v>136740.1912492</v>
      </c>
      <c r="T27" s="20">
        <f>R$6*'2008A'!$F27</f>
        <v>1380.0462368</v>
      </c>
      <c r="V27" s="33">
        <f t="shared" si="47"/>
        <v>3090.762</v>
      </c>
      <c r="W27" s="33">
        <f t="shared" si="24"/>
        <v>865.6835868000001</v>
      </c>
      <c r="X27" s="33">
        <f t="shared" si="2"/>
        <v>3956.4455868000005</v>
      </c>
      <c r="Y27" s="20">
        <f>W$6*'2008A'!$F27</f>
        <v>39.9303072</v>
      </c>
      <c r="AA27" s="51">
        <f t="shared" si="48"/>
        <v>1517.0625</v>
      </c>
      <c r="AB27" s="33">
        <f t="shared" si="25"/>
        <v>424.9101375000001</v>
      </c>
      <c r="AC27" s="33">
        <f t="shared" si="3"/>
        <v>1941.9726375</v>
      </c>
      <c r="AD27" s="20">
        <f>AB$6*'2008A'!$F27</f>
        <v>19.5993</v>
      </c>
      <c r="AF27" s="33">
        <f t="shared" si="49"/>
        <v>12416.988000000001</v>
      </c>
      <c r="AG27" s="33">
        <f t="shared" si="26"/>
        <v>3477.8422631999997</v>
      </c>
      <c r="AH27" s="33">
        <f t="shared" si="27"/>
        <v>15894.830263200001</v>
      </c>
      <c r="AI27" s="20">
        <f>AG$6*'2008A'!$F27</f>
        <v>160.41809279999998</v>
      </c>
      <c r="AK27" s="33">
        <f t="shared" si="10"/>
        <v>2254.692</v>
      </c>
      <c r="AL27" s="33">
        <f t="shared" si="11"/>
        <v>631.5108888</v>
      </c>
      <c r="AM27" s="33">
        <f t="shared" si="4"/>
        <v>2886.2028888</v>
      </c>
      <c r="AN27" s="20">
        <f>AL$6*'2008A'!$F27</f>
        <v>29.1289152</v>
      </c>
      <c r="AP27" s="33">
        <f t="shared" si="50"/>
        <v>31465</v>
      </c>
      <c r="AQ27" s="33">
        <f t="shared" si="28"/>
        <v>8812.951</v>
      </c>
      <c r="AR27" s="33">
        <f t="shared" si="12"/>
        <v>40277.951</v>
      </c>
      <c r="AS27" s="20">
        <f>AQ$6*'2008A'!$F27</f>
        <v>406.504</v>
      </c>
      <c r="AU27" s="33">
        <f t="shared" si="51"/>
        <v>23273.7615</v>
      </c>
      <c r="AV27" s="33">
        <f t="shared" si="29"/>
        <v>6518.688056099999</v>
      </c>
      <c r="AW27" s="33">
        <f t="shared" si="30"/>
        <v>29792.4495561</v>
      </c>
      <c r="AX27" s="20">
        <f>AV$6*'2008A'!$F27</f>
        <v>300.67939440000004</v>
      </c>
      <c r="AZ27" s="51">
        <f t="shared" si="13"/>
        <v>12310.007</v>
      </c>
      <c r="BA27" s="51">
        <f t="shared" si="14"/>
        <v>3447.8782298</v>
      </c>
      <c r="BB27" s="33">
        <f t="shared" si="5"/>
        <v>15757.8852298</v>
      </c>
      <c r="BC27" s="20">
        <f>BA$6*'2008A'!$F27</f>
        <v>159.03597919999999</v>
      </c>
      <c r="BE27" s="51">
        <f t="shared" si="52"/>
        <v>35098.758</v>
      </c>
      <c r="BF27" s="51">
        <f t="shared" si="31"/>
        <v>9830.720941200001</v>
      </c>
      <c r="BG27" s="33">
        <f t="shared" si="64"/>
        <v>44929.4789412</v>
      </c>
      <c r="BH27" s="20">
        <f>BF$6*'2008A'!$F27</f>
        <v>453.4494048</v>
      </c>
      <c r="BJ27" s="33">
        <f t="shared" si="53"/>
        <v>16491.7055</v>
      </c>
      <c r="BK27" s="33">
        <f t="shared" si="32"/>
        <v>4619.1194177</v>
      </c>
      <c r="BL27" s="33">
        <f t="shared" si="6"/>
        <v>21110.8249177</v>
      </c>
      <c r="BM27" s="20">
        <f>BK$6*'2008A'!$F27</f>
        <v>213.0603608</v>
      </c>
      <c r="BO27" s="33">
        <f t="shared" si="54"/>
        <v>11935.573499999999</v>
      </c>
      <c r="BP27" s="33">
        <f t="shared" si="33"/>
        <v>3343.0041128999997</v>
      </c>
      <c r="BQ27" s="33">
        <f t="shared" si="65"/>
        <v>15278.577612899999</v>
      </c>
      <c r="BR27" s="20">
        <f>BP$6*'2008A'!$F27</f>
        <v>154.1985816</v>
      </c>
      <c r="BT27" s="33">
        <f t="shared" si="55"/>
        <v>17179.440499999997</v>
      </c>
      <c r="BU27" s="33">
        <f t="shared" si="34"/>
        <v>4811.7453467</v>
      </c>
      <c r="BV27" s="33">
        <f t="shared" si="35"/>
        <v>21991.1858467</v>
      </c>
      <c r="BW27" s="20">
        <f>BU$6*'2008A'!$F27</f>
        <v>221.9453768</v>
      </c>
      <c r="BY27" s="33">
        <f t="shared" si="56"/>
        <v>3533.5195000000003</v>
      </c>
      <c r="BZ27" s="33">
        <f t="shared" si="36"/>
        <v>989.6943973</v>
      </c>
      <c r="CA27" s="33">
        <f t="shared" si="15"/>
        <v>4523.2138973</v>
      </c>
      <c r="CB27" s="20">
        <f>BZ$6*'2008A'!$F27</f>
        <v>45.650399199999995</v>
      </c>
      <c r="CD27" s="33">
        <f t="shared" si="57"/>
        <v>13405.4385</v>
      </c>
      <c r="CE27" s="33">
        <f t="shared" si="37"/>
        <v>3754.6948239000003</v>
      </c>
      <c r="CF27" s="33">
        <f t="shared" si="38"/>
        <v>17160.1333239</v>
      </c>
      <c r="CG27" s="20">
        <f>CE$6*'2008A'!$F27</f>
        <v>173.18812559999998</v>
      </c>
      <c r="CI27" s="33">
        <f t="shared" si="58"/>
        <v>3343.8305</v>
      </c>
      <c r="CJ27" s="33">
        <f t="shared" si="39"/>
        <v>936.5648926999999</v>
      </c>
      <c r="CK27" s="33">
        <f t="shared" si="66"/>
        <v>4280.3953927</v>
      </c>
      <c r="CL27" s="20">
        <f>CJ$6*'2008A'!$F27</f>
        <v>43.1997608</v>
      </c>
      <c r="CN27" s="33">
        <f t="shared" si="59"/>
        <v>13436.0045</v>
      </c>
      <c r="CO27" s="33">
        <f t="shared" si="40"/>
        <v>3763.2559763000004</v>
      </c>
      <c r="CP27" s="33">
        <f t="shared" si="16"/>
        <v>17199.260476299998</v>
      </c>
      <c r="CQ27" s="20">
        <f>CO$6*'2008A'!$F27</f>
        <v>173.5830152</v>
      </c>
      <c r="CS27" s="33">
        <f t="shared" si="60"/>
        <v>75198.2035</v>
      </c>
      <c r="CT27" s="33">
        <f t="shared" si="41"/>
        <v>21062.0715949</v>
      </c>
      <c r="CU27" s="33">
        <f t="shared" si="17"/>
        <v>96260.2750949</v>
      </c>
      <c r="CV27" s="20">
        <f>CT$6*'2008A'!$F27</f>
        <v>971.5039095999999</v>
      </c>
      <c r="CX27" s="33">
        <f t="shared" si="61"/>
        <v>218.45699999999997</v>
      </c>
      <c r="CY27" s="33">
        <f t="shared" si="42"/>
        <v>61.1870598</v>
      </c>
      <c r="CZ27" s="33">
        <f t="shared" si="18"/>
        <v>279.6440598</v>
      </c>
      <c r="DA27" s="20">
        <f>CY$6*'2008A'!$F27</f>
        <v>2.8222992000000002</v>
      </c>
      <c r="DC27" s="33">
        <f t="shared" si="62"/>
        <v>14337.7015</v>
      </c>
      <c r="DD27" s="33">
        <f t="shared" si="43"/>
        <v>4015.8099720999994</v>
      </c>
      <c r="DE27" s="33">
        <f t="shared" si="19"/>
        <v>18353.5114721</v>
      </c>
      <c r="DF27" s="20">
        <f>DD$6*'2008A'!$F27</f>
        <v>185.2322584</v>
      </c>
      <c r="DH27" s="33">
        <f t="shared" si="63"/>
        <v>12587.3485</v>
      </c>
      <c r="DI27" s="33">
        <f t="shared" si="44"/>
        <v>3525.5580979</v>
      </c>
      <c r="DJ27" s="33">
        <f t="shared" si="20"/>
        <v>16112.9065979</v>
      </c>
      <c r="DK27" s="20">
        <f>DI$6*'2008A'!$F27</f>
        <v>162.6190216</v>
      </c>
    </row>
    <row r="28" spans="1:115" ht="12.75">
      <c r="A28" s="19">
        <v>43739</v>
      </c>
      <c r="D28" s="35">
        <v>1146618</v>
      </c>
      <c r="E28" s="35">
        <f t="shared" si="0"/>
        <v>1146618</v>
      </c>
      <c r="G28" s="71"/>
      <c r="H28" s="51">
        <f t="shared" si="1"/>
        <v>116173.73049480001</v>
      </c>
      <c r="I28" s="51">
        <f t="shared" si="21"/>
        <v>116173.73049480001</v>
      </c>
      <c r="J28" s="51">
        <f t="shared" si="1"/>
        <v>5883.7737392</v>
      </c>
      <c r="M28" s="33">
        <f t="shared" si="22"/>
        <v>11609.507249999999</v>
      </c>
      <c r="N28" s="33">
        <f t="shared" si="8"/>
        <v>11609.507249999999</v>
      </c>
      <c r="O28" s="20">
        <f>M$6*'2008A'!$F28</f>
        <v>587.979</v>
      </c>
      <c r="R28" s="51">
        <f t="shared" si="23"/>
        <v>27248.6887992</v>
      </c>
      <c r="S28" s="51">
        <f t="shared" si="9"/>
        <v>27248.6887992</v>
      </c>
      <c r="T28" s="20">
        <f>R$6*'2008A'!$F28</f>
        <v>1380.0462368</v>
      </c>
      <c r="W28" s="33">
        <f t="shared" si="24"/>
        <v>788.4145368000001</v>
      </c>
      <c r="X28" s="33">
        <f t="shared" si="2"/>
        <v>788.4145368000001</v>
      </c>
      <c r="Y28" s="20">
        <f>W$6*'2008A'!$F28</f>
        <v>39.9303072</v>
      </c>
      <c r="AA28" s="51"/>
      <c r="AB28" s="33">
        <f t="shared" si="25"/>
        <v>386.98357500000003</v>
      </c>
      <c r="AC28" s="33">
        <f t="shared" si="3"/>
        <v>386.98357500000003</v>
      </c>
      <c r="AD28" s="20">
        <f>AB$6*'2008A'!$F28</f>
        <v>19.5993</v>
      </c>
      <c r="AG28" s="33">
        <f t="shared" si="26"/>
        <v>3167.4175631999997</v>
      </c>
      <c r="AH28" s="33">
        <f t="shared" si="27"/>
        <v>3167.4175631999997</v>
      </c>
      <c r="AI28" s="20">
        <f>AG$6*'2008A'!$F28</f>
        <v>160.41809279999998</v>
      </c>
      <c r="AL28" s="33">
        <f t="shared" si="11"/>
        <v>575.1435888000001</v>
      </c>
      <c r="AM28" s="33">
        <f t="shared" si="4"/>
        <v>575.1435888000001</v>
      </c>
      <c r="AN28" s="20">
        <f>AL$6*'2008A'!$F28</f>
        <v>29.1289152</v>
      </c>
      <c r="AQ28" s="33">
        <f t="shared" si="28"/>
        <v>8026.326</v>
      </c>
      <c r="AR28" s="33">
        <f t="shared" si="12"/>
        <v>8026.326</v>
      </c>
      <c r="AS28" s="20">
        <f>AQ$6*'2008A'!$F28</f>
        <v>406.504</v>
      </c>
      <c r="AV28" s="33">
        <f t="shared" si="29"/>
        <v>5936.8440186</v>
      </c>
      <c r="AW28" s="33">
        <f t="shared" si="30"/>
        <v>5936.8440186</v>
      </c>
      <c r="AX28" s="20">
        <f>AV$6*'2008A'!$F28</f>
        <v>300.67939440000004</v>
      </c>
      <c r="AZ28" s="51"/>
      <c r="BA28" s="51">
        <f t="shared" si="14"/>
        <v>3140.1280548</v>
      </c>
      <c r="BB28" s="33">
        <f t="shared" si="5"/>
        <v>3140.1280548</v>
      </c>
      <c r="BC28" s="20">
        <f>BA$6*'2008A'!$F28</f>
        <v>159.03597919999999</v>
      </c>
      <c r="BE28" s="51"/>
      <c r="BF28" s="51">
        <f t="shared" si="31"/>
        <v>8953.2519912</v>
      </c>
      <c r="BG28" s="33">
        <f t="shared" si="64"/>
        <v>8953.2519912</v>
      </c>
      <c r="BH28" s="20">
        <f>BF$6*'2008A'!$F28</f>
        <v>453.4494048</v>
      </c>
      <c r="BK28" s="33">
        <f t="shared" si="32"/>
        <v>4206.8267802</v>
      </c>
      <c r="BL28" s="33">
        <f t="shared" si="6"/>
        <v>4206.8267802</v>
      </c>
      <c r="BM28" s="20">
        <f>BK$6*'2008A'!$F28</f>
        <v>213.0603608</v>
      </c>
      <c r="BP28" s="33">
        <f t="shared" si="33"/>
        <v>3044.6147754</v>
      </c>
      <c r="BQ28" s="33">
        <f t="shared" si="65"/>
        <v>3044.6147754</v>
      </c>
      <c r="BR28" s="20">
        <f>BP$6*'2008A'!$F28</f>
        <v>154.1985816</v>
      </c>
      <c r="BU28" s="33">
        <f t="shared" si="34"/>
        <v>4382.2593342</v>
      </c>
      <c r="BV28" s="33">
        <f t="shared" si="35"/>
        <v>4382.2593342</v>
      </c>
      <c r="BW28" s="20">
        <f>BU$6*'2008A'!$F28</f>
        <v>221.9453768</v>
      </c>
      <c r="BZ28" s="33">
        <f t="shared" si="36"/>
        <v>901.3564097999999</v>
      </c>
      <c r="CA28" s="33">
        <f t="shared" si="15"/>
        <v>901.3564097999999</v>
      </c>
      <c r="CB28" s="20">
        <f>BZ$6*'2008A'!$F28</f>
        <v>45.650399199999995</v>
      </c>
      <c r="CE28" s="33">
        <f t="shared" si="37"/>
        <v>3419.5588614000003</v>
      </c>
      <c r="CF28" s="33">
        <f t="shared" si="38"/>
        <v>3419.5588614000003</v>
      </c>
      <c r="CG28" s="20">
        <f>CE$6*'2008A'!$F28</f>
        <v>173.18812559999998</v>
      </c>
      <c r="CJ28" s="33">
        <f t="shared" si="39"/>
        <v>852.9691301999999</v>
      </c>
      <c r="CK28" s="33">
        <f t="shared" si="66"/>
        <v>852.9691301999999</v>
      </c>
      <c r="CL28" s="20">
        <f>CJ$6*'2008A'!$F28</f>
        <v>43.1997608</v>
      </c>
      <c r="CO28" s="33">
        <f t="shared" si="40"/>
        <v>3427.3558638</v>
      </c>
      <c r="CP28" s="33">
        <f t="shared" si="16"/>
        <v>3427.3558638</v>
      </c>
      <c r="CQ28" s="20">
        <f>CO$6*'2008A'!$F28</f>
        <v>173.5830152</v>
      </c>
      <c r="CT28" s="33">
        <f t="shared" si="41"/>
        <v>19182.1165074</v>
      </c>
      <c r="CU28" s="33">
        <f t="shared" si="17"/>
        <v>19182.1165074</v>
      </c>
      <c r="CV28" s="20">
        <f>CT$6*'2008A'!$F28</f>
        <v>971.5039095999999</v>
      </c>
      <c r="CY28" s="33">
        <f t="shared" si="42"/>
        <v>55.725634799999995</v>
      </c>
      <c r="CZ28" s="33">
        <f t="shared" si="18"/>
        <v>55.725634799999995</v>
      </c>
      <c r="DA28" s="20">
        <f>CY$6*'2008A'!$F28</f>
        <v>2.8222992000000002</v>
      </c>
      <c r="DD28" s="33">
        <f t="shared" si="43"/>
        <v>3657.3674346</v>
      </c>
      <c r="DE28" s="33">
        <f t="shared" si="19"/>
        <v>3657.3674346</v>
      </c>
      <c r="DF28" s="20">
        <f>DD$6*'2008A'!$F28</f>
        <v>185.2322584</v>
      </c>
      <c r="DI28" s="33">
        <f t="shared" si="44"/>
        <v>3210.8743854</v>
      </c>
      <c r="DJ28" s="33">
        <f t="shared" si="20"/>
        <v>3210.8743854</v>
      </c>
      <c r="DK28" s="20">
        <f>DI$6*'2008A'!$F28</f>
        <v>162.6190216</v>
      </c>
    </row>
    <row r="29" spans="1:115" ht="12.75">
      <c r="A29" s="52">
        <v>43922</v>
      </c>
      <c r="C29" s="35">
        <v>4720000</v>
      </c>
      <c r="D29" s="35">
        <v>1146618</v>
      </c>
      <c r="E29" s="35">
        <f t="shared" si="0"/>
        <v>5866618</v>
      </c>
      <c r="G29" s="71">
        <f t="shared" si="7"/>
        <v>478223.792</v>
      </c>
      <c r="H29" s="51">
        <f t="shared" si="1"/>
        <v>116173.73049480001</v>
      </c>
      <c r="I29" s="51">
        <f t="shared" si="21"/>
        <v>594397.5224948</v>
      </c>
      <c r="J29" s="51">
        <f t="shared" si="1"/>
        <v>5883.7737392</v>
      </c>
      <c r="L29" s="33">
        <f t="shared" si="45"/>
        <v>47790</v>
      </c>
      <c r="M29" s="33">
        <f t="shared" si="22"/>
        <v>11609.507249999999</v>
      </c>
      <c r="N29" s="33">
        <f t="shared" si="8"/>
        <v>59399.507249999995</v>
      </c>
      <c r="O29" s="20">
        <f>M$6*'2008A'!$F29</f>
        <v>587.979</v>
      </c>
      <c r="Q29" s="33">
        <f t="shared" si="46"/>
        <v>112167.96800000001</v>
      </c>
      <c r="R29" s="51">
        <f t="shared" si="23"/>
        <v>27248.6887992</v>
      </c>
      <c r="S29" s="51">
        <f t="shared" si="9"/>
        <v>139416.65679920002</v>
      </c>
      <c r="T29" s="20">
        <f>R$6*'2008A'!$F29</f>
        <v>1380.0462368</v>
      </c>
      <c r="V29" s="33">
        <f t="shared" si="47"/>
        <v>3245.472</v>
      </c>
      <c r="W29" s="33">
        <f t="shared" si="24"/>
        <v>788.4145368000001</v>
      </c>
      <c r="X29" s="33">
        <f t="shared" si="2"/>
        <v>4033.8865368</v>
      </c>
      <c r="Y29" s="20">
        <f>W$6*'2008A'!$F29</f>
        <v>39.9303072</v>
      </c>
      <c r="AA29" s="51">
        <f t="shared" si="48"/>
        <v>1593</v>
      </c>
      <c r="AB29" s="33">
        <f t="shared" si="25"/>
        <v>386.98357500000003</v>
      </c>
      <c r="AC29" s="33">
        <f t="shared" si="3"/>
        <v>1979.983575</v>
      </c>
      <c r="AD29" s="20">
        <f>AB$6*'2008A'!$F29</f>
        <v>19.5993</v>
      </c>
      <c r="AF29" s="33">
        <f t="shared" si="49"/>
        <v>13038.528</v>
      </c>
      <c r="AG29" s="33">
        <f t="shared" si="26"/>
        <v>3167.4175631999997</v>
      </c>
      <c r="AH29" s="33">
        <f t="shared" si="27"/>
        <v>16205.945563199999</v>
      </c>
      <c r="AI29" s="20">
        <f>AG$6*'2008A'!$F29</f>
        <v>160.41809279999998</v>
      </c>
      <c r="AK29" s="33">
        <f t="shared" si="10"/>
        <v>2367.552</v>
      </c>
      <c r="AL29" s="33">
        <f t="shared" si="11"/>
        <v>575.1435888000001</v>
      </c>
      <c r="AM29" s="33">
        <f t="shared" si="4"/>
        <v>2942.6955888</v>
      </c>
      <c r="AN29" s="20">
        <f>AL$6*'2008A'!$F29</f>
        <v>29.1289152</v>
      </c>
      <c r="AP29" s="33">
        <f t="shared" si="50"/>
        <v>33040</v>
      </c>
      <c r="AQ29" s="33">
        <f t="shared" si="28"/>
        <v>8026.326</v>
      </c>
      <c r="AR29" s="33">
        <f t="shared" si="12"/>
        <v>41066.326</v>
      </c>
      <c r="AS29" s="20">
        <f>AQ$6*'2008A'!$F29</f>
        <v>406.504</v>
      </c>
      <c r="AU29" s="33">
        <f t="shared" si="51"/>
        <v>24438.744</v>
      </c>
      <c r="AV29" s="33">
        <f t="shared" si="29"/>
        <v>5936.8440186</v>
      </c>
      <c r="AW29" s="33">
        <f t="shared" si="30"/>
        <v>30375.5880186</v>
      </c>
      <c r="AX29" s="20">
        <f>AV$6*'2008A'!$F29</f>
        <v>300.67939440000004</v>
      </c>
      <c r="AZ29" s="51">
        <f t="shared" si="13"/>
        <v>12926.192</v>
      </c>
      <c r="BA29" s="51">
        <f t="shared" si="14"/>
        <v>3140.1280548</v>
      </c>
      <c r="BB29" s="33">
        <f t="shared" si="5"/>
        <v>16066.320054799999</v>
      </c>
      <c r="BC29" s="20">
        <f>BA$6*'2008A'!$F29</f>
        <v>159.03597919999999</v>
      </c>
      <c r="BE29" s="51">
        <f t="shared" si="52"/>
        <v>36855.648</v>
      </c>
      <c r="BF29" s="51">
        <f t="shared" si="31"/>
        <v>8953.2519912</v>
      </c>
      <c r="BG29" s="33">
        <f t="shared" si="64"/>
        <v>45808.8999912</v>
      </c>
      <c r="BH29" s="20">
        <f>BF$6*'2008A'!$F29</f>
        <v>453.4494048</v>
      </c>
      <c r="BJ29" s="33">
        <f t="shared" si="53"/>
        <v>17317.208</v>
      </c>
      <c r="BK29" s="33">
        <f t="shared" si="32"/>
        <v>4206.8267802</v>
      </c>
      <c r="BL29" s="33">
        <f t="shared" si="6"/>
        <v>21524.0347802</v>
      </c>
      <c r="BM29" s="20">
        <f>BK$6*'2008A'!$F29</f>
        <v>213.0603608</v>
      </c>
      <c r="BO29" s="33">
        <f t="shared" si="54"/>
        <v>12533.015999999998</v>
      </c>
      <c r="BP29" s="33">
        <f t="shared" si="33"/>
        <v>3044.6147754</v>
      </c>
      <c r="BQ29" s="33">
        <f t="shared" si="65"/>
        <v>15577.630775399997</v>
      </c>
      <c r="BR29" s="20">
        <f>BP$6*'2008A'!$F29</f>
        <v>154.1985816</v>
      </c>
      <c r="BT29" s="33">
        <f t="shared" si="55"/>
        <v>18039.368</v>
      </c>
      <c r="BU29" s="33">
        <f t="shared" si="34"/>
        <v>4382.2593342</v>
      </c>
      <c r="BV29" s="33">
        <f t="shared" si="35"/>
        <v>22421.6273342</v>
      </c>
      <c r="BW29" s="20">
        <f>BU$6*'2008A'!$F29</f>
        <v>221.9453768</v>
      </c>
      <c r="BY29" s="33">
        <f t="shared" si="56"/>
        <v>3710.3920000000003</v>
      </c>
      <c r="BZ29" s="33">
        <f t="shared" si="36"/>
        <v>901.3564097999999</v>
      </c>
      <c r="CA29" s="33">
        <f t="shared" si="15"/>
        <v>4611.7484098</v>
      </c>
      <c r="CB29" s="20">
        <f>BZ$6*'2008A'!$F29</f>
        <v>45.650399199999995</v>
      </c>
      <c r="CD29" s="33">
        <f t="shared" si="57"/>
        <v>14076.456</v>
      </c>
      <c r="CE29" s="33">
        <f t="shared" si="37"/>
        <v>3419.5588614000003</v>
      </c>
      <c r="CF29" s="33">
        <f t="shared" si="38"/>
        <v>17496.0148614</v>
      </c>
      <c r="CG29" s="20">
        <f>CE$6*'2008A'!$F29</f>
        <v>173.18812559999998</v>
      </c>
      <c r="CI29" s="33">
        <f t="shared" si="58"/>
        <v>3511.208</v>
      </c>
      <c r="CJ29" s="33">
        <f t="shared" si="39"/>
        <v>852.9691301999999</v>
      </c>
      <c r="CK29" s="33">
        <f t="shared" si="66"/>
        <v>4364.1771302</v>
      </c>
      <c r="CL29" s="20">
        <f>CJ$6*'2008A'!$F29</f>
        <v>43.1997608</v>
      </c>
      <c r="CN29" s="33">
        <f t="shared" si="59"/>
        <v>14108.552</v>
      </c>
      <c r="CO29" s="33">
        <f t="shared" si="40"/>
        <v>3427.3558638</v>
      </c>
      <c r="CP29" s="33">
        <f t="shared" si="16"/>
        <v>17535.9078638</v>
      </c>
      <c r="CQ29" s="20">
        <f>CO$6*'2008A'!$F29</f>
        <v>173.5830152</v>
      </c>
      <c r="CS29" s="33">
        <f t="shared" si="60"/>
        <v>78962.296</v>
      </c>
      <c r="CT29" s="33">
        <f t="shared" si="41"/>
        <v>19182.1165074</v>
      </c>
      <c r="CU29" s="33">
        <f t="shared" si="17"/>
        <v>98144.4125074</v>
      </c>
      <c r="CV29" s="20">
        <f>CT$6*'2008A'!$F29</f>
        <v>971.5039095999999</v>
      </c>
      <c r="CX29" s="33">
        <f t="shared" si="61"/>
        <v>229.39199999999997</v>
      </c>
      <c r="CY29" s="33">
        <f t="shared" si="42"/>
        <v>55.725634799999995</v>
      </c>
      <c r="CZ29" s="33">
        <f t="shared" si="18"/>
        <v>285.11763479999996</v>
      </c>
      <c r="DA29" s="20">
        <f>CY$6*'2008A'!$F29</f>
        <v>2.8222992000000002</v>
      </c>
      <c r="DC29" s="33">
        <f t="shared" si="62"/>
        <v>15055.383999999998</v>
      </c>
      <c r="DD29" s="33">
        <f t="shared" si="43"/>
        <v>3657.3674346</v>
      </c>
      <c r="DE29" s="33">
        <f t="shared" si="19"/>
        <v>18712.7514346</v>
      </c>
      <c r="DF29" s="20">
        <f>DD$6*'2008A'!$F29</f>
        <v>185.2322584</v>
      </c>
      <c r="DH29" s="33">
        <f t="shared" si="63"/>
        <v>13217.416000000001</v>
      </c>
      <c r="DI29" s="33">
        <f t="shared" si="44"/>
        <v>3210.8743854</v>
      </c>
      <c r="DJ29" s="33">
        <f t="shared" si="20"/>
        <v>16428.2903854</v>
      </c>
      <c r="DK29" s="20">
        <f>DI$6*'2008A'!$F29</f>
        <v>162.6190216</v>
      </c>
    </row>
    <row r="30" spans="1:115" ht="12.75">
      <c r="A30" s="52">
        <v>44105</v>
      </c>
      <c r="D30" s="35">
        <v>1052218</v>
      </c>
      <c r="E30" s="35">
        <f t="shared" si="0"/>
        <v>1052218</v>
      </c>
      <c r="G30" s="71"/>
      <c r="H30" s="51">
        <f t="shared" si="1"/>
        <v>106609.2546548</v>
      </c>
      <c r="I30" s="51">
        <f t="shared" si="21"/>
        <v>106609.2546548</v>
      </c>
      <c r="J30" s="51">
        <f t="shared" si="1"/>
        <v>5883.7737392</v>
      </c>
      <c r="M30" s="33">
        <f t="shared" si="22"/>
        <v>10653.70725</v>
      </c>
      <c r="N30" s="33">
        <f t="shared" si="8"/>
        <v>10653.70725</v>
      </c>
      <c r="O30" s="20">
        <f>M$6*'2008A'!$F30</f>
        <v>587.979</v>
      </c>
      <c r="R30" s="51">
        <f t="shared" si="23"/>
        <v>25005.3294392</v>
      </c>
      <c r="S30" s="51">
        <f t="shared" si="9"/>
        <v>25005.3294392</v>
      </c>
      <c r="T30" s="20">
        <f>R$6*'2008A'!$F30</f>
        <v>1380.0462368</v>
      </c>
      <c r="W30" s="33">
        <f t="shared" si="24"/>
        <v>723.5050968</v>
      </c>
      <c r="X30" s="33">
        <f t="shared" si="2"/>
        <v>723.5050968</v>
      </c>
      <c r="Y30" s="20">
        <f>W$6*'2008A'!$F30</f>
        <v>39.9303072</v>
      </c>
      <c r="AA30" s="51"/>
      <c r="AB30" s="33">
        <f t="shared" si="25"/>
        <v>355.1235750000001</v>
      </c>
      <c r="AC30" s="33">
        <f t="shared" si="3"/>
        <v>355.1235750000001</v>
      </c>
      <c r="AD30" s="20">
        <f>AB$6*'2008A'!$F30</f>
        <v>19.5993</v>
      </c>
      <c r="AG30" s="33">
        <f t="shared" si="26"/>
        <v>2906.6470032</v>
      </c>
      <c r="AH30" s="33">
        <f t="shared" si="27"/>
        <v>2906.6470032</v>
      </c>
      <c r="AI30" s="20">
        <f>AG$6*'2008A'!$F30</f>
        <v>160.41809279999998</v>
      </c>
      <c r="AL30" s="33">
        <f t="shared" si="11"/>
        <v>527.7925488</v>
      </c>
      <c r="AM30" s="33">
        <f t="shared" si="4"/>
        <v>527.7925488</v>
      </c>
      <c r="AN30" s="20">
        <f>AL$6*'2008A'!$F30</f>
        <v>29.1289152</v>
      </c>
      <c r="AQ30" s="33">
        <f t="shared" si="28"/>
        <v>7365.526</v>
      </c>
      <c r="AR30" s="33">
        <f t="shared" si="12"/>
        <v>7365.526</v>
      </c>
      <c r="AS30" s="20">
        <f>AQ$6*'2008A'!$F30</f>
        <v>406.504</v>
      </c>
      <c r="AV30" s="33">
        <f t="shared" si="29"/>
        <v>5448.0691386</v>
      </c>
      <c r="AW30" s="33">
        <f t="shared" si="30"/>
        <v>5448.0691386</v>
      </c>
      <c r="AX30" s="20">
        <f>AV$6*'2008A'!$F30</f>
        <v>300.67939440000004</v>
      </c>
      <c r="AZ30" s="51"/>
      <c r="BA30" s="51">
        <f t="shared" si="14"/>
        <v>2881.6042148</v>
      </c>
      <c r="BB30" s="33">
        <f t="shared" si="5"/>
        <v>2881.6042148</v>
      </c>
      <c r="BC30" s="20">
        <f>BA$6*'2008A'!$F30</f>
        <v>159.03597919999999</v>
      </c>
      <c r="BE30" s="51"/>
      <c r="BF30" s="51">
        <f t="shared" si="31"/>
        <v>8216.1390312</v>
      </c>
      <c r="BG30" s="33">
        <f t="shared" si="64"/>
        <v>8216.1390312</v>
      </c>
      <c r="BH30" s="20">
        <f>BF$6*'2008A'!$F30</f>
        <v>453.4494048</v>
      </c>
      <c r="BK30" s="33">
        <f t="shared" si="32"/>
        <v>3860.4826201999995</v>
      </c>
      <c r="BL30" s="33">
        <f t="shared" si="6"/>
        <v>3860.4826201999995</v>
      </c>
      <c r="BM30" s="20">
        <f>BK$6*'2008A'!$F30</f>
        <v>213.0603608</v>
      </c>
      <c r="BP30" s="33">
        <f t="shared" si="33"/>
        <v>2793.9544554</v>
      </c>
      <c r="BQ30" s="33">
        <f t="shared" si="65"/>
        <v>2793.9544554</v>
      </c>
      <c r="BR30" s="20">
        <f>BP$6*'2008A'!$F30</f>
        <v>154.1985816</v>
      </c>
      <c r="BU30" s="33">
        <f t="shared" si="34"/>
        <v>4021.4719741999997</v>
      </c>
      <c r="BV30" s="33">
        <f t="shared" si="35"/>
        <v>4021.4719741999997</v>
      </c>
      <c r="BW30" s="20">
        <f>BU$6*'2008A'!$F30</f>
        <v>221.9453768</v>
      </c>
      <c r="BZ30" s="33">
        <f t="shared" si="36"/>
        <v>827.1485698</v>
      </c>
      <c r="CA30" s="33">
        <f t="shared" si="15"/>
        <v>827.1485698</v>
      </c>
      <c r="CB30" s="20">
        <f>BZ$6*'2008A'!$F30</f>
        <v>45.650399199999995</v>
      </c>
      <c r="CE30" s="33">
        <f t="shared" si="37"/>
        <v>3138.0297414</v>
      </c>
      <c r="CF30" s="33">
        <f t="shared" si="38"/>
        <v>3138.0297414</v>
      </c>
      <c r="CG30" s="20">
        <f>CE$6*'2008A'!$F30</f>
        <v>173.18812559999998</v>
      </c>
      <c r="CJ30" s="33">
        <f t="shared" si="39"/>
        <v>782.7449701999999</v>
      </c>
      <c r="CK30" s="33">
        <f t="shared" si="66"/>
        <v>782.7449701999999</v>
      </c>
      <c r="CL30" s="20">
        <f>CJ$6*'2008A'!$F30</f>
        <v>43.1997608</v>
      </c>
      <c r="CO30" s="33">
        <f t="shared" si="40"/>
        <v>3145.1848238000002</v>
      </c>
      <c r="CP30" s="33">
        <f t="shared" si="16"/>
        <v>3145.1848238000002</v>
      </c>
      <c r="CQ30" s="20">
        <f>CO$6*'2008A'!$F30</f>
        <v>173.5830152</v>
      </c>
      <c r="CT30" s="33">
        <f t="shared" si="41"/>
        <v>17602.8705874</v>
      </c>
      <c r="CU30" s="33">
        <f t="shared" si="17"/>
        <v>17602.8705874</v>
      </c>
      <c r="CV30" s="20">
        <f>CT$6*'2008A'!$F30</f>
        <v>971.5039095999999</v>
      </c>
      <c r="CY30" s="33">
        <f t="shared" si="42"/>
        <v>51.1377948</v>
      </c>
      <c r="CZ30" s="33">
        <f t="shared" si="18"/>
        <v>51.1377948</v>
      </c>
      <c r="DA30" s="20">
        <f>CY$6*'2008A'!$F30</f>
        <v>2.8222992000000002</v>
      </c>
      <c r="DD30" s="33">
        <f t="shared" si="43"/>
        <v>3356.2597545999997</v>
      </c>
      <c r="DE30" s="33">
        <f t="shared" si="19"/>
        <v>3356.2597545999997</v>
      </c>
      <c r="DF30" s="20">
        <f>DD$6*'2008A'!$F30</f>
        <v>185.2322584</v>
      </c>
      <c r="DI30" s="33">
        <f t="shared" si="44"/>
        <v>2946.5260654</v>
      </c>
      <c r="DJ30" s="33">
        <f t="shared" si="20"/>
        <v>2946.5260654</v>
      </c>
      <c r="DK30" s="20">
        <f>DI$6*'2008A'!$F30</f>
        <v>162.6190216</v>
      </c>
    </row>
    <row r="31" spans="1:115" ht="12.75">
      <c r="A31" s="52">
        <v>44287</v>
      </c>
      <c r="C31" s="35">
        <v>4910000</v>
      </c>
      <c r="D31" s="35">
        <v>1052218</v>
      </c>
      <c r="E31" s="35">
        <f t="shared" si="0"/>
        <v>5962218</v>
      </c>
      <c r="G31" s="71">
        <f t="shared" si="7"/>
        <v>497474.326</v>
      </c>
      <c r="H31" s="51">
        <f t="shared" si="1"/>
        <v>106609.2546548</v>
      </c>
      <c r="I31" s="51">
        <f t="shared" si="21"/>
        <v>604083.5806547999</v>
      </c>
      <c r="J31" s="51">
        <f t="shared" si="1"/>
        <v>5883.7737392</v>
      </c>
      <c r="L31" s="33">
        <f t="shared" si="45"/>
        <v>49713.75</v>
      </c>
      <c r="M31" s="33">
        <f t="shared" si="22"/>
        <v>10653.70725</v>
      </c>
      <c r="N31" s="33">
        <f t="shared" si="8"/>
        <v>60367.45725</v>
      </c>
      <c r="O31" s="20">
        <f>M$6*'2008A'!$F31</f>
        <v>587.979</v>
      </c>
      <c r="Q31" s="33">
        <f t="shared" si="46"/>
        <v>116683.204</v>
      </c>
      <c r="R31" s="51">
        <f t="shared" si="23"/>
        <v>25005.3294392</v>
      </c>
      <c r="S31" s="51">
        <f t="shared" si="9"/>
        <v>141688.5334392</v>
      </c>
      <c r="T31" s="20">
        <f>R$6*'2008A'!$F31</f>
        <v>1380.0462368</v>
      </c>
      <c r="V31" s="33">
        <f t="shared" si="47"/>
        <v>3376.1160000000004</v>
      </c>
      <c r="W31" s="33">
        <f t="shared" si="24"/>
        <v>723.5050968</v>
      </c>
      <c r="X31" s="33">
        <f t="shared" si="2"/>
        <v>4099.6210968000005</v>
      </c>
      <c r="Y31" s="20">
        <f>W$6*'2008A'!$F31</f>
        <v>39.9303072</v>
      </c>
      <c r="AA31" s="51">
        <f t="shared" si="48"/>
        <v>1657.125</v>
      </c>
      <c r="AB31" s="33">
        <f t="shared" si="25"/>
        <v>355.1235750000001</v>
      </c>
      <c r="AC31" s="33">
        <f t="shared" si="3"/>
        <v>2012.248575</v>
      </c>
      <c r="AD31" s="20">
        <f>AB$6*'2008A'!$F31</f>
        <v>19.5993</v>
      </c>
      <c r="AF31" s="33">
        <f t="shared" si="49"/>
        <v>13563.383999999998</v>
      </c>
      <c r="AG31" s="33">
        <f t="shared" si="26"/>
        <v>2906.6470032</v>
      </c>
      <c r="AH31" s="33">
        <f t="shared" si="27"/>
        <v>16470.031003199998</v>
      </c>
      <c r="AI31" s="20">
        <f>AG$6*'2008A'!$F31</f>
        <v>160.41809279999998</v>
      </c>
      <c r="AK31" s="33">
        <f t="shared" si="10"/>
        <v>2462.856</v>
      </c>
      <c r="AL31" s="33">
        <f t="shared" si="11"/>
        <v>527.7925488</v>
      </c>
      <c r="AM31" s="33">
        <f t="shared" si="4"/>
        <v>2990.6485488000003</v>
      </c>
      <c r="AN31" s="20">
        <f>AL$6*'2008A'!$F31</f>
        <v>29.1289152</v>
      </c>
      <c r="AP31" s="33">
        <f t="shared" si="50"/>
        <v>34370</v>
      </c>
      <c r="AQ31" s="33">
        <f t="shared" si="28"/>
        <v>7365.526</v>
      </c>
      <c r="AR31" s="33">
        <f t="shared" si="12"/>
        <v>41735.526</v>
      </c>
      <c r="AS31" s="20">
        <f>AQ$6*'2008A'!$F31</f>
        <v>406.504</v>
      </c>
      <c r="AU31" s="33">
        <f t="shared" si="51"/>
        <v>25422.506999999998</v>
      </c>
      <c r="AV31" s="33">
        <f t="shared" si="29"/>
        <v>5448.0691386</v>
      </c>
      <c r="AW31" s="33">
        <f t="shared" si="30"/>
        <v>30870.576138599998</v>
      </c>
      <c r="AX31" s="20">
        <f>AV$6*'2008A'!$F31</f>
        <v>300.67939440000004</v>
      </c>
      <c r="AZ31" s="51">
        <f t="shared" si="13"/>
        <v>13446.525999999998</v>
      </c>
      <c r="BA31" s="51">
        <f t="shared" si="14"/>
        <v>2881.6042148</v>
      </c>
      <c r="BB31" s="33">
        <f t="shared" si="5"/>
        <v>16328.130214799998</v>
      </c>
      <c r="BC31" s="20">
        <f>BA$6*'2008A'!$F31</f>
        <v>159.03597919999999</v>
      </c>
      <c r="BE31" s="51">
        <f t="shared" si="52"/>
        <v>38339.244</v>
      </c>
      <c r="BF31" s="51">
        <f t="shared" si="31"/>
        <v>8216.1390312</v>
      </c>
      <c r="BG31" s="33">
        <f t="shared" si="64"/>
        <v>46555.3830312</v>
      </c>
      <c r="BH31" s="20">
        <f>BF$6*'2008A'!$F31</f>
        <v>453.4494048</v>
      </c>
      <c r="BJ31" s="33">
        <f t="shared" si="53"/>
        <v>18014.299</v>
      </c>
      <c r="BK31" s="33">
        <f t="shared" si="32"/>
        <v>3860.4826201999995</v>
      </c>
      <c r="BL31" s="33">
        <f t="shared" si="6"/>
        <v>21874.7816202</v>
      </c>
      <c r="BM31" s="20">
        <f>BK$6*'2008A'!$F31</f>
        <v>213.0603608</v>
      </c>
      <c r="BO31" s="33">
        <f t="shared" si="54"/>
        <v>13037.523000000001</v>
      </c>
      <c r="BP31" s="33">
        <f t="shared" si="33"/>
        <v>2793.9544554</v>
      </c>
      <c r="BQ31" s="33">
        <f t="shared" si="65"/>
        <v>15831.477455400001</v>
      </c>
      <c r="BR31" s="20">
        <f>BP$6*'2008A'!$F31</f>
        <v>154.1985816</v>
      </c>
      <c r="BT31" s="33">
        <f t="shared" si="55"/>
        <v>18765.529</v>
      </c>
      <c r="BU31" s="33">
        <f t="shared" si="34"/>
        <v>4021.4719741999997</v>
      </c>
      <c r="BV31" s="33">
        <f t="shared" si="35"/>
        <v>22787.000974199997</v>
      </c>
      <c r="BW31" s="20">
        <f>BU$6*'2008A'!$F31</f>
        <v>221.9453768</v>
      </c>
      <c r="BY31" s="33">
        <f t="shared" si="56"/>
        <v>3859.7509999999997</v>
      </c>
      <c r="BZ31" s="33">
        <f t="shared" si="36"/>
        <v>827.1485698</v>
      </c>
      <c r="CA31" s="33">
        <f t="shared" si="15"/>
        <v>4686.8995698</v>
      </c>
      <c r="CB31" s="20">
        <f>BZ$6*'2008A'!$F31</f>
        <v>45.650399199999995</v>
      </c>
      <c r="CD31" s="33">
        <f t="shared" si="57"/>
        <v>14643.093</v>
      </c>
      <c r="CE31" s="33">
        <f t="shared" si="37"/>
        <v>3138.0297414</v>
      </c>
      <c r="CF31" s="33">
        <f t="shared" si="38"/>
        <v>17781.122741400002</v>
      </c>
      <c r="CG31" s="20">
        <f>CE$6*'2008A'!$F31</f>
        <v>173.18812559999998</v>
      </c>
      <c r="CI31" s="33">
        <f t="shared" si="58"/>
        <v>3652.5489999999995</v>
      </c>
      <c r="CJ31" s="33">
        <f t="shared" si="39"/>
        <v>782.7449701999999</v>
      </c>
      <c r="CK31" s="33">
        <f t="shared" si="66"/>
        <v>4435.293970199999</v>
      </c>
      <c r="CL31" s="20">
        <f>CJ$6*'2008A'!$F31</f>
        <v>43.1997608</v>
      </c>
      <c r="CN31" s="33">
        <f t="shared" si="59"/>
        <v>14676.481000000002</v>
      </c>
      <c r="CO31" s="33">
        <f t="shared" si="40"/>
        <v>3145.1848238000002</v>
      </c>
      <c r="CP31" s="33">
        <f t="shared" si="16"/>
        <v>17821.6658238</v>
      </c>
      <c r="CQ31" s="20">
        <f>CO$6*'2008A'!$F31</f>
        <v>173.5830152</v>
      </c>
      <c r="CS31" s="33">
        <f t="shared" si="60"/>
        <v>82140.863</v>
      </c>
      <c r="CT31" s="33">
        <f t="shared" si="41"/>
        <v>17602.8705874</v>
      </c>
      <c r="CU31" s="33">
        <f t="shared" si="17"/>
        <v>99743.7335874</v>
      </c>
      <c r="CV31" s="20">
        <f>CT$6*'2008A'!$F31</f>
        <v>971.5039095999999</v>
      </c>
      <c r="CX31" s="33">
        <f t="shared" si="61"/>
        <v>238.62599999999998</v>
      </c>
      <c r="CY31" s="33">
        <f t="shared" si="42"/>
        <v>51.1377948</v>
      </c>
      <c r="CZ31" s="33">
        <f t="shared" si="18"/>
        <v>289.76379479999997</v>
      </c>
      <c r="DA31" s="20">
        <f>CY$6*'2008A'!$F31</f>
        <v>2.8222992000000002</v>
      </c>
      <c r="DC31" s="33">
        <f t="shared" si="62"/>
        <v>15661.427</v>
      </c>
      <c r="DD31" s="33">
        <f t="shared" si="43"/>
        <v>3356.2597545999997</v>
      </c>
      <c r="DE31" s="33">
        <f t="shared" si="19"/>
        <v>19017.6867546</v>
      </c>
      <c r="DF31" s="20">
        <f>DD$6*'2008A'!$F31</f>
        <v>185.2322584</v>
      </c>
      <c r="DH31" s="33">
        <f t="shared" si="63"/>
        <v>13749.473</v>
      </c>
      <c r="DI31" s="33">
        <f t="shared" si="44"/>
        <v>2946.5260654</v>
      </c>
      <c r="DJ31" s="33">
        <f t="shared" si="20"/>
        <v>16695.9990654</v>
      </c>
      <c r="DK31" s="20">
        <f>DI$6*'2008A'!$F31</f>
        <v>162.6190216</v>
      </c>
    </row>
    <row r="32" spans="1:115" ht="12.75">
      <c r="A32" s="52">
        <v>44470</v>
      </c>
      <c r="D32" s="35">
        <v>954018</v>
      </c>
      <c r="E32" s="35">
        <f t="shared" si="0"/>
        <v>954018</v>
      </c>
      <c r="G32" s="71"/>
      <c r="H32" s="51">
        <f t="shared" si="1"/>
        <v>96659.76813480003</v>
      </c>
      <c r="I32" s="51">
        <f t="shared" si="21"/>
        <v>96659.76813480003</v>
      </c>
      <c r="J32" s="51">
        <f t="shared" si="1"/>
        <v>5883.7737392</v>
      </c>
      <c r="M32" s="33">
        <f t="shared" si="22"/>
        <v>9659.43225</v>
      </c>
      <c r="N32" s="33">
        <f t="shared" si="8"/>
        <v>9659.43225</v>
      </c>
      <c r="O32" s="20">
        <f>M$6*'2008A'!$F32</f>
        <v>587.979</v>
      </c>
      <c r="R32" s="51">
        <f t="shared" si="23"/>
        <v>22671.6653592</v>
      </c>
      <c r="S32" s="51">
        <f t="shared" si="9"/>
        <v>22671.6653592</v>
      </c>
      <c r="T32" s="20">
        <f>R$6*'2008A'!$F32</f>
        <v>1380.0462368</v>
      </c>
      <c r="W32" s="33">
        <f t="shared" si="24"/>
        <v>655.9827768</v>
      </c>
      <c r="X32" s="33">
        <f t="shared" si="2"/>
        <v>655.9827768</v>
      </c>
      <c r="Y32" s="20">
        <f>W$6*'2008A'!$F32</f>
        <v>39.9303072</v>
      </c>
      <c r="AA32" s="51"/>
      <c r="AB32" s="33">
        <f t="shared" si="25"/>
        <v>321.98107500000003</v>
      </c>
      <c r="AC32" s="33">
        <f t="shared" si="3"/>
        <v>321.98107500000003</v>
      </c>
      <c r="AD32" s="20">
        <f>AB$6*'2008A'!$F32</f>
        <v>19.5993</v>
      </c>
      <c r="AG32" s="33">
        <f t="shared" si="26"/>
        <v>2635.3793232</v>
      </c>
      <c r="AH32" s="33">
        <f t="shared" si="27"/>
        <v>2635.3793232</v>
      </c>
      <c r="AI32" s="20">
        <f>AG$6*'2008A'!$F32</f>
        <v>160.41809279999998</v>
      </c>
      <c r="AL32" s="33">
        <f t="shared" si="11"/>
        <v>478.53542880000003</v>
      </c>
      <c r="AM32" s="33">
        <f t="shared" si="4"/>
        <v>478.53542880000003</v>
      </c>
      <c r="AN32" s="20">
        <f>AL$6*'2008A'!$F32</f>
        <v>29.1289152</v>
      </c>
      <c r="AQ32" s="33">
        <f t="shared" si="28"/>
        <v>6678.126</v>
      </c>
      <c r="AR32" s="33">
        <f t="shared" si="12"/>
        <v>6678.126</v>
      </c>
      <c r="AS32" s="20">
        <f>AQ$6*'2008A'!$F32</f>
        <v>406.504</v>
      </c>
      <c r="AV32" s="33">
        <f t="shared" si="29"/>
        <v>4939.618998599999</v>
      </c>
      <c r="AW32" s="33">
        <f t="shared" si="30"/>
        <v>4939.618998599999</v>
      </c>
      <c r="AX32" s="20">
        <f>AV$6*'2008A'!$F32</f>
        <v>300.67939440000004</v>
      </c>
      <c r="AZ32" s="51"/>
      <c r="BA32" s="51">
        <f t="shared" si="14"/>
        <v>2612.6736948</v>
      </c>
      <c r="BB32" s="33">
        <f t="shared" si="5"/>
        <v>2612.6736948</v>
      </c>
      <c r="BC32" s="20">
        <f>BA$6*'2008A'!$F32</f>
        <v>159.03597919999999</v>
      </c>
      <c r="BE32" s="51"/>
      <c r="BF32" s="51">
        <f t="shared" si="31"/>
        <v>7449.3541512</v>
      </c>
      <c r="BG32" s="33">
        <f t="shared" si="64"/>
        <v>7449.3541512</v>
      </c>
      <c r="BH32" s="20">
        <f>BF$6*'2008A'!$F32</f>
        <v>453.4494048</v>
      </c>
      <c r="BK32" s="33">
        <f t="shared" si="32"/>
        <v>3500.1966402</v>
      </c>
      <c r="BL32" s="33">
        <f t="shared" si="6"/>
        <v>3500.1966402</v>
      </c>
      <c r="BM32" s="20">
        <f>BK$6*'2008A'!$F32</f>
        <v>213.0603608</v>
      </c>
      <c r="BP32" s="33">
        <f t="shared" si="33"/>
        <v>2533.2039953999997</v>
      </c>
      <c r="BQ32" s="33">
        <f t="shared" si="65"/>
        <v>2533.2039953999997</v>
      </c>
      <c r="BR32" s="20">
        <f>BP$6*'2008A'!$F32</f>
        <v>154.1985816</v>
      </c>
      <c r="BU32" s="33">
        <f t="shared" si="34"/>
        <v>3646.1613941999994</v>
      </c>
      <c r="BV32" s="33">
        <f t="shared" si="35"/>
        <v>3646.1613941999994</v>
      </c>
      <c r="BW32" s="20">
        <f>BU$6*'2008A'!$F32</f>
        <v>221.9453768</v>
      </c>
      <c r="BZ32" s="33">
        <f t="shared" si="36"/>
        <v>749.9535498</v>
      </c>
      <c r="CA32" s="33">
        <f t="shared" si="15"/>
        <v>749.9535498</v>
      </c>
      <c r="CB32" s="20">
        <f>BZ$6*'2008A'!$F32</f>
        <v>45.650399199999995</v>
      </c>
      <c r="CE32" s="33">
        <f t="shared" si="37"/>
        <v>2845.1678814</v>
      </c>
      <c r="CF32" s="33">
        <f t="shared" si="38"/>
        <v>2845.1678814</v>
      </c>
      <c r="CG32" s="20">
        <f>CE$6*'2008A'!$F32</f>
        <v>173.18812559999998</v>
      </c>
      <c r="CJ32" s="33">
        <f t="shared" si="39"/>
        <v>709.6939901999999</v>
      </c>
      <c r="CK32" s="33">
        <f t="shared" si="66"/>
        <v>709.6939901999999</v>
      </c>
      <c r="CL32" s="20">
        <f>CJ$6*'2008A'!$F32</f>
        <v>43.1997608</v>
      </c>
      <c r="CO32" s="33">
        <f t="shared" si="40"/>
        <v>2851.6552038</v>
      </c>
      <c r="CP32" s="33">
        <f t="shared" si="16"/>
        <v>2851.6552038</v>
      </c>
      <c r="CQ32" s="20">
        <f>CO$6*'2008A'!$F32</f>
        <v>173.5830152</v>
      </c>
      <c r="CT32" s="33">
        <f t="shared" si="41"/>
        <v>15960.053327399999</v>
      </c>
      <c r="CU32" s="33">
        <f t="shared" si="17"/>
        <v>15960.053327399999</v>
      </c>
      <c r="CV32" s="20">
        <f>CT$6*'2008A'!$F32</f>
        <v>971.5039095999999</v>
      </c>
      <c r="CY32" s="33">
        <f t="shared" si="42"/>
        <v>46.365274799999995</v>
      </c>
      <c r="CZ32" s="33">
        <f t="shared" si="18"/>
        <v>46.365274799999995</v>
      </c>
      <c r="DA32" s="20">
        <f>CY$6*'2008A'!$F32</f>
        <v>2.8222992000000002</v>
      </c>
      <c r="DD32" s="33">
        <f t="shared" si="43"/>
        <v>3043.0312146</v>
      </c>
      <c r="DE32" s="33">
        <f t="shared" si="19"/>
        <v>3043.0312146</v>
      </c>
      <c r="DF32" s="20">
        <f>DD$6*'2008A'!$F32</f>
        <v>185.2322584</v>
      </c>
      <c r="DI32" s="33">
        <f t="shared" si="44"/>
        <v>2671.5366054</v>
      </c>
      <c r="DJ32" s="33">
        <f t="shared" si="20"/>
        <v>2671.5366054</v>
      </c>
      <c r="DK32" s="20">
        <f>DI$6*'2008A'!$F32</f>
        <v>162.6190216</v>
      </c>
    </row>
    <row r="33" spans="1:115" ht="12.75">
      <c r="A33" s="52">
        <v>44652</v>
      </c>
      <c r="B33" s="53"/>
      <c r="C33" s="41">
        <v>5105000</v>
      </c>
      <c r="D33" s="41">
        <v>954018</v>
      </c>
      <c r="E33" s="35">
        <f t="shared" si="0"/>
        <v>6059018</v>
      </c>
      <c r="G33" s="71">
        <f t="shared" si="7"/>
        <v>517231.4530000001</v>
      </c>
      <c r="H33" s="51">
        <f t="shared" si="1"/>
        <v>96659.76813480003</v>
      </c>
      <c r="I33" s="51">
        <f t="shared" si="21"/>
        <v>613891.2211348001</v>
      </c>
      <c r="J33" s="51">
        <f t="shared" si="1"/>
        <v>5883.7737392</v>
      </c>
      <c r="L33" s="33">
        <f t="shared" si="45"/>
        <v>51688.125</v>
      </c>
      <c r="M33" s="33">
        <f t="shared" si="22"/>
        <v>9659.43225</v>
      </c>
      <c r="N33" s="33">
        <f t="shared" si="8"/>
        <v>61347.55725</v>
      </c>
      <c r="O33" s="20">
        <f>M$6*'2008A'!$F33</f>
        <v>587.979</v>
      </c>
      <c r="Q33" s="33">
        <f t="shared" si="46"/>
        <v>121317.26200000002</v>
      </c>
      <c r="R33" s="51">
        <f t="shared" si="23"/>
        <v>22671.6653592</v>
      </c>
      <c r="S33" s="51">
        <f t="shared" si="9"/>
        <v>143988.92735920002</v>
      </c>
      <c r="T33" s="20">
        <f>R$6*'2008A'!$F33</f>
        <v>1380.0462368</v>
      </c>
      <c r="V33" s="33">
        <f t="shared" si="47"/>
        <v>3510.198</v>
      </c>
      <c r="W33" s="33">
        <f t="shared" si="24"/>
        <v>655.9827768</v>
      </c>
      <c r="X33" s="33">
        <f t="shared" si="2"/>
        <v>4166.1807768</v>
      </c>
      <c r="Y33" s="20">
        <f>W$6*'2008A'!$F33</f>
        <v>39.9303072</v>
      </c>
      <c r="AA33" s="51">
        <f t="shared" si="48"/>
        <v>1722.9375</v>
      </c>
      <c r="AB33" s="33">
        <f t="shared" si="25"/>
        <v>321.98107500000003</v>
      </c>
      <c r="AC33" s="33">
        <f t="shared" si="3"/>
        <v>2044.9185750000001</v>
      </c>
      <c r="AD33" s="20">
        <f>AB$6*'2008A'!$F33</f>
        <v>19.5993</v>
      </c>
      <c r="AF33" s="33">
        <f t="shared" si="49"/>
        <v>14102.052</v>
      </c>
      <c r="AG33" s="33">
        <f t="shared" si="26"/>
        <v>2635.3793232</v>
      </c>
      <c r="AH33" s="33">
        <f t="shared" si="27"/>
        <v>16737.4313232</v>
      </c>
      <c r="AI33" s="20">
        <f>AG$6*'2008A'!$F33</f>
        <v>160.41809279999998</v>
      </c>
      <c r="AK33" s="33">
        <f t="shared" si="10"/>
        <v>2560.668</v>
      </c>
      <c r="AL33" s="33">
        <f t="shared" si="11"/>
        <v>478.53542880000003</v>
      </c>
      <c r="AM33" s="33">
        <f t="shared" si="4"/>
        <v>3039.2034288</v>
      </c>
      <c r="AN33" s="20">
        <f>AL$6*'2008A'!$F33</f>
        <v>29.1289152</v>
      </c>
      <c r="AP33" s="33">
        <f t="shared" si="50"/>
        <v>35735</v>
      </c>
      <c r="AQ33" s="33">
        <f t="shared" si="28"/>
        <v>6678.126</v>
      </c>
      <c r="AR33" s="33">
        <f t="shared" si="12"/>
        <v>42413.126000000004</v>
      </c>
      <c r="AS33" s="20">
        <f>AQ$6*'2008A'!$F33</f>
        <v>406.504</v>
      </c>
      <c r="AU33" s="33">
        <f t="shared" si="51"/>
        <v>26432.158499999998</v>
      </c>
      <c r="AV33" s="33">
        <f t="shared" si="29"/>
        <v>4939.618998599999</v>
      </c>
      <c r="AW33" s="33">
        <f t="shared" si="30"/>
        <v>31371.777498599997</v>
      </c>
      <c r="AX33" s="20">
        <f>AV$6*'2008A'!$F33</f>
        <v>300.67939440000004</v>
      </c>
      <c r="AZ33" s="51">
        <f t="shared" si="13"/>
        <v>13980.553</v>
      </c>
      <c r="BA33" s="51">
        <f t="shared" si="14"/>
        <v>2612.6736948</v>
      </c>
      <c r="BB33" s="33">
        <f t="shared" si="5"/>
        <v>16593.2266948</v>
      </c>
      <c r="BC33" s="20">
        <f>BA$6*'2008A'!$F33</f>
        <v>159.03597919999999</v>
      </c>
      <c r="BE33" s="51">
        <f t="shared" si="52"/>
        <v>39861.882</v>
      </c>
      <c r="BF33" s="51">
        <f t="shared" si="31"/>
        <v>7449.3541512</v>
      </c>
      <c r="BG33" s="33">
        <f t="shared" si="64"/>
        <v>47311.2361512</v>
      </c>
      <c r="BH33" s="20">
        <f>BF$6*'2008A'!$F33</f>
        <v>453.4494048</v>
      </c>
      <c r="BJ33" s="33">
        <f t="shared" si="53"/>
        <v>18729.7345</v>
      </c>
      <c r="BK33" s="33">
        <f t="shared" si="32"/>
        <v>3500.1966402</v>
      </c>
      <c r="BL33" s="33">
        <f t="shared" si="6"/>
        <v>22229.9311402</v>
      </c>
      <c r="BM33" s="20">
        <f>BK$6*'2008A'!$F33</f>
        <v>213.0603608</v>
      </c>
      <c r="BO33" s="33">
        <f t="shared" si="54"/>
        <v>13555.306499999999</v>
      </c>
      <c r="BP33" s="33">
        <f t="shared" si="33"/>
        <v>2533.2039953999997</v>
      </c>
      <c r="BQ33" s="33">
        <f t="shared" si="65"/>
        <v>16088.510495399998</v>
      </c>
      <c r="BR33" s="20">
        <f>BP$6*'2008A'!$F33</f>
        <v>154.1985816</v>
      </c>
      <c r="BT33" s="33">
        <f t="shared" si="55"/>
        <v>19510.7995</v>
      </c>
      <c r="BU33" s="33">
        <f t="shared" si="34"/>
        <v>3646.1613941999994</v>
      </c>
      <c r="BV33" s="33">
        <f t="shared" si="35"/>
        <v>23156.9608942</v>
      </c>
      <c r="BW33" s="20">
        <f>BU$6*'2008A'!$F33</f>
        <v>221.9453768</v>
      </c>
      <c r="BY33" s="33">
        <f t="shared" si="56"/>
        <v>4013.0405</v>
      </c>
      <c r="BZ33" s="33">
        <f t="shared" si="36"/>
        <v>749.9535498</v>
      </c>
      <c r="CA33" s="33">
        <f t="shared" si="15"/>
        <v>4762.9940498</v>
      </c>
      <c r="CB33" s="20">
        <f>BZ$6*'2008A'!$F33</f>
        <v>45.650399199999995</v>
      </c>
      <c r="CD33" s="33">
        <f t="shared" si="57"/>
        <v>15224.6415</v>
      </c>
      <c r="CE33" s="33">
        <f t="shared" si="37"/>
        <v>2845.1678814</v>
      </c>
      <c r="CF33" s="33">
        <f t="shared" si="38"/>
        <v>18069.8093814</v>
      </c>
      <c r="CG33" s="20">
        <f>CE$6*'2008A'!$F33</f>
        <v>173.18812559999998</v>
      </c>
      <c r="CI33" s="33">
        <f t="shared" si="58"/>
        <v>3797.6095</v>
      </c>
      <c r="CJ33" s="33">
        <f t="shared" si="39"/>
        <v>709.6939901999999</v>
      </c>
      <c r="CK33" s="33">
        <f t="shared" si="66"/>
        <v>4507.3034902</v>
      </c>
      <c r="CL33" s="20">
        <f>CJ$6*'2008A'!$F33</f>
        <v>43.1997608</v>
      </c>
      <c r="CN33" s="33">
        <f t="shared" si="59"/>
        <v>15259.3555</v>
      </c>
      <c r="CO33" s="33">
        <f t="shared" si="40"/>
        <v>2851.6552038</v>
      </c>
      <c r="CP33" s="33">
        <f t="shared" si="16"/>
        <v>18111.0107038</v>
      </c>
      <c r="CQ33" s="20">
        <f>CO$6*'2008A'!$F33</f>
        <v>173.5830152</v>
      </c>
      <c r="CS33" s="33">
        <f t="shared" si="60"/>
        <v>85403.07650000001</v>
      </c>
      <c r="CT33" s="33">
        <f t="shared" si="41"/>
        <v>15960.053327399999</v>
      </c>
      <c r="CU33" s="33">
        <f t="shared" si="17"/>
        <v>101363.12982740001</v>
      </c>
      <c r="CV33" s="20">
        <f>CT$6*'2008A'!$F33</f>
        <v>971.5039095999999</v>
      </c>
      <c r="CX33" s="33">
        <f t="shared" si="61"/>
        <v>248.10299999999998</v>
      </c>
      <c r="CY33" s="33">
        <f t="shared" si="42"/>
        <v>46.365274799999995</v>
      </c>
      <c r="CZ33" s="33">
        <f t="shared" si="18"/>
        <v>294.46827479999996</v>
      </c>
      <c r="DA33" s="20">
        <f>CY$6*'2008A'!$F33</f>
        <v>2.8222992000000002</v>
      </c>
      <c r="DC33" s="33">
        <f t="shared" si="62"/>
        <v>16283.418499999998</v>
      </c>
      <c r="DD33" s="33">
        <f t="shared" si="43"/>
        <v>3043.0312146</v>
      </c>
      <c r="DE33" s="33">
        <f t="shared" si="19"/>
        <v>19326.4497146</v>
      </c>
      <c r="DF33" s="20">
        <f>DD$6*'2008A'!$F33</f>
        <v>185.2322584</v>
      </c>
      <c r="DH33" s="33">
        <f t="shared" si="63"/>
        <v>14295.5315</v>
      </c>
      <c r="DI33" s="33">
        <f t="shared" si="44"/>
        <v>2671.5366054</v>
      </c>
      <c r="DJ33" s="33">
        <f t="shared" si="20"/>
        <v>16967.068105399998</v>
      </c>
      <c r="DK33" s="20">
        <f>DI$6*'2008A'!$F33</f>
        <v>162.6190216</v>
      </c>
    </row>
    <row r="34" spans="1:115" ht="12.75">
      <c r="A34" s="52">
        <v>44835</v>
      </c>
      <c r="B34" s="53"/>
      <c r="C34" s="41"/>
      <c r="D34" s="41">
        <v>826393</v>
      </c>
      <c r="E34" s="35">
        <f t="shared" si="0"/>
        <v>826393</v>
      </c>
      <c r="G34" s="71"/>
      <c r="H34" s="51">
        <f t="shared" si="1"/>
        <v>83728.98180980003</v>
      </c>
      <c r="I34" s="51">
        <f t="shared" si="21"/>
        <v>83728.98180980003</v>
      </c>
      <c r="J34" s="51">
        <f t="shared" si="1"/>
        <v>5883.7737392</v>
      </c>
      <c r="M34" s="33">
        <f t="shared" si="22"/>
        <v>8367.229125</v>
      </c>
      <c r="N34" s="33">
        <f t="shared" si="8"/>
        <v>8367.229125</v>
      </c>
      <c r="O34" s="20">
        <f>M$6*'2008A'!$F34</f>
        <v>587.979</v>
      </c>
      <c r="R34" s="51">
        <f t="shared" si="23"/>
        <v>19638.733809200003</v>
      </c>
      <c r="S34" s="51">
        <f t="shared" si="9"/>
        <v>19638.733809200003</v>
      </c>
      <c r="T34" s="20">
        <f>R$6*'2008A'!$F34</f>
        <v>1380.0462368</v>
      </c>
      <c r="W34" s="33">
        <f t="shared" si="24"/>
        <v>568.2278268</v>
      </c>
      <c r="X34" s="33">
        <f t="shared" si="2"/>
        <v>568.2278268</v>
      </c>
      <c r="Y34" s="20">
        <f>W$6*'2008A'!$F34</f>
        <v>39.9303072</v>
      </c>
      <c r="AA34" s="51"/>
      <c r="AB34" s="33">
        <f t="shared" si="25"/>
        <v>278.9076375</v>
      </c>
      <c r="AC34" s="33">
        <f t="shared" si="3"/>
        <v>278.9076375</v>
      </c>
      <c r="AD34" s="20">
        <f>AB$6*'2008A'!$F34</f>
        <v>19.5993</v>
      </c>
      <c r="AG34" s="33">
        <f t="shared" si="26"/>
        <v>2282.8280231999997</v>
      </c>
      <c r="AH34" s="33">
        <f t="shared" si="27"/>
        <v>2282.8280231999997</v>
      </c>
      <c r="AI34" s="20">
        <f>AG$6*'2008A'!$F34</f>
        <v>160.41809279999998</v>
      </c>
      <c r="AL34" s="33">
        <f t="shared" si="11"/>
        <v>414.5187288</v>
      </c>
      <c r="AM34" s="33">
        <f t="shared" si="4"/>
        <v>414.5187288</v>
      </c>
      <c r="AN34" s="20">
        <f>AL$6*'2008A'!$F34</f>
        <v>29.1289152</v>
      </c>
      <c r="AQ34" s="33">
        <f t="shared" si="28"/>
        <v>5784.751</v>
      </c>
      <c r="AR34" s="33">
        <f t="shared" si="12"/>
        <v>5784.751</v>
      </c>
      <c r="AS34" s="20">
        <f>AQ$6*'2008A'!$F34</f>
        <v>406.504</v>
      </c>
      <c r="AV34" s="33">
        <f t="shared" si="29"/>
        <v>4278.8150361</v>
      </c>
      <c r="AW34" s="33">
        <f t="shared" si="30"/>
        <v>4278.8150361</v>
      </c>
      <c r="AX34" s="20">
        <f>AV$6*'2008A'!$F34</f>
        <v>300.67939440000004</v>
      </c>
      <c r="AZ34" s="51"/>
      <c r="BA34" s="51">
        <f t="shared" si="14"/>
        <v>2263.1598698</v>
      </c>
      <c r="BB34" s="33">
        <f t="shared" si="5"/>
        <v>2263.1598698</v>
      </c>
      <c r="BC34" s="20">
        <f>BA$6*'2008A'!$F34</f>
        <v>159.03597919999999</v>
      </c>
      <c r="BE34" s="51"/>
      <c r="BF34" s="51">
        <f t="shared" si="31"/>
        <v>6452.807101199999</v>
      </c>
      <c r="BG34" s="33">
        <f t="shared" si="64"/>
        <v>6452.807101199999</v>
      </c>
      <c r="BH34" s="20">
        <f>BF$6*'2008A'!$F34</f>
        <v>453.4494048</v>
      </c>
      <c r="BK34" s="33">
        <f t="shared" si="32"/>
        <v>3031.9532777</v>
      </c>
      <c r="BL34" s="33">
        <f t="shared" si="6"/>
        <v>3031.9532777</v>
      </c>
      <c r="BM34" s="20">
        <f>BK$6*'2008A'!$F34</f>
        <v>213.0603608</v>
      </c>
      <c r="BP34" s="33">
        <f t="shared" si="33"/>
        <v>2194.3213329</v>
      </c>
      <c r="BQ34" s="33">
        <f t="shared" si="65"/>
        <v>2194.3213329</v>
      </c>
      <c r="BR34" s="20">
        <f>BP$6*'2008A'!$F34</f>
        <v>154.1985816</v>
      </c>
      <c r="BU34" s="33">
        <f t="shared" si="34"/>
        <v>3158.3914067</v>
      </c>
      <c r="BV34" s="33">
        <f t="shared" si="35"/>
        <v>3158.3914067</v>
      </c>
      <c r="BW34" s="20">
        <f>BU$6*'2008A'!$F34</f>
        <v>221.9453768</v>
      </c>
      <c r="BZ34" s="33">
        <f t="shared" si="36"/>
        <v>649.6275373</v>
      </c>
      <c r="CA34" s="33">
        <f t="shared" si="15"/>
        <v>649.6275373</v>
      </c>
      <c r="CB34" s="20">
        <f>BZ$6*'2008A'!$F34</f>
        <v>45.650399199999995</v>
      </c>
      <c r="CE34" s="33">
        <f t="shared" si="37"/>
        <v>2464.5518439</v>
      </c>
      <c r="CF34" s="33">
        <f t="shared" si="38"/>
        <v>2464.5518439</v>
      </c>
      <c r="CG34" s="20">
        <f>CE$6*'2008A'!$F34</f>
        <v>173.18812559999998</v>
      </c>
      <c r="CJ34" s="33">
        <f t="shared" si="39"/>
        <v>614.7537527</v>
      </c>
      <c r="CK34" s="33">
        <f t="shared" si="66"/>
        <v>614.7537527</v>
      </c>
      <c r="CL34" s="20">
        <f>CJ$6*'2008A'!$F34</f>
        <v>43.1997608</v>
      </c>
      <c r="CO34" s="33">
        <f t="shared" si="40"/>
        <v>2470.1713163000004</v>
      </c>
      <c r="CP34" s="33">
        <f t="shared" si="16"/>
        <v>2470.1713163000004</v>
      </c>
      <c r="CQ34" s="20">
        <f>CO$6*'2008A'!$F34</f>
        <v>173.5830152</v>
      </c>
      <c r="CT34" s="33">
        <f t="shared" si="41"/>
        <v>13824.9764149</v>
      </c>
      <c r="CU34" s="33">
        <f t="shared" si="17"/>
        <v>13824.9764149</v>
      </c>
      <c r="CV34" s="20">
        <f>CT$6*'2008A'!$F34</f>
        <v>971.5039095999999</v>
      </c>
      <c r="CY34" s="33">
        <f t="shared" si="42"/>
        <v>40.1626998</v>
      </c>
      <c r="CZ34" s="33">
        <f t="shared" si="18"/>
        <v>40.1626998</v>
      </c>
      <c r="DA34" s="20">
        <f>CY$6*'2008A'!$F34</f>
        <v>2.8222992000000002</v>
      </c>
      <c r="DD34" s="33">
        <f t="shared" si="43"/>
        <v>2635.9457521</v>
      </c>
      <c r="DE34" s="33">
        <f t="shared" si="19"/>
        <v>2635.9457521</v>
      </c>
      <c r="DF34" s="20">
        <f>DD$6*'2008A'!$F34</f>
        <v>185.2322584</v>
      </c>
      <c r="DI34" s="33">
        <f t="shared" si="44"/>
        <v>2314.1483179</v>
      </c>
      <c r="DJ34" s="33">
        <f t="shared" si="20"/>
        <v>2314.1483179</v>
      </c>
      <c r="DK34" s="20">
        <f>DI$6*'2008A'!$F34</f>
        <v>162.6190216</v>
      </c>
    </row>
    <row r="35" spans="1:116" s="53" customFormat="1" ht="12.75">
      <c r="A35" s="52">
        <v>45017</v>
      </c>
      <c r="C35" s="41">
        <v>5360000</v>
      </c>
      <c r="D35" s="41">
        <v>826393</v>
      </c>
      <c r="E35" s="35">
        <f t="shared" si="0"/>
        <v>6186393</v>
      </c>
      <c r="F35" s="51"/>
      <c r="G35" s="71">
        <f t="shared" si="7"/>
        <v>543067.696</v>
      </c>
      <c r="H35" s="51">
        <f t="shared" si="1"/>
        <v>83728.98180980003</v>
      </c>
      <c r="I35" s="51">
        <f t="shared" si="21"/>
        <v>626796.6778098</v>
      </c>
      <c r="J35" s="51">
        <f t="shared" si="1"/>
        <v>5883.7737392</v>
      </c>
      <c r="K35" s="51"/>
      <c r="L35" s="33">
        <f t="shared" si="45"/>
        <v>54270</v>
      </c>
      <c r="M35" s="33">
        <f t="shared" si="22"/>
        <v>8367.229125</v>
      </c>
      <c r="N35" s="33">
        <f t="shared" si="8"/>
        <v>62637.229125</v>
      </c>
      <c r="O35" s="20">
        <f>M$6*'2008A'!$F35</f>
        <v>587.979</v>
      </c>
      <c r="P35" s="51"/>
      <c r="Q35" s="33">
        <f t="shared" si="46"/>
        <v>127377.18400000001</v>
      </c>
      <c r="R35" s="51">
        <f t="shared" si="23"/>
        <v>19638.733809200003</v>
      </c>
      <c r="S35" s="51">
        <f t="shared" si="9"/>
        <v>147015.9178092</v>
      </c>
      <c r="T35" s="20">
        <f>R$6*'2008A'!$F35</f>
        <v>1380.0462368</v>
      </c>
      <c r="U35" s="51"/>
      <c r="V35" s="33">
        <f t="shared" si="47"/>
        <v>3685.5360000000005</v>
      </c>
      <c r="W35" s="33">
        <f t="shared" si="24"/>
        <v>568.2278268</v>
      </c>
      <c r="X35" s="33">
        <f t="shared" si="2"/>
        <v>4253.763826800001</v>
      </c>
      <c r="Y35" s="20">
        <f>W$6*'2008A'!$F35</f>
        <v>39.9303072</v>
      </c>
      <c r="Z35" s="51"/>
      <c r="AA35" s="51">
        <f t="shared" si="48"/>
        <v>1809</v>
      </c>
      <c r="AB35" s="33">
        <f t="shared" si="25"/>
        <v>278.9076375</v>
      </c>
      <c r="AC35" s="33">
        <f t="shared" si="3"/>
        <v>2087.9076375</v>
      </c>
      <c r="AD35" s="20">
        <f>AB$6*'2008A'!$F35</f>
        <v>19.5993</v>
      </c>
      <c r="AE35" s="51"/>
      <c r="AF35" s="33">
        <f t="shared" si="49"/>
        <v>14806.464</v>
      </c>
      <c r="AG35" s="33">
        <f t="shared" si="26"/>
        <v>2282.8280231999997</v>
      </c>
      <c r="AH35" s="33">
        <f t="shared" si="27"/>
        <v>17089.2920232</v>
      </c>
      <c r="AI35" s="20">
        <f>AG$6*'2008A'!$F35</f>
        <v>160.41809279999998</v>
      </c>
      <c r="AJ35" s="51"/>
      <c r="AK35" s="33">
        <f t="shared" si="10"/>
        <v>2688.5760000000005</v>
      </c>
      <c r="AL35" s="33">
        <f t="shared" si="11"/>
        <v>414.5187288</v>
      </c>
      <c r="AM35" s="33">
        <f t="shared" si="4"/>
        <v>3103.0947288000007</v>
      </c>
      <c r="AN35" s="20">
        <f>AL$6*'2008A'!$F35</f>
        <v>29.1289152</v>
      </c>
      <c r="AO35" s="51"/>
      <c r="AP35" s="33">
        <f t="shared" si="50"/>
        <v>37519.99999999999</v>
      </c>
      <c r="AQ35" s="33">
        <f t="shared" si="28"/>
        <v>5784.751</v>
      </c>
      <c r="AR35" s="33">
        <f t="shared" si="12"/>
        <v>43304.75099999999</v>
      </c>
      <c r="AS35" s="20">
        <f>AQ$6*'2008A'!$F35</f>
        <v>406.504</v>
      </c>
      <c r="AT35" s="51"/>
      <c r="AU35" s="33">
        <f t="shared" si="51"/>
        <v>27752.471999999998</v>
      </c>
      <c r="AV35" s="33">
        <f t="shared" si="29"/>
        <v>4278.8150361</v>
      </c>
      <c r="AW35" s="33">
        <f t="shared" si="30"/>
        <v>32031.2870361</v>
      </c>
      <c r="AX35" s="20">
        <f>AV$6*'2008A'!$F35</f>
        <v>300.67939440000004</v>
      </c>
      <c r="AY35" s="33"/>
      <c r="AZ35" s="51">
        <f t="shared" si="13"/>
        <v>14678.895999999999</v>
      </c>
      <c r="BA35" s="51">
        <f t="shared" si="14"/>
        <v>2263.1598698</v>
      </c>
      <c r="BB35" s="33">
        <f t="shared" si="5"/>
        <v>16942.0558698</v>
      </c>
      <c r="BC35" s="20">
        <f>BA$6*'2008A'!$F35</f>
        <v>159.03597919999999</v>
      </c>
      <c r="BD35" s="33"/>
      <c r="BE35" s="51">
        <f t="shared" si="52"/>
        <v>41853.024</v>
      </c>
      <c r="BF35" s="51">
        <f t="shared" si="31"/>
        <v>6452.807101199999</v>
      </c>
      <c r="BG35" s="33">
        <f t="shared" si="64"/>
        <v>48305.8311012</v>
      </c>
      <c r="BH35" s="20">
        <f>BF$6*'2008A'!$F35</f>
        <v>453.4494048</v>
      </c>
      <c r="BI35" s="33"/>
      <c r="BJ35" s="33">
        <f t="shared" si="53"/>
        <v>19665.304</v>
      </c>
      <c r="BK35" s="33">
        <f t="shared" si="32"/>
        <v>3031.9532777</v>
      </c>
      <c r="BL35" s="33">
        <f t="shared" si="6"/>
        <v>22697.2572777</v>
      </c>
      <c r="BM35" s="20">
        <f>BK$6*'2008A'!$F35</f>
        <v>213.0603608</v>
      </c>
      <c r="BN35" s="51"/>
      <c r="BO35" s="33">
        <f t="shared" si="54"/>
        <v>14232.408000000001</v>
      </c>
      <c r="BP35" s="33">
        <f t="shared" si="33"/>
        <v>2194.3213329</v>
      </c>
      <c r="BQ35" s="33">
        <f t="shared" si="65"/>
        <v>16426.729332900002</v>
      </c>
      <c r="BR35" s="20">
        <f>BP$6*'2008A'!$F35</f>
        <v>154.1985816</v>
      </c>
      <c r="BS35" s="51"/>
      <c r="BT35" s="33">
        <f t="shared" si="55"/>
        <v>20485.384</v>
      </c>
      <c r="BU35" s="33">
        <f t="shared" si="34"/>
        <v>3158.3914067</v>
      </c>
      <c r="BV35" s="33">
        <f t="shared" si="35"/>
        <v>23643.7754067</v>
      </c>
      <c r="BW35" s="20">
        <f>BU$6*'2008A'!$F35</f>
        <v>221.9453768</v>
      </c>
      <c r="BX35" s="51"/>
      <c r="BY35" s="33">
        <f t="shared" si="56"/>
        <v>4213.496</v>
      </c>
      <c r="BZ35" s="33">
        <f t="shared" si="36"/>
        <v>649.6275373</v>
      </c>
      <c r="CA35" s="33">
        <f t="shared" si="15"/>
        <v>4863.1235373</v>
      </c>
      <c r="CB35" s="20">
        <f>BZ$6*'2008A'!$F35</f>
        <v>45.650399199999995</v>
      </c>
      <c r="CC35" s="33"/>
      <c r="CD35" s="33">
        <f t="shared" si="57"/>
        <v>15985.128</v>
      </c>
      <c r="CE35" s="33">
        <f t="shared" si="37"/>
        <v>2464.5518439</v>
      </c>
      <c r="CF35" s="33">
        <f t="shared" si="38"/>
        <v>18449.6798439</v>
      </c>
      <c r="CG35" s="20">
        <f>CE$6*'2008A'!$F35</f>
        <v>173.18812559999998</v>
      </c>
      <c r="CH35" s="51"/>
      <c r="CI35" s="33">
        <f t="shared" si="58"/>
        <v>3987.3039999999996</v>
      </c>
      <c r="CJ35" s="33">
        <f t="shared" si="39"/>
        <v>614.7537527</v>
      </c>
      <c r="CK35" s="33">
        <f t="shared" si="66"/>
        <v>4602.0577527</v>
      </c>
      <c r="CL35" s="20">
        <f>CJ$6*'2008A'!$F35</f>
        <v>43.1997608</v>
      </c>
      <c r="CM35" s="51"/>
      <c r="CN35" s="33">
        <f t="shared" si="59"/>
        <v>16021.576000000001</v>
      </c>
      <c r="CO35" s="33">
        <f t="shared" si="40"/>
        <v>2470.1713163000004</v>
      </c>
      <c r="CP35" s="33">
        <f t="shared" si="16"/>
        <v>18491.747316300003</v>
      </c>
      <c r="CQ35" s="20">
        <f>CO$6*'2008A'!$F35</f>
        <v>173.5830152</v>
      </c>
      <c r="CR35" s="51"/>
      <c r="CS35" s="33">
        <f t="shared" si="60"/>
        <v>89669.04800000001</v>
      </c>
      <c r="CT35" s="33">
        <f t="shared" si="41"/>
        <v>13824.9764149</v>
      </c>
      <c r="CU35" s="33">
        <f t="shared" si="17"/>
        <v>103494.0244149</v>
      </c>
      <c r="CV35" s="20">
        <f>CT$6*'2008A'!$F35</f>
        <v>971.5039095999999</v>
      </c>
      <c r="CW35" s="51"/>
      <c r="CX35" s="33">
        <f t="shared" si="61"/>
        <v>260.496</v>
      </c>
      <c r="CY35" s="33">
        <f t="shared" si="42"/>
        <v>40.1626998</v>
      </c>
      <c r="CZ35" s="33">
        <f t="shared" si="18"/>
        <v>300.65869979999997</v>
      </c>
      <c r="DA35" s="20">
        <f>CY$6*'2008A'!$F35</f>
        <v>2.8222992000000002</v>
      </c>
      <c r="DB35" s="51"/>
      <c r="DC35" s="33">
        <f t="shared" si="62"/>
        <v>17096.792</v>
      </c>
      <c r="DD35" s="33">
        <f t="shared" si="43"/>
        <v>2635.9457521</v>
      </c>
      <c r="DE35" s="33">
        <f t="shared" si="19"/>
        <v>19732.7377521</v>
      </c>
      <c r="DF35" s="20">
        <f>DD$6*'2008A'!$F35</f>
        <v>185.2322584</v>
      </c>
      <c r="DG35" s="51"/>
      <c r="DH35" s="33">
        <f t="shared" si="63"/>
        <v>15009.608</v>
      </c>
      <c r="DI35" s="33">
        <f t="shared" si="44"/>
        <v>2314.1483179</v>
      </c>
      <c r="DJ35" s="33">
        <f t="shared" si="20"/>
        <v>17323.7563179</v>
      </c>
      <c r="DK35" s="20">
        <f>DI$6*'2008A'!$F35</f>
        <v>162.6190216</v>
      </c>
      <c r="DL35" s="51"/>
    </row>
    <row r="36" spans="1:116" s="53" customFormat="1" ht="12.75">
      <c r="A36" s="52">
        <v>45200</v>
      </c>
      <c r="C36" s="41"/>
      <c r="D36" s="41">
        <v>703113</v>
      </c>
      <c r="E36" s="35">
        <f t="shared" si="0"/>
        <v>703113</v>
      </c>
      <c r="F36" s="51"/>
      <c r="G36" s="71"/>
      <c r="H36" s="51">
        <f t="shared" si="1"/>
        <v>71238.4248018</v>
      </c>
      <c r="I36" s="51">
        <f t="shared" si="21"/>
        <v>71238.4248018</v>
      </c>
      <c r="J36" s="51">
        <f t="shared" si="1"/>
        <v>5883.7737392</v>
      </c>
      <c r="K36" s="51"/>
      <c r="L36" s="33"/>
      <c r="M36" s="33">
        <f t="shared" si="22"/>
        <v>7119.019125</v>
      </c>
      <c r="N36" s="33">
        <f t="shared" si="8"/>
        <v>7119.019125</v>
      </c>
      <c r="O36" s="20">
        <f>M$6*'2008A'!$F36</f>
        <v>587.979</v>
      </c>
      <c r="P36" s="51"/>
      <c r="Q36" s="33"/>
      <c r="R36" s="51">
        <f t="shared" si="23"/>
        <v>16709.0585772</v>
      </c>
      <c r="S36" s="51">
        <f t="shared" si="9"/>
        <v>16709.0585772</v>
      </c>
      <c r="T36" s="20">
        <f>R$6*'2008A'!$F36</f>
        <v>1380.0462368</v>
      </c>
      <c r="U36" s="51"/>
      <c r="V36" s="33"/>
      <c r="W36" s="33">
        <f t="shared" si="24"/>
        <v>483.4604988</v>
      </c>
      <c r="X36" s="33">
        <f t="shared" si="2"/>
        <v>483.4604988</v>
      </c>
      <c r="Y36" s="20">
        <f>W$6*'2008A'!$F36</f>
        <v>39.9303072</v>
      </c>
      <c r="Z36" s="51"/>
      <c r="AA36" s="51"/>
      <c r="AB36" s="33">
        <f t="shared" si="25"/>
        <v>237.30063750000002</v>
      </c>
      <c r="AC36" s="33">
        <f t="shared" si="3"/>
        <v>237.30063750000002</v>
      </c>
      <c r="AD36" s="20">
        <f>AB$6*'2008A'!$F36</f>
        <v>19.5993</v>
      </c>
      <c r="AE36" s="51"/>
      <c r="AF36" s="33"/>
      <c r="AG36" s="33">
        <f t="shared" si="26"/>
        <v>1942.2793511999998</v>
      </c>
      <c r="AH36" s="33">
        <f t="shared" si="27"/>
        <v>1942.2793511999998</v>
      </c>
      <c r="AI36" s="20">
        <f>AG$6*'2008A'!$F36</f>
        <v>160.41809279999998</v>
      </c>
      <c r="AJ36" s="51"/>
      <c r="AK36" s="33"/>
      <c r="AL36" s="33">
        <f t="shared" si="11"/>
        <v>352.6814808</v>
      </c>
      <c r="AM36" s="33">
        <f t="shared" si="4"/>
        <v>352.6814808</v>
      </c>
      <c r="AN36" s="20">
        <f>AL$6*'2008A'!$F36</f>
        <v>29.1289152</v>
      </c>
      <c r="AO36" s="51"/>
      <c r="AP36" s="33"/>
      <c r="AQ36" s="33">
        <f t="shared" si="28"/>
        <v>4921.791</v>
      </c>
      <c r="AR36" s="33">
        <f t="shared" si="12"/>
        <v>4921.791</v>
      </c>
      <c r="AS36" s="20">
        <f>AQ$6*'2008A'!$F36</f>
        <v>406.504</v>
      </c>
      <c r="AT36" s="51"/>
      <c r="AU36" s="33"/>
      <c r="AV36" s="33">
        <f t="shared" si="29"/>
        <v>3640.5081800999997</v>
      </c>
      <c r="AW36" s="33">
        <f t="shared" si="30"/>
        <v>3640.5081800999997</v>
      </c>
      <c r="AX36" s="20">
        <f>AV$6*'2008A'!$F36</f>
        <v>300.67939440000004</v>
      </c>
      <c r="AY36" s="33"/>
      <c r="AZ36" s="51"/>
      <c r="BA36" s="51">
        <f t="shared" si="14"/>
        <v>1925.5452618</v>
      </c>
      <c r="BB36" s="33">
        <f t="shared" si="5"/>
        <v>1925.5452618</v>
      </c>
      <c r="BC36" s="20">
        <f>BA$6*'2008A'!$F36</f>
        <v>159.03597919999999</v>
      </c>
      <c r="BD36" s="33"/>
      <c r="BE36" s="51"/>
      <c r="BF36" s="51">
        <f t="shared" si="31"/>
        <v>5490.1875492</v>
      </c>
      <c r="BG36" s="33">
        <f t="shared" si="64"/>
        <v>5490.1875492</v>
      </c>
      <c r="BH36" s="20">
        <f>BF$6*'2008A'!$F36</f>
        <v>453.4494048</v>
      </c>
      <c r="BI36" s="33"/>
      <c r="BJ36" s="33"/>
      <c r="BK36" s="33">
        <f t="shared" si="32"/>
        <v>2579.6512857</v>
      </c>
      <c r="BL36" s="33">
        <f t="shared" si="6"/>
        <v>2579.6512857</v>
      </c>
      <c r="BM36" s="20">
        <f>BK$6*'2008A'!$F36</f>
        <v>213.0603608</v>
      </c>
      <c r="BN36" s="51"/>
      <c r="BO36" s="33"/>
      <c r="BP36" s="33">
        <f t="shared" si="33"/>
        <v>1866.9759488999998</v>
      </c>
      <c r="BQ36" s="33">
        <f t="shared" si="65"/>
        <v>1866.9759488999998</v>
      </c>
      <c r="BR36" s="20">
        <f>BP$6*'2008A'!$F36</f>
        <v>154.1985816</v>
      </c>
      <c r="BS36" s="51"/>
      <c r="BT36" s="33"/>
      <c r="BU36" s="33">
        <f t="shared" si="34"/>
        <v>2687.2275746999994</v>
      </c>
      <c r="BV36" s="33">
        <f t="shared" si="35"/>
        <v>2687.2275746999994</v>
      </c>
      <c r="BW36" s="20">
        <f>BU$6*'2008A'!$F36</f>
        <v>221.9453768</v>
      </c>
      <c r="BX36" s="51"/>
      <c r="BY36" s="33"/>
      <c r="BZ36" s="33">
        <f t="shared" si="36"/>
        <v>552.7171293</v>
      </c>
      <c r="CA36" s="33">
        <f t="shared" si="15"/>
        <v>552.7171293</v>
      </c>
      <c r="CB36" s="20">
        <f>BZ$6*'2008A'!$F36</f>
        <v>45.650399199999995</v>
      </c>
      <c r="CC36" s="33"/>
      <c r="CD36" s="33"/>
      <c r="CE36" s="33">
        <f t="shared" si="37"/>
        <v>2096.8938999</v>
      </c>
      <c r="CF36" s="33">
        <f t="shared" si="38"/>
        <v>2096.8938999</v>
      </c>
      <c r="CG36" s="20">
        <f>CE$6*'2008A'!$F36</f>
        <v>173.18812559999998</v>
      </c>
      <c r="CH36" s="51"/>
      <c r="CI36" s="33"/>
      <c r="CJ36" s="33">
        <f t="shared" si="39"/>
        <v>523.0457607</v>
      </c>
      <c r="CK36" s="33">
        <f t="shared" si="66"/>
        <v>523.0457607</v>
      </c>
      <c r="CL36" s="20">
        <f>CJ$6*'2008A'!$F36</f>
        <v>43.1997608</v>
      </c>
      <c r="CM36" s="51"/>
      <c r="CN36" s="33"/>
      <c r="CO36" s="33">
        <f t="shared" si="40"/>
        <v>2101.6750683</v>
      </c>
      <c r="CP36" s="33">
        <f t="shared" si="16"/>
        <v>2101.6750683</v>
      </c>
      <c r="CQ36" s="20">
        <f>CO$6*'2008A'!$F36</f>
        <v>173.5830152</v>
      </c>
      <c r="CR36" s="51"/>
      <c r="CS36" s="33"/>
      <c r="CT36" s="33">
        <f t="shared" si="41"/>
        <v>11762.5883109</v>
      </c>
      <c r="CU36" s="33">
        <f t="shared" si="17"/>
        <v>11762.5883109</v>
      </c>
      <c r="CV36" s="20">
        <f>CT$6*'2008A'!$F36</f>
        <v>971.5039095999999</v>
      </c>
      <c r="CW36" s="51"/>
      <c r="CX36" s="33"/>
      <c r="CY36" s="33">
        <f t="shared" si="42"/>
        <v>34.1712918</v>
      </c>
      <c r="CZ36" s="33">
        <f t="shared" si="18"/>
        <v>34.1712918</v>
      </c>
      <c r="DA36" s="20">
        <f>CY$6*'2008A'!$F36</f>
        <v>2.8222992000000002</v>
      </c>
      <c r="DB36" s="51"/>
      <c r="DC36" s="33"/>
      <c r="DD36" s="33">
        <f t="shared" si="43"/>
        <v>2242.7195361</v>
      </c>
      <c r="DE36" s="33">
        <f t="shared" si="19"/>
        <v>2242.7195361</v>
      </c>
      <c r="DF36" s="20">
        <f>DD$6*'2008A'!$F36</f>
        <v>185.2322584</v>
      </c>
      <c r="DG36" s="51"/>
      <c r="DH36" s="33"/>
      <c r="DI36" s="33">
        <f t="shared" si="44"/>
        <v>1968.9273339000001</v>
      </c>
      <c r="DJ36" s="33">
        <f t="shared" si="20"/>
        <v>1968.9273339000001</v>
      </c>
      <c r="DK36" s="20">
        <f>DI$6*'2008A'!$F36</f>
        <v>162.6190216</v>
      </c>
      <c r="DL36" s="51"/>
    </row>
    <row r="37" spans="1:116" s="53" customFormat="1" ht="12.75">
      <c r="A37" s="52">
        <v>45383</v>
      </c>
      <c r="C37" s="41">
        <v>5610000</v>
      </c>
      <c r="D37" s="41">
        <v>703113</v>
      </c>
      <c r="E37" s="35">
        <f t="shared" si="0"/>
        <v>6313113</v>
      </c>
      <c r="F37" s="51"/>
      <c r="G37" s="71">
        <f t="shared" si="7"/>
        <v>568397.3459999998</v>
      </c>
      <c r="H37" s="51">
        <f t="shared" si="1"/>
        <v>71238.4248018</v>
      </c>
      <c r="I37" s="51">
        <f t="shared" si="21"/>
        <v>639635.7708017998</v>
      </c>
      <c r="J37" s="51">
        <f t="shared" si="1"/>
        <v>5883.7737392</v>
      </c>
      <c r="K37" s="51"/>
      <c r="L37" s="33">
        <f t="shared" si="45"/>
        <v>56801.25</v>
      </c>
      <c r="M37" s="33">
        <f t="shared" si="22"/>
        <v>7119.019125</v>
      </c>
      <c r="N37" s="33">
        <f t="shared" si="8"/>
        <v>63920.269125</v>
      </c>
      <c r="O37" s="20">
        <f>M$6*'2008A'!$F37</f>
        <v>587.979</v>
      </c>
      <c r="P37" s="51"/>
      <c r="Q37" s="33">
        <f t="shared" si="46"/>
        <v>133318.284</v>
      </c>
      <c r="R37" s="51">
        <f t="shared" si="23"/>
        <v>16709.0585772</v>
      </c>
      <c r="S37" s="51">
        <f t="shared" si="9"/>
        <v>150027.3425772</v>
      </c>
      <c r="T37" s="20">
        <f>R$6*'2008A'!$F37</f>
        <v>1380.0462368</v>
      </c>
      <c r="U37" s="51"/>
      <c r="V37" s="33">
        <f t="shared" si="47"/>
        <v>3857.436</v>
      </c>
      <c r="W37" s="33">
        <f t="shared" si="24"/>
        <v>483.4604988</v>
      </c>
      <c r="X37" s="33">
        <f t="shared" si="2"/>
        <v>4340.8964988</v>
      </c>
      <c r="Y37" s="20">
        <f>W$6*'2008A'!$F37</f>
        <v>39.9303072</v>
      </c>
      <c r="Z37" s="51"/>
      <c r="AA37" s="51">
        <f t="shared" si="48"/>
        <v>1893.375</v>
      </c>
      <c r="AB37" s="33">
        <f t="shared" si="25"/>
        <v>237.30063750000002</v>
      </c>
      <c r="AC37" s="33">
        <f t="shared" si="3"/>
        <v>2130.6756375</v>
      </c>
      <c r="AD37" s="20">
        <f>AB$6*'2008A'!$F37</f>
        <v>19.5993</v>
      </c>
      <c r="AE37" s="51"/>
      <c r="AF37" s="33">
        <f t="shared" si="49"/>
        <v>15497.063999999998</v>
      </c>
      <c r="AG37" s="33">
        <f t="shared" si="26"/>
        <v>1942.2793511999998</v>
      </c>
      <c r="AH37" s="33">
        <f t="shared" si="27"/>
        <v>17439.343351199997</v>
      </c>
      <c r="AI37" s="20">
        <f>AG$6*'2008A'!$F37</f>
        <v>160.41809279999998</v>
      </c>
      <c r="AJ37" s="51"/>
      <c r="AK37" s="33">
        <f t="shared" si="10"/>
        <v>2813.9760000000006</v>
      </c>
      <c r="AL37" s="33">
        <f t="shared" si="11"/>
        <v>352.6814808</v>
      </c>
      <c r="AM37" s="33">
        <f t="shared" si="4"/>
        <v>3166.6574808000005</v>
      </c>
      <c r="AN37" s="20">
        <f>AL$6*'2008A'!$F37</f>
        <v>29.1289152</v>
      </c>
      <c r="AO37" s="51"/>
      <c r="AP37" s="33">
        <f t="shared" si="50"/>
        <v>39269.99999999999</v>
      </c>
      <c r="AQ37" s="33">
        <f t="shared" si="28"/>
        <v>4921.791</v>
      </c>
      <c r="AR37" s="33">
        <f t="shared" si="12"/>
        <v>44191.79099999999</v>
      </c>
      <c r="AS37" s="20">
        <f>AQ$6*'2008A'!$F37</f>
        <v>406.504</v>
      </c>
      <c r="AT37" s="51"/>
      <c r="AU37" s="33">
        <f t="shared" si="51"/>
        <v>29046.896999999997</v>
      </c>
      <c r="AV37" s="33">
        <f t="shared" si="29"/>
        <v>3640.5081800999997</v>
      </c>
      <c r="AW37" s="33">
        <f t="shared" si="30"/>
        <v>32687.405180099995</v>
      </c>
      <c r="AX37" s="20">
        <f>AV$6*'2008A'!$F37</f>
        <v>300.67939440000004</v>
      </c>
      <c r="AY37" s="33"/>
      <c r="AZ37" s="51">
        <f t="shared" si="13"/>
        <v>15363.545999999998</v>
      </c>
      <c r="BA37" s="51">
        <f t="shared" si="14"/>
        <v>1925.5452618</v>
      </c>
      <c r="BB37" s="33">
        <f t="shared" si="5"/>
        <v>17289.0912618</v>
      </c>
      <c r="BC37" s="20">
        <f>BA$6*'2008A'!$F37</f>
        <v>159.03597919999999</v>
      </c>
      <c r="BD37" s="33"/>
      <c r="BE37" s="51">
        <f t="shared" si="52"/>
        <v>43805.123999999996</v>
      </c>
      <c r="BF37" s="51">
        <f t="shared" si="31"/>
        <v>5490.1875492</v>
      </c>
      <c r="BG37" s="33">
        <f t="shared" si="64"/>
        <v>49295.31154919999</v>
      </c>
      <c r="BH37" s="20">
        <f>BF$6*'2008A'!$F37</f>
        <v>453.4494048</v>
      </c>
      <c r="BI37" s="33"/>
      <c r="BJ37" s="33">
        <f t="shared" si="53"/>
        <v>20582.529</v>
      </c>
      <c r="BK37" s="33">
        <f t="shared" si="32"/>
        <v>2579.6512857</v>
      </c>
      <c r="BL37" s="33">
        <f t="shared" si="6"/>
        <v>23162.1802857</v>
      </c>
      <c r="BM37" s="20">
        <f>BK$6*'2008A'!$F37</f>
        <v>213.0603608</v>
      </c>
      <c r="BN37" s="51"/>
      <c r="BO37" s="33">
        <f t="shared" si="54"/>
        <v>14896.233</v>
      </c>
      <c r="BP37" s="33">
        <f t="shared" si="33"/>
        <v>1866.9759488999998</v>
      </c>
      <c r="BQ37" s="33">
        <f t="shared" si="65"/>
        <v>16763.2089489</v>
      </c>
      <c r="BR37" s="20">
        <f>BP$6*'2008A'!$F37</f>
        <v>154.1985816</v>
      </c>
      <c r="BS37" s="51"/>
      <c r="BT37" s="33">
        <f t="shared" si="55"/>
        <v>21440.859</v>
      </c>
      <c r="BU37" s="33">
        <f t="shared" si="34"/>
        <v>2687.2275746999994</v>
      </c>
      <c r="BV37" s="33">
        <f t="shared" si="35"/>
        <v>24128.0865747</v>
      </c>
      <c r="BW37" s="20">
        <f>BU$6*'2008A'!$F37</f>
        <v>221.9453768</v>
      </c>
      <c r="BX37" s="51"/>
      <c r="BY37" s="33">
        <f t="shared" si="56"/>
        <v>4410.021</v>
      </c>
      <c r="BZ37" s="33">
        <f t="shared" si="36"/>
        <v>552.7171293</v>
      </c>
      <c r="CA37" s="33">
        <f t="shared" si="15"/>
        <v>4962.7381293</v>
      </c>
      <c r="CB37" s="20">
        <f>BZ$6*'2008A'!$F37</f>
        <v>45.650399199999995</v>
      </c>
      <c r="CC37" s="33"/>
      <c r="CD37" s="33">
        <f t="shared" si="57"/>
        <v>16730.703</v>
      </c>
      <c r="CE37" s="33">
        <f t="shared" si="37"/>
        <v>2096.8938999</v>
      </c>
      <c r="CF37" s="33">
        <f t="shared" si="38"/>
        <v>18827.596899900003</v>
      </c>
      <c r="CG37" s="20">
        <f>CE$6*'2008A'!$F37</f>
        <v>173.18812559999998</v>
      </c>
      <c r="CH37" s="51"/>
      <c r="CI37" s="33">
        <f t="shared" si="58"/>
        <v>4173.2789999999995</v>
      </c>
      <c r="CJ37" s="33">
        <f t="shared" si="39"/>
        <v>523.0457607</v>
      </c>
      <c r="CK37" s="33">
        <f t="shared" si="66"/>
        <v>4696.324760699999</v>
      </c>
      <c r="CL37" s="20">
        <f>CJ$6*'2008A'!$F37</f>
        <v>43.1997608</v>
      </c>
      <c r="CM37" s="51"/>
      <c r="CN37" s="33">
        <f t="shared" si="59"/>
        <v>16768.851000000002</v>
      </c>
      <c r="CO37" s="33">
        <f t="shared" si="40"/>
        <v>2101.6750683</v>
      </c>
      <c r="CP37" s="33">
        <f t="shared" si="16"/>
        <v>18870.5260683</v>
      </c>
      <c r="CQ37" s="20">
        <f>CO$6*'2008A'!$F37</f>
        <v>173.5830152</v>
      </c>
      <c r="CR37" s="51"/>
      <c r="CS37" s="33">
        <f t="shared" si="60"/>
        <v>93851.373</v>
      </c>
      <c r="CT37" s="33">
        <f t="shared" si="41"/>
        <v>11762.5883109</v>
      </c>
      <c r="CU37" s="33">
        <f t="shared" si="17"/>
        <v>105613.9613109</v>
      </c>
      <c r="CV37" s="20">
        <f>CT$6*'2008A'!$F37</f>
        <v>971.5039095999999</v>
      </c>
      <c r="CW37" s="51"/>
      <c r="CX37" s="33">
        <f t="shared" si="61"/>
        <v>272.64599999999996</v>
      </c>
      <c r="CY37" s="33">
        <f t="shared" si="42"/>
        <v>34.1712918</v>
      </c>
      <c r="CZ37" s="33">
        <f t="shared" si="18"/>
        <v>306.81729179999996</v>
      </c>
      <c r="DA37" s="20">
        <f>CY$6*'2008A'!$F37</f>
        <v>2.8222992000000002</v>
      </c>
      <c r="DB37" s="51"/>
      <c r="DC37" s="33">
        <f t="shared" si="62"/>
        <v>17894.217</v>
      </c>
      <c r="DD37" s="33">
        <f t="shared" si="43"/>
        <v>2242.7195361</v>
      </c>
      <c r="DE37" s="33">
        <f t="shared" si="19"/>
        <v>20136.936536100002</v>
      </c>
      <c r="DF37" s="20">
        <f>DD$6*'2008A'!$F37</f>
        <v>185.2322584</v>
      </c>
      <c r="DG37" s="51"/>
      <c r="DH37" s="33">
        <f t="shared" si="63"/>
        <v>15709.683</v>
      </c>
      <c r="DI37" s="33">
        <f t="shared" si="44"/>
        <v>1968.9273339000001</v>
      </c>
      <c r="DJ37" s="33">
        <f t="shared" si="20"/>
        <v>17678.6103339</v>
      </c>
      <c r="DK37" s="20">
        <f>DI$6*'2008A'!$F37</f>
        <v>162.6190216</v>
      </c>
      <c r="DL37" s="51"/>
    </row>
    <row r="38" spans="1:116" s="53" customFormat="1" ht="12.75">
      <c r="A38" s="52">
        <v>45566</v>
      </c>
      <c r="C38" s="41"/>
      <c r="D38" s="41">
        <v>573381</v>
      </c>
      <c r="E38" s="35">
        <f t="shared" si="0"/>
        <v>573381</v>
      </c>
      <c r="F38" s="51"/>
      <c r="G38" s="71"/>
      <c r="H38" s="51">
        <f t="shared" si="1"/>
        <v>58094.1601866</v>
      </c>
      <c r="I38" s="51">
        <f t="shared" si="21"/>
        <v>58094.1601866</v>
      </c>
      <c r="J38" s="51">
        <f t="shared" si="1"/>
        <v>5883.7737392</v>
      </c>
      <c r="K38" s="51"/>
      <c r="L38" s="33"/>
      <c r="M38" s="33">
        <f t="shared" si="22"/>
        <v>5805.482625</v>
      </c>
      <c r="N38" s="33">
        <f t="shared" si="8"/>
        <v>5805.482625</v>
      </c>
      <c r="O38" s="20">
        <f>M$6*'2008A'!$F38</f>
        <v>587.979</v>
      </c>
      <c r="P38" s="51"/>
      <c r="Q38" s="33"/>
      <c r="R38" s="51">
        <f t="shared" si="23"/>
        <v>13626.0554364</v>
      </c>
      <c r="S38" s="51">
        <f t="shared" si="9"/>
        <v>13626.0554364</v>
      </c>
      <c r="T38" s="20">
        <f>R$6*'2008A'!$F38</f>
        <v>1380.0462368</v>
      </c>
      <c r="U38" s="51"/>
      <c r="V38" s="33"/>
      <c r="W38" s="33">
        <f t="shared" si="24"/>
        <v>394.2567756</v>
      </c>
      <c r="X38" s="33">
        <f t="shared" si="2"/>
        <v>394.2567756</v>
      </c>
      <c r="Y38" s="20">
        <f>W$6*'2008A'!$F38</f>
        <v>39.9303072</v>
      </c>
      <c r="Z38" s="51"/>
      <c r="AA38" s="51"/>
      <c r="AB38" s="33">
        <f t="shared" si="25"/>
        <v>193.51608750000003</v>
      </c>
      <c r="AC38" s="33">
        <f t="shared" si="3"/>
        <v>193.51608750000003</v>
      </c>
      <c r="AD38" s="20">
        <f>AB$6*'2008A'!$F38</f>
        <v>19.5993</v>
      </c>
      <c r="AE38" s="51"/>
      <c r="AF38" s="33"/>
      <c r="AG38" s="33">
        <f t="shared" si="26"/>
        <v>1583.9076744</v>
      </c>
      <c r="AH38" s="33">
        <f t="shared" si="27"/>
        <v>1583.9076744</v>
      </c>
      <c r="AI38" s="20">
        <f>AG$6*'2008A'!$F38</f>
        <v>160.41809279999998</v>
      </c>
      <c r="AJ38" s="51"/>
      <c r="AK38" s="33"/>
      <c r="AL38" s="33">
        <f t="shared" si="11"/>
        <v>287.6079096</v>
      </c>
      <c r="AM38" s="33">
        <f t="shared" si="4"/>
        <v>287.6079096</v>
      </c>
      <c r="AN38" s="20">
        <f>AL$6*'2008A'!$F38</f>
        <v>29.1289152</v>
      </c>
      <c r="AO38" s="51"/>
      <c r="AP38" s="33"/>
      <c r="AQ38" s="33">
        <f t="shared" si="28"/>
        <v>4013.6669999999995</v>
      </c>
      <c r="AR38" s="33">
        <f t="shared" si="12"/>
        <v>4013.6669999999995</v>
      </c>
      <c r="AS38" s="20">
        <f>AQ$6*'2008A'!$F38</f>
        <v>406.504</v>
      </c>
      <c r="AT38" s="51"/>
      <c r="AU38" s="33"/>
      <c r="AV38" s="33">
        <f t="shared" si="29"/>
        <v>2968.7948036999996</v>
      </c>
      <c r="AW38" s="33">
        <f t="shared" si="30"/>
        <v>2968.7948036999996</v>
      </c>
      <c r="AX38" s="20">
        <f>AV$6*'2008A'!$F38</f>
        <v>300.67939440000004</v>
      </c>
      <c r="AY38" s="33"/>
      <c r="AZ38" s="51"/>
      <c r="BA38" s="51">
        <f t="shared" si="14"/>
        <v>1570.2612066</v>
      </c>
      <c r="BB38" s="33">
        <f t="shared" si="5"/>
        <v>1570.2612066</v>
      </c>
      <c r="BC38" s="20">
        <f>BA$6*'2008A'!$F38</f>
        <v>159.03597919999999</v>
      </c>
      <c r="BD38" s="33"/>
      <c r="BE38" s="51"/>
      <c r="BF38" s="51">
        <f t="shared" si="31"/>
        <v>4477.1882004</v>
      </c>
      <c r="BG38" s="33">
        <f t="shared" si="64"/>
        <v>4477.1882004</v>
      </c>
      <c r="BH38" s="20">
        <f>BF$6*'2008A'!$F38</f>
        <v>453.4494048</v>
      </c>
      <c r="BI38" s="33"/>
      <c r="BJ38" s="33"/>
      <c r="BK38" s="33">
        <f t="shared" si="32"/>
        <v>2103.6775509</v>
      </c>
      <c r="BL38" s="33">
        <f t="shared" si="6"/>
        <v>2103.6775509</v>
      </c>
      <c r="BM38" s="20">
        <f>BK$6*'2008A'!$F38</f>
        <v>213.0603608</v>
      </c>
      <c r="BN38" s="51"/>
      <c r="BO38" s="33"/>
      <c r="BP38" s="33">
        <f t="shared" si="33"/>
        <v>1522.4985692999999</v>
      </c>
      <c r="BQ38" s="33">
        <f t="shared" si="65"/>
        <v>1522.4985692999999</v>
      </c>
      <c r="BR38" s="20">
        <f>BP$6*'2008A'!$F38</f>
        <v>154.1985816</v>
      </c>
      <c r="BS38" s="51"/>
      <c r="BT38" s="33"/>
      <c r="BU38" s="33">
        <f t="shared" si="34"/>
        <v>2191.4048439</v>
      </c>
      <c r="BV38" s="33">
        <f t="shared" si="35"/>
        <v>2191.4048439</v>
      </c>
      <c r="BW38" s="20">
        <f>BU$6*'2008A'!$F38</f>
        <v>221.9453768</v>
      </c>
      <c r="BX38" s="51"/>
      <c r="BY38" s="33"/>
      <c r="BZ38" s="33">
        <f t="shared" si="36"/>
        <v>450.73480409999996</v>
      </c>
      <c r="CA38" s="33">
        <f t="shared" si="15"/>
        <v>450.73480409999996</v>
      </c>
      <c r="CB38" s="20">
        <f>BZ$6*'2008A'!$F38</f>
        <v>45.650399199999995</v>
      </c>
      <c r="CC38" s="33"/>
      <c r="CD38" s="33"/>
      <c r="CE38" s="33">
        <f t="shared" si="37"/>
        <v>1709.9941563</v>
      </c>
      <c r="CF38" s="33">
        <f t="shared" si="38"/>
        <v>1709.9941563</v>
      </c>
      <c r="CG38" s="20">
        <f>CE$6*'2008A'!$F38</f>
        <v>173.18812559999998</v>
      </c>
      <c r="CH38" s="51"/>
      <c r="CI38" s="33"/>
      <c r="CJ38" s="33">
        <f t="shared" si="39"/>
        <v>426.5381259</v>
      </c>
      <c r="CK38" s="33">
        <f t="shared" si="66"/>
        <v>426.5381259</v>
      </c>
      <c r="CL38" s="20">
        <f>CJ$6*'2008A'!$F38</f>
        <v>43.1997608</v>
      </c>
      <c r="CM38" s="51"/>
      <c r="CN38" s="33"/>
      <c r="CO38" s="33">
        <f t="shared" si="40"/>
        <v>1713.8931471</v>
      </c>
      <c r="CP38" s="33">
        <f t="shared" si="16"/>
        <v>1713.8931471</v>
      </c>
      <c r="CQ38" s="20">
        <f>CO$6*'2008A'!$F38</f>
        <v>173.5830152</v>
      </c>
      <c r="CR38" s="51"/>
      <c r="CS38" s="33"/>
      <c r="CT38" s="33">
        <f t="shared" si="41"/>
        <v>9592.262763300001</v>
      </c>
      <c r="CU38" s="33">
        <f t="shared" si="17"/>
        <v>9592.262763300001</v>
      </c>
      <c r="CV38" s="20">
        <f>CT$6*'2008A'!$F38</f>
        <v>971.5039095999999</v>
      </c>
      <c r="CW38" s="51"/>
      <c r="CX38" s="33"/>
      <c r="CY38" s="33">
        <f t="shared" si="42"/>
        <v>27.8663166</v>
      </c>
      <c r="CZ38" s="33">
        <f t="shared" si="18"/>
        <v>27.8663166</v>
      </c>
      <c r="DA38" s="20">
        <f>CY$6*'2008A'!$F38</f>
        <v>2.8222992000000002</v>
      </c>
      <c r="DB38" s="51"/>
      <c r="DC38" s="33"/>
      <c r="DD38" s="33">
        <f t="shared" si="43"/>
        <v>1828.9133756999997</v>
      </c>
      <c r="DE38" s="33">
        <f t="shared" si="19"/>
        <v>1828.9133756999997</v>
      </c>
      <c r="DF38" s="20">
        <f>DD$6*'2008A'!$F38</f>
        <v>185.2322584</v>
      </c>
      <c r="DG38" s="51"/>
      <c r="DH38" s="33"/>
      <c r="DI38" s="33">
        <f t="shared" si="44"/>
        <v>1605.6388143000001</v>
      </c>
      <c r="DJ38" s="33">
        <f t="shared" si="20"/>
        <v>1605.6388143000001</v>
      </c>
      <c r="DK38" s="20">
        <f>DI$6*'2008A'!$F38</f>
        <v>162.6190216</v>
      </c>
      <c r="DL38" s="51"/>
    </row>
    <row r="39" spans="1:116" s="53" customFormat="1" ht="12.75">
      <c r="A39" s="52">
        <v>45748</v>
      </c>
      <c r="C39" s="41">
        <v>5870000</v>
      </c>
      <c r="D39" s="41">
        <v>573381</v>
      </c>
      <c r="E39" s="35">
        <f t="shared" si="0"/>
        <v>6443381</v>
      </c>
      <c r="F39" s="51"/>
      <c r="G39" s="71">
        <f t="shared" si="7"/>
        <v>594740.182</v>
      </c>
      <c r="H39" s="51">
        <f t="shared" si="1"/>
        <v>58094.1601866</v>
      </c>
      <c r="I39" s="51">
        <f t="shared" si="21"/>
        <v>652834.3421866</v>
      </c>
      <c r="J39" s="51">
        <f t="shared" si="1"/>
        <v>5883.7737392</v>
      </c>
      <c r="K39" s="51"/>
      <c r="L39" s="33">
        <f t="shared" si="45"/>
        <v>59433.75</v>
      </c>
      <c r="M39" s="33">
        <f t="shared" si="22"/>
        <v>5805.482625</v>
      </c>
      <c r="N39" s="33">
        <f t="shared" si="8"/>
        <v>65239.232625</v>
      </c>
      <c r="O39" s="20">
        <f>M$6*'2008A'!$F39</f>
        <v>587.979</v>
      </c>
      <c r="P39" s="51"/>
      <c r="Q39" s="33">
        <f t="shared" si="46"/>
        <v>139497.02800000002</v>
      </c>
      <c r="R39" s="51">
        <f t="shared" si="23"/>
        <v>13626.0554364</v>
      </c>
      <c r="S39" s="51">
        <f t="shared" si="9"/>
        <v>153123.08343640002</v>
      </c>
      <c r="T39" s="20">
        <f>R$6*'2008A'!$F39</f>
        <v>1380.0462368</v>
      </c>
      <c r="U39" s="51"/>
      <c r="V39" s="33">
        <f t="shared" si="47"/>
        <v>4036.212</v>
      </c>
      <c r="W39" s="33">
        <f t="shared" si="24"/>
        <v>394.2567756</v>
      </c>
      <c r="X39" s="33">
        <f t="shared" si="2"/>
        <v>4430.4687756</v>
      </c>
      <c r="Y39" s="20">
        <f>W$6*'2008A'!$F39</f>
        <v>39.9303072</v>
      </c>
      <c r="Z39" s="51"/>
      <c r="AA39" s="51">
        <f t="shared" si="48"/>
        <v>1981.125</v>
      </c>
      <c r="AB39" s="33">
        <f t="shared" si="25"/>
        <v>193.51608750000003</v>
      </c>
      <c r="AC39" s="33">
        <f t="shared" si="3"/>
        <v>2174.6410875</v>
      </c>
      <c r="AD39" s="20">
        <f>AB$6*'2008A'!$F39</f>
        <v>19.5993</v>
      </c>
      <c r="AE39" s="51"/>
      <c r="AF39" s="33">
        <f t="shared" si="49"/>
        <v>16215.287999999999</v>
      </c>
      <c r="AG39" s="33">
        <f t="shared" si="26"/>
        <v>1583.9076744</v>
      </c>
      <c r="AH39" s="33">
        <f t="shared" si="27"/>
        <v>17799.195674399998</v>
      </c>
      <c r="AI39" s="20">
        <f>AG$6*'2008A'!$F39</f>
        <v>160.41809279999998</v>
      </c>
      <c r="AJ39" s="51"/>
      <c r="AK39" s="33">
        <f t="shared" si="10"/>
        <v>2944.3920000000003</v>
      </c>
      <c r="AL39" s="33">
        <f t="shared" si="11"/>
        <v>287.6079096</v>
      </c>
      <c r="AM39" s="33">
        <f t="shared" si="4"/>
        <v>3231.9999096</v>
      </c>
      <c r="AN39" s="20">
        <f>AL$6*'2008A'!$F39</f>
        <v>29.1289152</v>
      </c>
      <c r="AO39" s="51"/>
      <c r="AP39" s="33">
        <f t="shared" si="50"/>
        <v>41089.99999999999</v>
      </c>
      <c r="AQ39" s="33">
        <f t="shared" si="28"/>
        <v>4013.6669999999995</v>
      </c>
      <c r="AR39" s="33">
        <f t="shared" si="12"/>
        <v>45103.666999999994</v>
      </c>
      <c r="AS39" s="20">
        <f>AQ$6*'2008A'!$F39</f>
        <v>406.504</v>
      </c>
      <c r="AT39" s="51"/>
      <c r="AU39" s="33">
        <f t="shared" si="51"/>
        <v>30393.099</v>
      </c>
      <c r="AV39" s="33">
        <f t="shared" si="29"/>
        <v>2968.7948036999996</v>
      </c>
      <c r="AW39" s="33">
        <f t="shared" si="30"/>
        <v>33361.8938037</v>
      </c>
      <c r="AX39" s="20">
        <f>AV$6*'2008A'!$F39</f>
        <v>300.67939440000004</v>
      </c>
      <c r="AY39" s="33"/>
      <c r="AZ39" s="51">
        <f t="shared" si="13"/>
        <v>16075.582</v>
      </c>
      <c r="BA39" s="51">
        <f t="shared" si="14"/>
        <v>1570.2612066</v>
      </c>
      <c r="BB39" s="33">
        <f t="shared" si="5"/>
        <v>17645.8432066</v>
      </c>
      <c r="BC39" s="20">
        <f>BA$6*'2008A'!$F39</f>
        <v>159.03597919999999</v>
      </c>
      <c r="BD39" s="33"/>
      <c r="BE39" s="51">
        <f t="shared" si="52"/>
        <v>45835.308</v>
      </c>
      <c r="BF39" s="51">
        <f t="shared" si="31"/>
        <v>4477.1882004</v>
      </c>
      <c r="BG39" s="33">
        <f t="shared" si="64"/>
        <v>50312.4962004</v>
      </c>
      <c r="BH39" s="20">
        <f>BF$6*'2008A'!$F39</f>
        <v>453.4494048</v>
      </c>
      <c r="BI39" s="33"/>
      <c r="BJ39" s="33">
        <f t="shared" si="53"/>
        <v>21536.443</v>
      </c>
      <c r="BK39" s="33">
        <f t="shared" si="32"/>
        <v>2103.6775509</v>
      </c>
      <c r="BL39" s="33">
        <f t="shared" si="6"/>
        <v>23640.1205509</v>
      </c>
      <c r="BM39" s="20">
        <f>BK$6*'2008A'!$F39</f>
        <v>213.0603608</v>
      </c>
      <c r="BN39" s="51"/>
      <c r="BO39" s="33">
        <f t="shared" si="54"/>
        <v>15586.610999999999</v>
      </c>
      <c r="BP39" s="33">
        <f t="shared" si="33"/>
        <v>1522.4985692999999</v>
      </c>
      <c r="BQ39" s="33">
        <f t="shared" si="65"/>
        <v>17109.1095693</v>
      </c>
      <c r="BR39" s="20">
        <f>BP$6*'2008A'!$F39</f>
        <v>154.1985816</v>
      </c>
      <c r="BS39" s="51"/>
      <c r="BT39" s="33">
        <f t="shared" si="55"/>
        <v>22434.553</v>
      </c>
      <c r="BU39" s="33">
        <f t="shared" si="34"/>
        <v>2191.4048439</v>
      </c>
      <c r="BV39" s="33">
        <f t="shared" si="35"/>
        <v>24625.9578439</v>
      </c>
      <c r="BW39" s="20">
        <f>BU$6*'2008A'!$F39</f>
        <v>221.9453768</v>
      </c>
      <c r="BX39" s="51"/>
      <c r="BY39" s="33">
        <f t="shared" si="56"/>
        <v>4614.407</v>
      </c>
      <c r="BZ39" s="33">
        <f t="shared" si="36"/>
        <v>450.73480409999996</v>
      </c>
      <c r="CA39" s="33">
        <f t="shared" si="15"/>
        <v>5065.1418041</v>
      </c>
      <c r="CB39" s="20">
        <f>BZ$6*'2008A'!$F39</f>
        <v>45.650399199999995</v>
      </c>
      <c r="CC39" s="33"/>
      <c r="CD39" s="33">
        <f t="shared" si="57"/>
        <v>17506.101</v>
      </c>
      <c r="CE39" s="33">
        <f t="shared" si="37"/>
        <v>1709.9941563</v>
      </c>
      <c r="CF39" s="33">
        <f t="shared" si="38"/>
        <v>19216.095156299998</v>
      </c>
      <c r="CG39" s="20">
        <f>CE$6*'2008A'!$F39</f>
        <v>173.18812559999998</v>
      </c>
      <c r="CH39" s="51"/>
      <c r="CI39" s="33">
        <f t="shared" si="58"/>
        <v>4366.693</v>
      </c>
      <c r="CJ39" s="33">
        <f t="shared" si="39"/>
        <v>426.5381259</v>
      </c>
      <c r="CK39" s="33">
        <f t="shared" si="66"/>
        <v>4793.2311259</v>
      </c>
      <c r="CL39" s="20">
        <f>CJ$6*'2008A'!$F39</f>
        <v>43.1997608</v>
      </c>
      <c r="CM39" s="51"/>
      <c r="CN39" s="33">
        <f t="shared" si="59"/>
        <v>17546.017</v>
      </c>
      <c r="CO39" s="33">
        <f t="shared" si="40"/>
        <v>1713.8931471</v>
      </c>
      <c r="CP39" s="33">
        <f t="shared" si="16"/>
        <v>19259.9101471</v>
      </c>
      <c r="CQ39" s="20">
        <f>CO$6*'2008A'!$F39</f>
        <v>173.5830152</v>
      </c>
      <c r="CR39" s="51"/>
      <c r="CS39" s="33">
        <f t="shared" si="60"/>
        <v>98200.991</v>
      </c>
      <c r="CT39" s="33">
        <f t="shared" si="41"/>
        <v>9592.262763300001</v>
      </c>
      <c r="CU39" s="33">
        <f t="shared" si="17"/>
        <v>107793.25376329999</v>
      </c>
      <c r="CV39" s="20">
        <f>CT$6*'2008A'!$F39</f>
        <v>971.5039095999999</v>
      </c>
      <c r="CW39" s="51"/>
      <c r="CX39" s="33">
        <f t="shared" si="61"/>
        <v>285.282</v>
      </c>
      <c r="CY39" s="33">
        <f t="shared" si="42"/>
        <v>27.8663166</v>
      </c>
      <c r="CZ39" s="33">
        <f t="shared" si="18"/>
        <v>313.1483166</v>
      </c>
      <c r="DA39" s="20">
        <f>CY$6*'2008A'!$F39</f>
        <v>2.8222992000000002</v>
      </c>
      <c r="DB39" s="51"/>
      <c r="DC39" s="33">
        <f t="shared" si="62"/>
        <v>18723.539</v>
      </c>
      <c r="DD39" s="33">
        <f t="shared" si="43"/>
        <v>1828.9133756999997</v>
      </c>
      <c r="DE39" s="33">
        <f t="shared" si="19"/>
        <v>20552.4523757</v>
      </c>
      <c r="DF39" s="20">
        <f>DD$6*'2008A'!$F39</f>
        <v>185.2322584</v>
      </c>
      <c r="DG39" s="51"/>
      <c r="DH39" s="33">
        <f t="shared" si="63"/>
        <v>16437.761000000002</v>
      </c>
      <c r="DI39" s="33">
        <f t="shared" si="44"/>
        <v>1605.6388143000001</v>
      </c>
      <c r="DJ39" s="33">
        <f t="shared" si="20"/>
        <v>18043.399814300003</v>
      </c>
      <c r="DK39" s="20">
        <f>DI$6*'2008A'!$F39</f>
        <v>162.6190216</v>
      </c>
      <c r="DL39" s="51"/>
    </row>
    <row r="40" spans="1:116" s="53" customFormat="1" ht="12.75">
      <c r="A40" s="52">
        <v>45931</v>
      </c>
      <c r="C40" s="41"/>
      <c r="D40" s="41">
        <v>437638</v>
      </c>
      <c r="E40" s="35">
        <f t="shared" si="0"/>
        <v>437638</v>
      </c>
      <c r="F40" s="51"/>
      <c r="G40" s="71"/>
      <c r="H40" s="51">
        <f t="shared" si="1"/>
        <v>44340.8694668</v>
      </c>
      <c r="I40" s="51">
        <f t="shared" si="21"/>
        <v>44340.8694668</v>
      </c>
      <c r="J40" s="51">
        <f t="shared" si="1"/>
        <v>5883.7737392</v>
      </c>
      <c r="K40" s="51"/>
      <c r="L40" s="33"/>
      <c r="M40" s="33">
        <f t="shared" si="22"/>
        <v>4431.08475</v>
      </c>
      <c r="N40" s="33">
        <f t="shared" si="8"/>
        <v>4431.08475</v>
      </c>
      <c r="O40" s="20">
        <f>M$6*'2008A'!$F40</f>
        <v>587.979</v>
      </c>
      <c r="P40" s="51"/>
      <c r="Q40" s="33"/>
      <c r="R40" s="51">
        <f t="shared" si="23"/>
        <v>10400.2044872</v>
      </c>
      <c r="S40" s="51">
        <f t="shared" si="9"/>
        <v>10400.2044872</v>
      </c>
      <c r="T40" s="20">
        <f>R$6*'2008A'!$F40</f>
        <v>1380.0462368</v>
      </c>
      <c r="U40" s="51"/>
      <c r="V40" s="33"/>
      <c r="W40" s="33">
        <f t="shared" si="24"/>
        <v>300.9198888</v>
      </c>
      <c r="X40" s="33">
        <f t="shared" si="2"/>
        <v>300.9198888</v>
      </c>
      <c r="Y40" s="20">
        <f>W$6*'2008A'!$F40</f>
        <v>39.9303072</v>
      </c>
      <c r="Z40" s="51"/>
      <c r="AA40" s="51"/>
      <c r="AB40" s="33">
        <f t="shared" si="25"/>
        <v>147.70282500000002</v>
      </c>
      <c r="AC40" s="33">
        <f t="shared" si="3"/>
        <v>147.70282500000002</v>
      </c>
      <c r="AD40" s="20">
        <f>AB$6*'2008A'!$F40</f>
        <v>19.5993</v>
      </c>
      <c r="AE40" s="51"/>
      <c r="AF40" s="33"/>
      <c r="AG40" s="33">
        <f t="shared" si="26"/>
        <v>1208.9312112</v>
      </c>
      <c r="AH40" s="33">
        <f t="shared" si="27"/>
        <v>1208.9312112</v>
      </c>
      <c r="AI40" s="20">
        <f>AG$6*'2008A'!$F40</f>
        <v>160.41809279999998</v>
      </c>
      <c r="AJ40" s="51"/>
      <c r="AK40" s="33"/>
      <c r="AL40" s="33">
        <f t="shared" si="11"/>
        <v>219.5192208</v>
      </c>
      <c r="AM40" s="33">
        <f t="shared" si="4"/>
        <v>219.5192208</v>
      </c>
      <c r="AN40" s="20">
        <f>AL$6*'2008A'!$F40</f>
        <v>29.1289152</v>
      </c>
      <c r="AO40" s="51"/>
      <c r="AP40" s="33"/>
      <c r="AQ40" s="33">
        <f t="shared" si="28"/>
        <v>3063.466</v>
      </c>
      <c r="AR40" s="33">
        <f t="shared" si="12"/>
        <v>3063.466</v>
      </c>
      <c r="AS40" s="20">
        <f>AQ$6*'2008A'!$F40</f>
        <v>406.504</v>
      </c>
      <c r="AT40" s="51"/>
      <c r="AU40" s="33"/>
      <c r="AV40" s="33">
        <f t="shared" si="29"/>
        <v>2265.9582726</v>
      </c>
      <c r="AW40" s="33">
        <f t="shared" si="30"/>
        <v>2265.9582726</v>
      </c>
      <c r="AX40" s="20">
        <f>AV$6*'2008A'!$F40</f>
        <v>300.67939440000004</v>
      </c>
      <c r="AY40" s="33"/>
      <c r="AZ40" s="51"/>
      <c r="BA40" s="51">
        <f t="shared" si="14"/>
        <v>1198.5154268</v>
      </c>
      <c r="BB40" s="33">
        <f t="shared" si="5"/>
        <v>1198.5154268</v>
      </c>
      <c r="BC40" s="20">
        <f>BA$6*'2008A'!$F40</f>
        <v>159.03597919999999</v>
      </c>
      <c r="BD40" s="33"/>
      <c r="BE40" s="51"/>
      <c r="BF40" s="51">
        <f t="shared" si="31"/>
        <v>3417.2525591999997</v>
      </c>
      <c r="BG40" s="33">
        <f t="shared" si="64"/>
        <v>3417.2525591999997</v>
      </c>
      <c r="BH40" s="20">
        <f>BF$6*'2008A'!$F40</f>
        <v>453.4494048</v>
      </c>
      <c r="BI40" s="33"/>
      <c r="BJ40" s="33"/>
      <c r="BK40" s="33">
        <f t="shared" si="32"/>
        <v>1605.6500581999999</v>
      </c>
      <c r="BL40" s="33">
        <f t="shared" si="6"/>
        <v>1605.6500581999999</v>
      </c>
      <c r="BM40" s="20">
        <f>BK$6*'2008A'!$F40</f>
        <v>213.0603608</v>
      </c>
      <c r="BN40" s="51"/>
      <c r="BO40" s="33"/>
      <c r="BP40" s="33">
        <f t="shared" si="33"/>
        <v>1162.0601814</v>
      </c>
      <c r="BQ40" s="33">
        <f t="shared" si="65"/>
        <v>1162.0601814</v>
      </c>
      <c r="BR40" s="20">
        <f>BP$6*'2008A'!$F40</f>
        <v>154.1985816</v>
      </c>
      <c r="BS40" s="51"/>
      <c r="BT40" s="33"/>
      <c r="BU40" s="33">
        <f t="shared" si="34"/>
        <v>1672.6086721999998</v>
      </c>
      <c r="BV40" s="33">
        <f t="shared" si="35"/>
        <v>1672.6086721999998</v>
      </c>
      <c r="BW40" s="20">
        <f>BU$6*'2008A'!$F40</f>
        <v>221.9453768</v>
      </c>
      <c r="BX40" s="51"/>
      <c r="BY40" s="33"/>
      <c r="BZ40" s="33">
        <f t="shared" si="36"/>
        <v>344.0272318</v>
      </c>
      <c r="CA40" s="33">
        <f t="shared" si="15"/>
        <v>344.0272318</v>
      </c>
      <c r="CB40" s="20">
        <f>BZ$6*'2008A'!$F40</f>
        <v>45.650399199999995</v>
      </c>
      <c r="CC40" s="33"/>
      <c r="CD40" s="33"/>
      <c r="CE40" s="33">
        <f t="shared" si="37"/>
        <v>1305.1678074000001</v>
      </c>
      <c r="CF40" s="33">
        <f t="shared" si="38"/>
        <v>1305.1678074000001</v>
      </c>
      <c r="CG40" s="20">
        <f>CE$6*'2008A'!$F40</f>
        <v>173.18812559999998</v>
      </c>
      <c r="CH40" s="51"/>
      <c r="CI40" s="33"/>
      <c r="CJ40" s="33">
        <f t="shared" si="39"/>
        <v>325.5589082</v>
      </c>
      <c r="CK40" s="33">
        <f t="shared" si="66"/>
        <v>325.5589082</v>
      </c>
      <c r="CL40" s="20">
        <f>CJ$6*'2008A'!$F40</f>
        <v>43.1997608</v>
      </c>
      <c r="CM40" s="51"/>
      <c r="CN40" s="33"/>
      <c r="CO40" s="33">
        <f t="shared" si="40"/>
        <v>1308.1437458</v>
      </c>
      <c r="CP40" s="33">
        <f t="shared" si="16"/>
        <v>1308.1437458</v>
      </c>
      <c r="CQ40" s="20">
        <f>CO$6*'2008A'!$F40</f>
        <v>173.5830152</v>
      </c>
      <c r="CR40" s="51"/>
      <c r="CS40" s="33"/>
      <c r="CT40" s="33">
        <f t="shared" si="41"/>
        <v>7321.3773934</v>
      </c>
      <c r="CU40" s="33">
        <f t="shared" si="17"/>
        <v>7321.3773934</v>
      </c>
      <c r="CV40" s="20">
        <f>CT$6*'2008A'!$F40</f>
        <v>971.5039095999999</v>
      </c>
      <c r="CW40" s="51"/>
      <c r="CX40" s="33"/>
      <c r="CY40" s="33">
        <f t="shared" si="42"/>
        <v>21.269206799999996</v>
      </c>
      <c r="CZ40" s="33">
        <f t="shared" si="18"/>
        <v>21.269206799999996</v>
      </c>
      <c r="DA40" s="20">
        <f>CY$6*'2008A'!$F40</f>
        <v>2.8222992000000002</v>
      </c>
      <c r="DB40" s="51"/>
      <c r="DC40" s="33"/>
      <c r="DD40" s="33">
        <f t="shared" si="43"/>
        <v>1395.9339286</v>
      </c>
      <c r="DE40" s="33">
        <f t="shared" si="19"/>
        <v>1395.9339286</v>
      </c>
      <c r="DF40" s="20">
        <f>DD$6*'2008A'!$F40</f>
        <v>185.2322584</v>
      </c>
      <c r="DG40" s="51"/>
      <c r="DH40" s="33"/>
      <c r="DI40" s="33">
        <f t="shared" si="44"/>
        <v>1225.5176914</v>
      </c>
      <c r="DJ40" s="33">
        <f t="shared" si="20"/>
        <v>1225.5176914</v>
      </c>
      <c r="DK40" s="20">
        <f>DI$6*'2008A'!$F40</f>
        <v>162.6190216</v>
      </c>
      <c r="DL40" s="51"/>
    </row>
    <row r="41" spans="1:116" s="53" customFormat="1" ht="12.75">
      <c r="A41" s="52">
        <v>46113</v>
      </c>
      <c r="C41" s="41">
        <v>6140000</v>
      </c>
      <c r="D41" s="41">
        <v>437638</v>
      </c>
      <c r="E41" s="35">
        <f t="shared" si="0"/>
        <v>6577638</v>
      </c>
      <c r="F41" s="51"/>
      <c r="G41" s="71">
        <f t="shared" si="7"/>
        <v>622096.2039999999</v>
      </c>
      <c r="H41" s="51">
        <f t="shared" si="1"/>
        <v>44340.8694668</v>
      </c>
      <c r="I41" s="51">
        <f t="shared" si="21"/>
        <v>666437.0734667999</v>
      </c>
      <c r="J41" s="51">
        <f t="shared" si="1"/>
        <v>5883.7737392</v>
      </c>
      <c r="K41" s="51"/>
      <c r="L41" s="33">
        <f t="shared" si="45"/>
        <v>62167.5</v>
      </c>
      <c r="M41" s="33">
        <f t="shared" si="22"/>
        <v>4431.08475</v>
      </c>
      <c r="N41" s="33">
        <f t="shared" si="8"/>
        <v>66598.58475</v>
      </c>
      <c r="O41" s="20">
        <f>M$6*'2008A'!$F41</f>
        <v>587.979</v>
      </c>
      <c r="P41" s="51"/>
      <c r="Q41" s="33">
        <f t="shared" si="46"/>
        <v>145913.41600000003</v>
      </c>
      <c r="R41" s="51">
        <f t="shared" si="23"/>
        <v>10400.2044872</v>
      </c>
      <c r="S41" s="51">
        <f t="shared" si="9"/>
        <v>156313.62048720004</v>
      </c>
      <c r="T41" s="20">
        <f>R$6*'2008A'!$F41</f>
        <v>1380.0462368</v>
      </c>
      <c r="U41" s="51"/>
      <c r="V41" s="33">
        <f t="shared" si="47"/>
        <v>4221.8640000000005</v>
      </c>
      <c r="W41" s="33">
        <f t="shared" si="24"/>
        <v>300.9198888</v>
      </c>
      <c r="X41" s="33">
        <f t="shared" si="2"/>
        <v>4522.783888800001</v>
      </c>
      <c r="Y41" s="20">
        <f>W$6*'2008A'!$F41</f>
        <v>39.9303072</v>
      </c>
      <c r="Z41" s="51"/>
      <c r="AA41" s="51">
        <f t="shared" si="48"/>
        <v>2072.25</v>
      </c>
      <c r="AB41" s="33">
        <f t="shared" si="25"/>
        <v>147.70282500000002</v>
      </c>
      <c r="AC41" s="33">
        <f t="shared" si="3"/>
        <v>2219.952825</v>
      </c>
      <c r="AD41" s="20">
        <f>AB$6*'2008A'!$F41</f>
        <v>19.5993</v>
      </c>
      <c r="AE41" s="51"/>
      <c r="AF41" s="33">
        <f t="shared" si="49"/>
        <v>16961.136</v>
      </c>
      <c r="AG41" s="33">
        <f t="shared" si="26"/>
        <v>1208.9312112</v>
      </c>
      <c r="AH41" s="33">
        <f t="shared" si="27"/>
        <v>18170.0672112</v>
      </c>
      <c r="AI41" s="20">
        <f>AG$6*'2008A'!$F41</f>
        <v>160.41809279999998</v>
      </c>
      <c r="AJ41" s="51"/>
      <c r="AK41" s="33">
        <f t="shared" si="10"/>
        <v>3079.824</v>
      </c>
      <c r="AL41" s="33">
        <f t="shared" si="11"/>
        <v>219.5192208</v>
      </c>
      <c r="AM41" s="33">
        <f t="shared" si="4"/>
        <v>3299.3432208</v>
      </c>
      <c r="AN41" s="20">
        <f>AL$6*'2008A'!$F41</f>
        <v>29.1289152</v>
      </c>
      <c r="AO41" s="51"/>
      <c r="AP41" s="33">
        <f t="shared" si="50"/>
        <v>42980</v>
      </c>
      <c r="AQ41" s="33">
        <f t="shared" si="28"/>
        <v>3063.466</v>
      </c>
      <c r="AR41" s="33">
        <f t="shared" si="12"/>
        <v>46043.466</v>
      </c>
      <c r="AS41" s="20">
        <f>AQ$6*'2008A'!$F41</f>
        <v>406.504</v>
      </c>
      <c r="AT41" s="51"/>
      <c r="AU41" s="33">
        <f t="shared" si="51"/>
        <v>31791.077999999998</v>
      </c>
      <c r="AV41" s="33">
        <f t="shared" si="29"/>
        <v>2265.9582726</v>
      </c>
      <c r="AW41" s="33">
        <f t="shared" si="30"/>
        <v>34057.036272599995</v>
      </c>
      <c r="AX41" s="20">
        <f>AV$6*'2008A'!$F41</f>
        <v>300.67939440000004</v>
      </c>
      <c r="AY41" s="33"/>
      <c r="AZ41" s="51">
        <f t="shared" si="13"/>
        <v>16815.004</v>
      </c>
      <c r="BA41" s="51">
        <f t="shared" si="14"/>
        <v>1198.5154268</v>
      </c>
      <c r="BB41" s="33">
        <f t="shared" si="5"/>
        <v>18013.5194268</v>
      </c>
      <c r="BC41" s="20">
        <f>BA$6*'2008A'!$F41</f>
        <v>159.03597919999999</v>
      </c>
      <c r="BD41" s="33"/>
      <c r="BE41" s="51">
        <f t="shared" si="52"/>
        <v>47943.575999999994</v>
      </c>
      <c r="BF41" s="51">
        <f t="shared" si="31"/>
        <v>3417.2525591999997</v>
      </c>
      <c r="BG41" s="33">
        <f t="shared" si="64"/>
        <v>51360.828559199996</v>
      </c>
      <c r="BH41" s="20">
        <f>BF$6*'2008A'!$F41</f>
        <v>453.4494048</v>
      </c>
      <c r="BI41" s="33"/>
      <c r="BJ41" s="33">
        <f t="shared" si="53"/>
        <v>22527.046000000002</v>
      </c>
      <c r="BK41" s="33">
        <f t="shared" si="32"/>
        <v>1605.6500581999999</v>
      </c>
      <c r="BL41" s="33">
        <f t="shared" si="6"/>
        <v>24132.696058200003</v>
      </c>
      <c r="BM41" s="20">
        <f>BK$6*'2008A'!$F41</f>
        <v>213.0603608</v>
      </c>
      <c r="BN41" s="51"/>
      <c r="BO41" s="33">
        <f t="shared" si="54"/>
        <v>16303.542</v>
      </c>
      <c r="BP41" s="33">
        <f t="shared" si="33"/>
        <v>1162.0601814</v>
      </c>
      <c r="BQ41" s="33">
        <f t="shared" si="65"/>
        <v>17465.602181399998</v>
      </c>
      <c r="BR41" s="20">
        <f>BP$6*'2008A'!$F41</f>
        <v>154.1985816</v>
      </c>
      <c r="BS41" s="51"/>
      <c r="BT41" s="33">
        <f t="shared" si="55"/>
        <v>23466.465999999997</v>
      </c>
      <c r="BU41" s="33">
        <f t="shared" si="34"/>
        <v>1672.6086721999998</v>
      </c>
      <c r="BV41" s="33">
        <f t="shared" si="35"/>
        <v>25139.074672199997</v>
      </c>
      <c r="BW41" s="20">
        <f>BU$6*'2008A'!$F41</f>
        <v>221.9453768</v>
      </c>
      <c r="BX41" s="51"/>
      <c r="BY41" s="33">
        <f t="shared" si="56"/>
        <v>4826.654</v>
      </c>
      <c r="BZ41" s="33">
        <f t="shared" si="36"/>
        <v>344.0272318</v>
      </c>
      <c r="CA41" s="33">
        <f t="shared" si="15"/>
        <v>5170.6812318</v>
      </c>
      <c r="CB41" s="20">
        <f>BZ$6*'2008A'!$F41</f>
        <v>45.650399199999995</v>
      </c>
      <c r="CC41" s="33"/>
      <c r="CD41" s="33">
        <f t="shared" si="57"/>
        <v>18311.322</v>
      </c>
      <c r="CE41" s="33">
        <f t="shared" si="37"/>
        <v>1305.1678074000001</v>
      </c>
      <c r="CF41" s="33">
        <f t="shared" si="38"/>
        <v>19616.4898074</v>
      </c>
      <c r="CG41" s="20">
        <f>CE$6*'2008A'!$F41</f>
        <v>173.18812559999998</v>
      </c>
      <c r="CH41" s="51"/>
      <c r="CI41" s="33">
        <f t="shared" si="58"/>
        <v>4567.545999999999</v>
      </c>
      <c r="CJ41" s="33">
        <f t="shared" si="39"/>
        <v>325.5589082</v>
      </c>
      <c r="CK41" s="33">
        <f t="shared" si="66"/>
        <v>4893.104908199999</v>
      </c>
      <c r="CL41" s="20">
        <f>CJ$6*'2008A'!$F41</f>
        <v>43.1997608</v>
      </c>
      <c r="CM41" s="51"/>
      <c r="CN41" s="33">
        <f t="shared" si="59"/>
        <v>18353.074</v>
      </c>
      <c r="CO41" s="33">
        <f t="shared" si="40"/>
        <v>1308.1437458</v>
      </c>
      <c r="CP41" s="33">
        <f t="shared" si="16"/>
        <v>19661.2177458</v>
      </c>
      <c r="CQ41" s="20">
        <f>CO$6*'2008A'!$F41</f>
        <v>173.5830152</v>
      </c>
      <c r="CR41" s="51"/>
      <c r="CS41" s="33">
        <f t="shared" si="60"/>
        <v>102717.90199999999</v>
      </c>
      <c r="CT41" s="33">
        <f t="shared" si="41"/>
        <v>7321.3773934</v>
      </c>
      <c r="CU41" s="33">
        <f t="shared" si="17"/>
        <v>110039.2793934</v>
      </c>
      <c r="CV41" s="20">
        <f>CT$6*'2008A'!$F41</f>
        <v>971.5039095999999</v>
      </c>
      <c r="CW41" s="51"/>
      <c r="CX41" s="33">
        <f t="shared" si="61"/>
        <v>298.404</v>
      </c>
      <c r="CY41" s="33">
        <f t="shared" si="42"/>
        <v>21.269206799999996</v>
      </c>
      <c r="CZ41" s="33">
        <f t="shared" si="18"/>
        <v>319.6732068</v>
      </c>
      <c r="DA41" s="20">
        <f>CY$6*'2008A'!$F41</f>
        <v>2.8222992000000002</v>
      </c>
      <c r="DB41" s="51"/>
      <c r="DC41" s="33">
        <f t="shared" si="62"/>
        <v>19584.757999999998</v>
      </c>
      <c r="DD41" s="33">
        <f t="shared" si="43"/>
        <v>1395.9339286</v>
      </c>
      <c r="DE41" s="33">
        <f t="shared" si="19"/>
        <v>20980.691928599997</v>
      </c>
      <c r="DF41" s="20">
        <f>DD$6*'2008A'!$F41</f>
        <v>185.2322584</v>
      </c>
      <c r="DG41" s="51"/>
      <c r="DH41" s="33">
        <f t="shared" si="63"/>
        <v>17193.842</v>
      </c>
      <c r="DI41" s="33">
        <f t="shared" si="44"/>
        <v>1225.5176914</v>
      </c>
      <c r="DJ41" s="33">
        <f t="shared" si="20"/>
        <v>18419.3596914</v>
      </c>
      <c r="DK41" s="20">
        <f>DI$6*'2008A'!$F41</f>
        <v>162.6190216</v>
      </c>
      <c r="DL41" s="51"/>
    </row>
    <row r="42" spans="1:116" s="53" customFormat="1" ht="12.75">
      <c r="A42" s="19">
        <v>46296</v>
      </c>
      <c r="C42" s="41"/>
      <c r="D42" s="41">
        <v>295650</v>
      </c>
      <c r="E42" s="35">
        <f t="shared" si="0"/>
        <v>295650</v>
      </c>
      <c r="F42" s="51"/>
      <c r="G42" s="71"/>
      <c r="H42" s="51">
        <f t="shared" si="1"/>
        <v>29954.844089999995</v>
      </c>
      <c r="I42" s="51">
        <f t="shared" si="21"/>
        <v>29954.844089999995</v>
      </c>
      <c r="J42" s="51">
        <f t="shared" si="1"/>
        <v>5883.7737392</v>
      </c>
      <c r="K42" s="51"/>
      <c r="L42" s="33"/>
      <c r="M42" s="33">
        <f t="shared" si="22"/>
        <v>2993.45625</v>
      </c>
      <c r="N42" s="33">
        <f t="shared" si="8"/>
        <v>2993.45625</v>
      </c>
      <c r="O42" s="20">
        <f>M$6*'2008A'!$F42</f>
        <v>587.979</v>
      </c>
      <c r="P42" s="51"/>
      <c r="Q42" s="33"/>
      <c r="R42" s="51">
        <f t="shared" si="23"/>
        <v>7025.9448600000005</v>
      </c>
      <c r="S42" s="51">
        <f t="shared" si="9"/>
        <v>7025.9448600000005</v>
      </c>
      <c r="T42" s="20">
        <f>R$6*'2008A'!$F42</f>
        <v>1380.0462368</v>
      </c>
      <c r="U42" s="51"/>
      <c r="V42" s="33"/>
      <c r="W42" s="33">
        <f t="shared" si="24"/>
        <v>203.28894</v>
      </c>
      <c r="X42" s="33">
        <f t="shared" si="2"/>
        <v>203.28894</v>
      </c>
      <c r="Y42" s="20">
        <f>W$6*'2008A'!$F42</f>
        <v>39.9303072</v>
      </c>
      <c r="Z42" s="51"/>
      <c r="AA42" s="51"/>
      <c r="AB42" s="33">
        <f t="shared" si="25"/>
        <v>99.781875</v>
      </c>
      <c r="AC42" s="33">
        <f t="shared" si="3"/>
        <v>99.781875</v>
      </c>
      <c r="AD42" s="20">
        <f>AB$6*'2008A'!$F42</f>
        <v>19.5993</v>
      </c>
      <c r="AE42" s="51"/>
      <c r="AF42" s="33"/>
      <c r="AG42" s="33">
        <f t="shared" si="26"/>
        <v>816.70356</v>
      </c>
      <c r="AH42" s="33">
        <f t="shared" si="27"/>
        <v>816.70356</v>
      </c>
      <c r="AI42" s="20">
        <f>AG$6*'2008A'!$F42</f>
        <v>160.41809279999998</v>
      </c>
      <c r="AJ42" s="51"/>
      <c r="AK42" s="33"/>
      <c r="AL42" s="33">
        <f t="shared" si="11"/>
        <v>148.29804000000001</v>
      </c>
      <c r="AM42" s="33">
        <f t="shared" si="4"/>
        <v>148.29804000000001</v>
      </c>
      <c r="AN42" s="20">
        <f>AL$6*'2008A'!$F42</f>
        <v>29.1289152</v>
      </c>
      <c r="AO42" s="51"/>
      <c r="AP42" s="33"/>
      <c r="AQ42" s="33">
        <f t="shared" si="28"/>
        <v>2069.55</v>
      </c>
      <c r="AR42" s="33">
        <f t="shared" si="12"/>
        <v>2069.55</v>
      </c>
      <c r="AS42" s="20">
        <f>AQ$6*'2008A'!$F42</f>
        <v>406.504</v>
      </c>
      <c r="AT42" s="51"/>
      <c r="AU42" s="33"/>
      <c r="AV42" s="33">
        <f t="shared" si="29"/>
        <v>1530.7870049999997</v>
      </c>
      <c r="AW42" s="33">
        <f t="shared" si="30"/>
        <v>1530.7870049999997</v>
      </c>
      <c r="AX42" s="20">
        <f>AV$6*'2008A'!$F42</f>
        <v>300.67939440000004</v>
      </c>
      <c r="AY42" s="33"/>
      <c r="AZ42" s="51"/>
      <c r="BA42" s="51">
        <f t="shared" si="14"/>
        <v>809.66709</v>
      </c>
      <c r="BB42" s="33">
        <f t="shared" si="5"/>
        <v>809.66709</v>
      </c>
      <c r="BC42" s="20">
        <f>BA$6*'2008A'!$F42</f>
        <v>159.03597919999999</v>
      </c>
      <c r="BD42" s="33"/>
      <c r="BE42" s="51"/>
      <c r="BF42" s="51">
        <f t="shared" si="31"/>
        <v>2308.55346</v>
      </c>
      <c r="BG42" s="33">
        <f t="shared" si="64"/>
        <v>2308.55346</v>
      </c>
      <c r="BH42" s="20">
        <f>BF$6*'2008A'!$F42</f>
        <v>453.4494048</v>
      </c>
      <c r="BI42" s="33"/>
      <c r="BJ42" s="33"/>
      <c r="BK42" s="33">
        <f t="shared" si="32"/>
        <v>1084.710285</v>
      </c>
      <c r="BL42" s="33">
        <f t="shared" si="6"/>
        <v>1084.710285</v>
      </c>
      <c r="BM42" s="20">
        <f>BK$6*'2008A'!$F42</f>
        <v>213.0603608</v>
      </c>
      <c r="BN42" s="51"/>
      <c r="BO42" s="33"/>
      <c r="BP42" s="33">
        <f t="shared" si="33"/>
        <v>785.039445</v>
      </c>
      <c r="BQ42" s="33">
        <f t="shared" si="65"/>
        <v>785.039445</v>
      </c>
      <c r="BR42" s="20">
        <f>BP$6*'2008A'!$F42</f>
        <v>154.1985816</v>
      </c>
      <c r="BS42" s="51"/>
      <c r="BT42" s="33"/>
      <c r="BU42" s="33">
        <f t="shared" si="34"/>
        <v>1129.944735</v>
      </c>
      <c r="BV42" s="33">
        <f t="shared" si="35"/>
        <v>1129.944735</v>
      </c>
      <c r="BW42" s="20">
        <f>BU$6*'2008A'!$F42</f>
        <v>221.9453768</v>
      </c>
      <c r="BX42" s="51"/>
      <c r="BY42" s="33"/>
      <c r="BZ42" s="33">
        <f t="shared" si="36"/>
        <v>232.41046500000002</v>
      </c>
      <c r="CA42" s="33">
        <f t="shared" si="15"/>
        <v>232.41046500000002</v>
      </c>
      <c r="CB42" s="20">
        <f>BZ$6*'2008A'!$F42</f>
        <v>45.650399199999995</v>
      </c>
      <c r="CC42" s="33"/>
      <c r="CD42" s="33"/>
      <c r="CE42" s="33">
        <f t="shared" si="37"/>
        <v>881.716995</v>
      </c>
      <c r="CF42" s="33">
        <f t="shared" si="38"/>
        <v>881.716995</v>
      </c>
      <c r="CG42" s="20">
        <f>CE$6*'2008A'!$F42</f>
        <v>173.18812559999998</v>
      </c>
      <c r="CH42" s="51"/>
      <c r="CI42" s="33"/>
      <c r="CJ42" s="33">
        <f t="shared" si="39"/>
        <v>219.934035</v>
      </c>
      <c r="CK42" s="33">
        <f t="shared" si="66"/>
        <v>219.934035</v>
      </c>
      <c r="CL42" s="20">
        <f>CJ$6*'2008A'!$F42</f>
        <v>43.1997608</v>
      </c>
      <c r="CM42" s="51"/>
      <c r="CN42" s="33"/>
      <c r="CO42" s="33">
        <f t="shared" si="40"/>
        <v>883.7274150000001</v>
      </c>
      <c r="CP42" s="33">
        <f t="shared" si="16"/>
        <v>883.7274150000001</v>
      </c>
      <c r="CQ42" s="20">
        <f>CO$6*'2008A'!$F42</f>
        <v>173.5830152</v>
      </c>
      <c r="CR42" s="51"/>
      <c r="CS42" s="33"/>
      <c r="CT42" s="33">
        <f t="shared" si="41"/>
        <v>4946.017545</v>
      </c>
      <c r="CU42" s="33">
        <f t="shared" si="17"/>
        <v>4946.017545</v>
      </c>
      <c r="CV42" s="20">
        <f>CT$6*'2008A'!$F42</f>
        <v>971.5039095999999</v>
      </c>
      <c r="CW42" s="51"/>
      <c r="CX42" s="33"/>
      <c r="CY42" s="33">
        <f t="shared" si="42"/>
        <v>14.36859</v>
      </c>
      <c r="CZ42" s="33">
        <f t="shared" si="18"/>
        <v>14.36859</v>
      </c>
      <c r="DA42" s="20">
        <f>CY$6*'2008A'!$F42</f>
        <v>2.8222992000000002</v>
      </c>
      <c r="DB42" s="51"/>
      <c r="DC42" s="33"/>
      <c r="DD42" s="33">
        <f t="shared" si="43"/>
        <v>943.0348049999999</v>
      </c>
      <c r="DE42" s="33">
        <f t="shared" si="19"/>
        <v>943.0348049999999</v>
      </c>
      <c r="DF42" s="20">
        <f>DD$6*'2008A'!$F42</f>
        <v>185.2322584</v>
      </c>
      <c r="DG42" s="51"/>
      <c r="DH42" s="33"/>
      <c r="DI42" s="33">
        <f t="shared" si="44"/>
        <v>827.908695</v>
      </c>
      <c r="DJ42" s="33">
        <f t="shared" si="20"/>
        <v>827.908695</v>
      </c>
      <c r="DK42" s="20">
        <f>DI$6*'2008A'!$F42</f>
        <v>162.6190216</v>
      </c>
      <c r="DL42" s="51"/>
    </row>
    <row r="43" spans="1:116" s="53" customFormat="1" ht="12.75">
      <c r="A43" s="19">
        <v>46478</v>
      </c>
      <c r="C43" s="41">
        <v>6425000</v>
      </c>
      <c r="D43" s="41">
        <v>295650</v>
      </c>
      <c r="E43" s="35">
        <f t="shared" si="0"/>
        <v>6720650</v>
      </c>
      <c r="F43" s="51"/>
      <c r="G43" s="71">
        <f t="shared" si="7"/>
        <v>650972.005</v>
      </c>
      <c r="H43" s="51">
        <f t="shared" si="1"/>
        <v>29954.844089999995</v>
      </c>
      <c r="I43" s="51">
        <f t="shared" si="21"/>
        <v>680926.84909</v>
      </c>
      <c r="J43" s="51">
        <f t="shared" si="1"/>
        <v>5883.7737392</v>
      </c>
      <c r="K43" s="51"/>
      <c r="L43" s="33">
        <f t="shared" si="45"/>
        <v>65053.125</v>
      </c>
      <c r="M43" s="33">
        <f t="shared" si="22"/>
        <v>2993.45625</v>
      </c>
      <c r="N43" s="33">
        <f t="shared" si="8"/>
        <v>68046.58125</v>
      </c>
      <c r="O43" s="20">
        <f>M$6*'2008A'!$F43</f>
        <v>587.979</v>
      </c>
      <c r="P43" s="51"/>
      <c r="Q43" s="33">
        <f t="shared" si="46"/>
        <v>152686.27</v>
      </c>
      <c r="R43" s="51">
        <f t="shared" si="23"/>
        <v>7025.9448600000005</v>
      </c>
      <c r="S43" s="51">
        <f t="shared" si="9"/>
        <v>159712.21485999998</v>
      </c>
      <c r="T43" s="20">
        <f>R$6*'2008A'!$F43</f>
        <v>1380.0462368</v>
      </c>
      <c r="U43" s="51"/>
      <c r="V43" s="33">
        <f t="shared" si="47"/>
        <v>4417.83</v>
      </c>
      <c r="W43" s="33">
        <f t="shared" si="24"/>
        <v>203.28894</v>
      </c>
      <c r="X43" s="33">
        <f t="shared" si="2"/>
        <v>4621.11894</v>
      </c>
      <c r="Y43" s="20">
        <f>W$6*'2008A'!$F43</f>
        <v>39.9303072</v>
      </c>
      <c r="Z43" s="51"/>
      <c r="AA43" s="51">
        <f t="shared" si="48"/>
        <v>2168.4375</v>
      </c>
      <c r="AB43" s="33">
        <f t="shared" si="25"/>
        <v>99.781875</v>
      </c>
      <c r="AC43" s="33">
        <f t="shared" si="3"/>
        <v>2268.219375</v>
      </c>
      <c r="AD43" s="20">
        <f>AB$6*'2008A'!$F43</f>
        <v>19.5993</v>
      </c>
      <c r="AE43" s="51"/>
      <c r="AF43" s="33">
        <f t="shared" si="49"/>
        <v>17748.42</v>
      </c>
      <c r="AG43" s="33">
        <f t="shared" si="26"/>
        <v>816.70356</v>
      </c>
      <c r="AH43" s="33">
        <f t="shared" si="27"/>
        <v>18565.12356</v>
      </c>
      <c r="AI43" s="20">
        <f>AG$6*'2008A'!$F43</f>
        <v>160.41809279999998</v>
      </c>
      <c r="AJ43" s="51"/>
      <c r="AK43" s="33">
        <f t="shared" si="10"/>
        <v>3222.78</v>
      </c>
      <c r="AL43" s="33">
        <f t="shared" si="11"/>
        <v>148.29804000000001</v>
      </c>
      <c r="AM43" s="33">
        <f t="shared" si="4"/>
        <v>3371.0780400000003</v>
      </c>
      <c r="AN43" s="20">
        <f>AL$6*'2008A'!$F43</f>
        <v>29.1289152</v>
      </c>
      <c r="AO43" s="51"/>
      <c r="AP43" s="33">
        <f t="shared" si="50"/>
        <v>44975</v>
      </c>
      <c r="AQ43" s="33">
        <f t="shared" si="28"/>
        <v>2069.55</v>
      </c>
      <c r="AR43" s="33">
        <f t="shared" si="12"/>
        <v>47044.55</v>
      </c>
      <c r="AS43" s="20">
        <f>AQ$6*'2008A'!$F43</f>
        <v>406.504</v>
      </c>
      <c r="AT43" s="51"/>
      <c r="AU43" s="33">
        <f t="shared" si="51"/>
        <v>33266.722499999996</v>
      </c>
      <c r="AV43" s="33">
        <f t="shared" si="29"/>
        <v>1530.7870049999997</v>
      </c>
      <c r="AW43" s="33">
        <f t="shared" si="30"/>
        <v>34797.509504999995</v>
      </c>
      <c r="AX43" s="20">
        <f>AV$6*'2008A'!$F43</f>
        <v>300.67939440000004</v>
      </c>
      <c r="AY43" s="33"/>
      <c r="AZ43" s="51">
        <f t="shared" si="13"/>
        <v>17595.505</v>
      </c>
      <c r="BA43" s="51">
        <f t="shared" si="14"/>
        <v>809.66709</v>
      </c>
      <c r="BB43" s="33">
        <f t="shared" si="5"/>
        <v>18405.17209</v>
      </c>
      <c r="BC43" s="20">
        <f>BA$6*'2008A'!$F43</f>
        <v>159.03597919999999</v>
      </c>
      <c r="BD43" s="33"/>
      <c r="BE43" s="51">
        <f t="shared" si="52"/>
        <v>50168.97</v>
      </c>
      <c r="BF43" s="51">
        <f t="shared" si="31"/>
        <v>2308.55346</v>
      </c>
      <c r="BG43" s="33">
        <f t="shared" si="64"/>
        <v>52477.523460000004</v>
      </c>
      <c r="BH43" s="20">
        <f>BF$6*'2008A'!$F43</f>
        <v>453.4494048</v>
      </c>
      <c r="BI43" s="33"/>
      <c r="BJ43" s="33">
        <f t="shared" si="53"/>
        <v>23572.6825</v>
      </c>
      <c r="BK43" s="33">
        <f t="shared" si="32"/>
        <v>1084.710285</v>
      </c>
      <c r="BL43" s="33">
        <f t="shared" si="6"/>
        <v>24657.392785</v>
      </c>
      <c r="BM43" s="20">
        <f>BK$6*'2008A'!$F43</f>
        <v>213.0603608</v>
      </c>
      <c r="BN43" s="51"/>
      <c r="BO43" s="33">
        <f t="shared" si="54"/>
        <v>17060.3025</v>
      </c>
      <c r="BP43" s="33">
        <f t="shared" si="33"/>
        <v>785.039445</v>
      </c>
      <c r="BQ43" s="33">
        <f t="shared" si="65"/>
        <v>17845.341945</v>
      </c>
      <c r="BR43" s="20">
        <f>BP$6*'2008A'!$F43</f>
        <v>154.1985816</v>
      </c>
      <c r="BS43" s="51"/>
      <c r="BT43" s="33">
        <f t="shared" si="55"/>
        <v>24555.7075</v>
      </c>
      <c r="BU43" s="33">
        <f t="shared" si="34"/>
        <v>1129.944735</v>
      </c>
      <c r="BV43" s="33">
        <f t="shared" si="35"/>
        <v>25685.652235</v>
      </c>
      <c r="BW43" s="20">
        <f>BU$6*'2008A'!$F43</f>
        <v>221.9453768</v>
      </c>
      <c r="BX43" s="51"/>
      <c r="BY43" s="33">
        <f t="shared" si="56"/>
        <v>5050.6925</v>
      </c>
      <c r="BZ43" s="33">
        <f t="shared" si="36"/>
        <v>232.41046500000002</v>
      </c>
      <c r="CA43" s="33">
        <f t="shared" si="15"/>
        <v>5283.102965</v>
      </c>
      <c r="CB43" s="20">
        <f>BZ$6*'2008A'!$F43</f>
        <v>45.650399199999995</v>
      </c>
      <c r="CC43" s="33"/>
      <c r="CD43" s="33">
        <f t="shared" si="57"/>
        <v>19161.2775</v>
      </c>
      <c r="CE43" s="33">
        <f t="shared" si="37"/>
        <v>881.716995</v>
      </c>
      <c r="CF43" s="33">
        <f t="shared" si="38"/>
        <v>20042.994495</v>
      </c>
      <c r="CG43" s="20">
        <f>CE$6*'2008A'!$F43</f>
        <v>173.18812559999998</v>
      </c>
      <c r="CH43" s="51"/>
      <c r="CI43" s="33">
        <f t="shared" si="58"/>
        <v>4779.5575</v>
      </c>
      <c r="CJ43" s="33">
        <f t="shared" si="39"/>
        <v>219.934035</v>
      </c>
      <c r="CK43" s="33">
        <f t="shared" si="66"/>
        <v>4999.491535</v>
      </c>
      <c r="CL43" s="20">
        <f>CJ$6*'2008A'!$F43</f>
        <v>43.1997608</v>
      </c>
      <c r="CM43" s="51"/>
      <c r="CN43" s="33">
        <f t="shared" si="59"/>
        <v>19204.9675</v>
      </c>
      <c r="CO43" s="33">
        <f t="shared" si="40"/>
        <v>883.7274150000001</v>
      </c>
      <c r="CP43" s="33">
        <f t="shared" si="16"/>
        <v>20088.694915</v>
      </c>
      <c r="CQ43" s="20">
        <f>CO$6*'2008A'!$F43</f>
        <v>173.5830152</v>
      </c>
      <c r="CR43" s="51"/>
      <c r="CS43" s="33">
        <f t="shared" si="60"/>
        <v>107485.7525</v>
      </c>
      <c r="CT43" s="33">
        <f t="shared" si="41"/>
        <v>4946.017545</v>
      </c>
      <c r="CU43" s="33">
        <f t="shared" si="17"/>
        <v>112431.770045</v>
      </c>
      <c r="CV43" s="20">
        <f>CT$6*'2008A'!$F43</f>
        <v>971.5039095999999</v>
      </c>
      <c r="CW43" s="51"/>
      <c r="CX43" s="33">
        <f t="shared" si="61"/>
        <v>312.255</v>
      </c>
      <c r="CY43" s="33">
        <f t="shared" si="42"/>
        <v>14.36859</v>
      </c>
      <c r="CZ43" s="33">
        <f t="shared" si="18"/>
        <v>326.62359</v>
      </c>
      <c r="DA43" s="20">
        <f>CY$6*'2008A'!$F43</f>
        <v>2.8222992000000002</v>
      </c>
      <c r="DB43" s="51"/>
      <c r="DC43" s="33">
        <f t="shared" si="62"/>
        <v>20493.8225</v>
      </c>
      <c r="DD43" s="33">
        <f t="shared" si="43"/>
        <v>943.0348049999999</v>
      </c>
      <c r="DE43" s="33">
        <f t="shared" si="19"/>
        <v>21436.857304999998</v>
      </c>
      <c r="DF43" s="20">
        <f>DD$6*'2008A'!$F43</f>
        <v>185.2322584</v>
      </c>
      <c r="DG43" s="51"/>
      <c r="DH43" s="33">
        <f t="shared" si="63"/>
        <v>17991.9275</v>
      </c>
      <c r="DI43" s="33">
        <f t="shared" si="44"/>
        <v>827.908695</v>
      </c>
      <c r="DJ43" s="33">
        <f t="shared" si="20"/>
        <v>18819.836195</v>
      </c>
      <c r="DK43" s="20">
        <f>DI$6*'2008A'!$F43</f>
        <v>162.6190216</v>
      </c>
      <c r="DL43" s="51"/>
    </row>
    <row r="44" spans="1:116" s="53" customFormat="1" ht="12.75">
      <c r="A44" s="19">
        <v>46661</v>
      </c>
      <c r="B44"/>
      <c r="C44" s="41"/>
      <c r="D44" s="41">
        <v>151088</v>
      </c>
      <c r="E44" s="35">
        <f t="shared" si="0"/>
        <v>151088</v>
      </c>
      <c r="F44" s="51"/>
      <c r="G44" s="71"/>
      <c r="H44" s="51">
        <f t="shared" si="1"/>
        <v>15308.024636799995</v>
      </c>
      <c r="I44" s="51">
        <f t="shared" si="21"/>
        <v>15308.024636799995</v>
      </c>
      <c r="J44" s="51">
        <f t="shared" si="1"/>
        <v>5883.7737392</v>
      </c>
      <c r="K44" s="51"/>
      <c r="L44" s="33"/>
      <c r="M44" s="33">
        <f t="shared" si="22"/>
        <v>1529.766</v>
      </c>
      <c r="N44" s="33">
        <f t="shared" si="8"/>
        <v>1529.766</v>
      </c>
      <c r="O44" s="20">
        <f>M$6*'2008A'!$F44</f>
        <v>587.979</v>
      </c>
      <c r="P44" s="51"/>
      <c r="Q44" s="33"/>
      <c r="R44" s="51">
        <f t="shared" si="23"/>
        <v>3590.5156672</v>
      </c>
      <c r="S44" s="51">
        <f t="shared" si="9"/>
        <v>3590.5156672</v>
      </c>
      <c r="T44" s="20">
        <f>R$6*'2008A'!$F44</f>
        <v>1380.0462368</v>
      </c>
      <c r="U44" s="51"/>
      <c r="V44" s="33"/>
      <c r="W44" s="33">
        <f t="shared" si="24"/>
        <v>103.88810880000001</v>
      </c>
      <c r="X44" s="33">
        <f t="shared" si="2"/>
        <v>103.88810880000001</v>
      </c>
      <c r="Y44" s="20">
        <f>W$6*'2008A'!$F44</f>
        <v>39.9303072</v>
      </c>
      <c r="Z44" s="51"/>
      <c r="AA44" s="51"/>
      <c r="AB44" s="33">
        <f t="shared" si="25"/>
        <v>50.992200000000004</v>
      </c>
      <c r="AC44" s="33">
        <f t="shared" si="3"/>
        <v>50.992200000000004</v>
      </c>
      <c r="AD44" s="20">
        <f>AB$6*'2008A'!$F44</f>
        <v>19.5993</v>
      </c>
      <c r="AE44" s="51"/>
      <c r="AF44" s="33"/>
      <c r="AG44" s="33">
        <f t="shared" si="26"/>
        <v>417.36549119999995</v>
      </c>
      <c r="AH44" s="33">
        <f t="shared" si="27"/>
        <v>417.36549119999995</v>
      </c>
      <c r="AI44" s="20">
        <f>AG$6*'2008A'!$F44</f>
        <v>160.41809279999998</v>
      </c>
      <c r="AJ44" s="51"/>
      <c r="AK44" s="33"/>
      <c r="AL44" s="33">
        <f t="shared" si="11"/>
        <v>75.7857408</v>
      </c>
      <c r="AM44" s="33">
        <f t="shared" si="4"/>
        <v>75.7857408</v>
      </c>
      <c r="AN44" s="20">
        <f>AL$6*'2008A'!$F44</f>
        <v>29.1289152</v>
      </c>
      <c r="AO44" s="51"/>
      <c r="AP44" s="33"/>
      <c r="AQ44" s="33">
        <f t="shared" si="28"/>
        <v>1057.616</v>
      </c>
      <c r="AR44" s="33">
        <f t="shared" si="12"/>
        <v>1057.616</v>
      </c>
      <c r="AS44" s="20">
        <f>AQ$6*'2008A'!$F44</f>
        <v>406.504</v>
      </c>
      <c r="AT44" s="51"/>
      <c r="AU44" s="33"/>
      <c r="AV44" s="33">
        <f t="shared" si="29"/>
        <v>782.2883376</v>
      </c>
      <c r="AW44" s="33">
        <f t="shared" si="30"/>
        <v>782.2883376</v>
      </c>
      <c r="AX44" s="20">
        <f>AV$6*'2008A'!$F44</f>
        <v>300.67939440000004</v>
      </c>
      <c r="AY44" s="33"/>
      <c r="AZ44" s="51"/>
      <c r="BA44" s="51">
        <f t="shared" si="14"/>
        <v>413.7695968</v>
      </c>
      <c r="BB44" s="33">
        <f t="shared" si="5"/>
        <v>413.7695968</v>
      </c>
      <c r="BC44" s="20">
        <f>BA$6*'2008A'!$F44</f>
        <v>159.03597919999999</v>
      </c>
      <c r="BD44" s="33"/>
      <c r="BE44" s="51"/>
      <c r="BF44" s="51">
        <f t="shared" si="31"/>
        <v>1179.7555392</v>
      </c>
      <c r="BG44" s="33">
        <f t="shared" si="64"/>
        <v>1179.7555392</v>
      </c>
      <c r="BH44" s="20">
        <f>BF$6*'2008A'!$F44</f>
        <v>453.4494048</v>
      </c>
      <c r="BI44" s="33"/>
      <c r="BJ44" s="33"/>
      <c r="BK44" s="33">
        <f t="shared" si="32"/>
        <v>554.3267632</v>
      </c>
      <c r="BL44" s="33">
        <f t="shared" si="6"/>
        <v>554.3267632</v>
      </c>
      <c r="BM44" s="20">
        <f>BK$6*'2008A'!$F44</f>
        <v>213.0603608</v>
      </c>
      <c r="BN44" s="51"/>
      <c r="BO44" s="33"/>
      <c r="BP44" s="33">
        <f t="shared" si="33"/>
        <v>401.1839664</v>
      </c>
      <c r="BQ44" s="33">
        <f t="shared" si="65"/>
        <v>401.1839664</v>
      </c>
      <c r="BR44" s="20">
        <f>BP$6*'2008A'!$F44</f>
        <v>154.1985816</v>
      </c>
      <c r="BS44" s="51"/>
      <c r="BT44" s="33"/>
      <c r="BU44" s="33">
        <f t="shared" si="34"/>
        <v>577.4432271999999</v>
      </c>
      <c r="BV44" s="33">
        <f t="shared" si="35"/>
        <v>577.4432271999999</v>
      </c>
      <c r="BW44" s="20">
        <f>BU$6*'2008A'!$F44</f>
        <v>221.9453768</v>
      </c>
      <c r="BX44" s="51"/>
      <c r="BY44" s="33"/>
      <c r="BZ44" s="33">
        <f t="shared" si="36"/>
        <v>118.77027679999999</v>
      </c>
      <c r="CA44" s="33">
        <f t="shared" si="15"/>
        <v>118.77027679999999</v>
      </c>
      <c r="CB44" s="20">
        <f>BZ$6*'2008A'!$F44</f>
        <v>45.650399199999995</v>
      </c>
      <c r="CC44" s="33"/>
      <c r="CD44" s="33"/>
      <c r="CE44" s="33">
        <f t="shared" si="37"/>
        <v>450.5897424</v>
      </c>
      <c r="CF44" s="33">
        <f t="shared" si="38"/>
        <v>450.5897424</v>
      </c>
      <c r="CG44" s="20">
        <f>CE$6*'2008A'!$F44</f>
        <v>173.18812559999998</v>
      </c>
      <c r="CH44" s="51"/>
      <c r="CI44" s="33"/>
      <c r="CJ44" s="33">
        <f t="shared" si="39"/>
        <v>112.39436319999999</v>
      </c>
      <c r="CK44" s="33">
        <f t="shared" si="66"/>
        <v>112.39436319999999</v>
      </c>
      <c r="CL44" s="20">
        <f>CJ$6*'2008A'!$F44</f>
        <v>43.1997608</v>
      </c>
      <c r="CM44" s="51"/>
      <c r="CN44" s="33"/>
      <c r="CO44" s="33">
        <f t="shared" si="40"/>
        <v>451.61714079999996</v>
      </c>
      <c r="CP44" s="33">
        <f t="shared" si="16"/>
        <v>451.61714079999996</v>
      </c>
      <c r="CQ44" s="20">
        <f>CO$6*'2008A'!$F44</f>
        <v>173.5830152</v>
      </c>
      <c r="CR44" s="51"/>
      <c r="CS44" s="33"/>
      <c r="CT44" s="33">
        <f t="shared" si="41"/>
        <v>2527.5964784</v>
      </c>
      <c r="CU44" s="33">
        <f t="shared" si="17"/>
        <v>2527.5964784</v>
      </c>
      <c r="CV44" s="20">
        <f>CT$6*'2008A'!$F44</f>
        <v>971.5039095999999</v>
      </c>
      <c r="CW44" s="51"/>
      <c r="CX44" s="33"/>
      <c r="CY44" s="33">
        <f t="shared" si="42"/>
        <v>7.342876799999999</v>
      </c>
      <c r="CZ44" s="33">
        <f t="shared" si="18"/>
        <v>7.342876799999999</v>
      </c>
      <c r="DA44" s="20">
        <f>CY$6*'2008A'!$F44</f>
        <v>2.8222992000000002</v>
      </c>
      <c r="DB44" s="51"/>
      <c r="DC44" s="33"/>
      <c r="DD44" s="33">
        <f t="shared" si="43"/>
        <v>481.92539359999995</v>
      </c>
      <c r="DE44" s="33">
        <f t="shared" si="19"/>
        <v>481.92539359999995</v>
      </c>
      <c r="DF44" s="20">
        <f>DD$6*'2008A'!$F44</f>
        <v>185.2322584</v>
      </c>
      <c r="DG44" s="51"/>
      <c r="DH44" s="33"/>
      <c r="DI44" s="33">
        <f t="shared" si="44"/>
        <v>423.09172639999997</v>
      </c>
      <c r="DJ44" s="33">
        <f t="shared" si="20"/>
        <v>423.09172639999997</v>
      </c>
      <c r="DK44" s="20">
        <f>DI$6*'2008A'!$F44</f>
        <v>162.6190216</v>
      </c>
      <c r="DL44" s="51"/>
    </row>
    <row r="45" spans="1:116" s="53" customFormat="1" ht="12.75">
      <c r="A45" s="19">
        <v>46844</v>
      </c>
      <c r="B45"/>
      <c r="C45" s="41">
        <v>6715000</v>
      </c>
      <c r="D45" s="41">
        <v>151088</v>
      </c>
      <c r="E45" s="35">
        <f t="shared" si="0"/>
        <v>6866088</v>
      </c>
      <c r="F45" s="51"/>
      <c r="G45" s="71">
        <f t="shared" si="7"/>
        <v>680354.3990000002</v>
      </c>
      <c r="H45" s="51">
        <f t="shared" si="1"/>
        <v>15308.024636799995</v>
      </c>
      <c r="I45" s="51">
        <f t="shared" si="21"/>
        <v>695662.4236368003</v>
      </c>
      <c r="J45" s="51">
        <f t="shared" si="1"/>
        <v>5884.280332199999</v>
      </c>
      <c r="K45" s="51"/>
      <c r="L45" s="33">
        <f t="shared" si="45"/>
        <v>67989.375</v>
      </c>
      <c r="M45" s="33">
        <f t="shared" si="22"/>
        <v>1529.766</v>
      </c>
      <c r="N45" s="33">
        <f t="shared" si="8"/>
        <v>69519.141</v>
      </c>
      <c r="O45" s="20">
        <f>M$6*'2008A'!$F45</f>
        <v>588.029625</v>
      </c>
      <c r="P45" s="51"/>
      <c r="Q45" s="33">
        <f t="shared" si="46"/>
        <v>159577.94600000003</v>
      </c>
      <c r="R45" s="51">
        <f t="shared" si="23"/>
        <v>3590.5156672</v>
      </c>
      <c r="S45" s="51">
        <f t="shared" si="9"/>
        <v>163168.46166720003</v>
      </c>
      <c r="T45" s="20">
        <f>R$6*'2008A'!$F45</f>
        <v>1380.1650588</v>
      </c>
      <c r="U45" s="51"/>
      <c r="V45" s="33">
        <f t="shared" si="47"/>
        <v>4617.234</v>
      </c>
      <c r="W45" s="33">
        <f t="shared" si="24"/>
        <v>103.88810880000001</v>
      </c>
      <c r="X45" s="33">
        <f t="shared" si="2"/>
        <v>4721.1221088</v>
      </c>
      <c r="Y45" s="20">
        <f>W$6*'2008A'!$F45</f>
        <v>39.933745200000004</v>
      </c>
      <c r="Z45" s="51"/>
      <c r="AA45" s="51">
        <f t="shared" si="48"/>
        <v>2266.3125000000005</v>
      </c>
      <c r="AB45" s="33">
        <f t="shared" si="25"/>
        <v>50.992200000000004</v>
      </c>
      <c r="AC45" s="33">
        <f t="shared" si="3"/>
        <v>2317.3047000000006</v>
      </c>
      <c r="AD45" s="20">
        <f>AB$6*'2008A'!$F45</f>
        <v>19.600987500000002</v>
      </c>
      <c r="AE45" s="51"/>
      <c r="AF45" s="33">
        <f t="shared" si="49"/>
        <v>18549.516</v>
      </c>
      <c r="AG45" s="33">
        <f t="shared" si="26"/>
        <v>417.36549119999995</v>
      </c>
      <c r="AH45" s="33">
        <f t="shared" si="27"/>
        <v>18966.881491199998</v>
      </c>
      <c r="AI45" s="20">
        <f>AG$6*'2008A'!$F45</f>
        <v>160.43190479999998</v>
      </c>
      <c r="AJ45" s="51"/>
      <c r="AK45" s="33">
        <f t="shared" si="10"/>
        <v>3368.244</v>
      </c>
      <c r="AL45" s="33">
        <f t="shared" si="11"/>
        <v>75.7857408</v>
      </c>
      <c r="AM45" s="33">
        <f t="shared" si="4"/>
        <v>3444.0297408</v>
      </c>
      <c r="AN45" s="20">
        <f>AL$6*'2008A'!$F45</f>
        <v>29.131423200000004</v>
      </c>
      <c r="AO45" s="51"/>
      <c r="AP45" s="33">
        <f t="shared" si="50"/>
        <v>47005</v>
      </c>
      <c r="AQ45" s="33">
        <f t="shared" si="28"/>
        <v>1057.616</v>
      </c>
      <c r="AR45" s="33">
        <f t="shared" si="12"/>
        <v>48062.616</v>
      </c>
      <c r="AS45" s="20">
        <f>AQ$6*'2008A'!$F45</f>
        <v>406.539</v>
      </c>
      <c r="AT45" s="51"/>
      <c r="AU45" s="33">
        <f t="shared" si="51"/>
        <v>34768.2555</v>
      </c>
      <c r="AV45" s="33">
        <f t="shared" si="29"/>
        <v>782.2883376</v>
      </c>
      <c r="AW45" s="33">
        <f t="shared" si="30"/>
        <v>35550.5438376</v>
      </c>
      <c r="AX45" s="20">
        <f>AV$6*'2008A'!$F45</f>
        <v>300.70528290000004</v>
      </c>
      <c r="AY45" s="33"/>
      <c r="AZ45" s="51">
        <f t="shared" si="13"/>
        <v>18389.699</v>
      </c>
      <c r="BA45" s="51">
        <f t="shared" si="14"/>
        <v>413.7695968</v>
      </c>
      <c r="BB45" s="33">
        <f t="shared" si="5"/>
        <v>18803.4685968</v>
      </c>
      <c r="BC45" s="20">
        <f>BA$6*'2008A'!$F45</f>
        <v>159.0496722</v>
      </c>
      <c r="BD45" s="33"/>
      <c r="BE45" s="51">
        <f t="shared" si="52"/>
        <v>52433.405999999995</v>
      </c>
      <c r="BF45" s="51">
        <f t="shared" si="31"/>
        <v>1179.7555392</v>
      </c>
      <c r="BG45" s="33">
        <f t="shared" si="64"/>
        <v>53613.161539199995</v>
      </c>
      <c r="BH45" s="20">
        <f>BF$6*'2008A'!$F45</f>
        <v>453.4884468</v>
      </c>
      <c r="BI45" s="33"/>
      <c r="BJ45" s="33">
        <f t="shared" si="53"/>
        <v>24636.663500000002</v>
      </c>
      <c r="BK45" s="33">
        <f t="shared" si="32"/>
        <v>554.3267632</v>
      </c>
      <c r="BL45" s="33">
        <f t="shared" si="6"/>
        <v>25190.9902632</v>
      </c>
      <c r="BM45" s="20">
        <f>BK$6*'2008A'!$F45</f>
        <v>213.0787053</v>
      </c>
      <c r="BN45" s="51"/>
      <c r="BO45" s="33">
        <f t="shared" si="54"/>
        <v>17830.3395</v>
      </c>
      <c r="BP45" s="33">
        <f t="shared" si="33"/>
        <v>401.1839664</v>
      </c>
      <c r="BQ45" s="33">
        <f t="shared" si="65"/>
        <v>18231.523466399998</v>
      </c>
      <c r="BR45" s="20">
        <f>BP$6*'2008A'!$F45</f>
        <v>154.2118581</v>
      </c>
      <c r="BS45" s="51"/>
      <c r="BT45" s="33">
        <f t="shared" si="55"/>
        <v>25664.058499999996</v>
      </c>
      <c r="BU45" s="33">
        <f t="shared" si="34"/>
        <v>577.4432271999999</v>
      </c>
      <c r="BV45" s="33">
        <f t="shared" si="35"/>
        <v>26241.501727199997</v>
      </c>
      <c r="BW45" s="20">
        <f>BU$6*'2008A'!$F45</f>
        <v>221.9644863</v>
      </c>
      <c r="BX45" s="51"/>
      <c r="BY45" s="33">
        <f t="shared" si="56"/>
        <v>5278.6615</v>
      </c>
      <c r="BZ45" s="33">
        <f t="shared" si="36"/>
        <v>118.77027679999999</v>
      </c>
      <c r="CA45" s="33">
        <f t="shared" si="15"/>
        <v>5397.4317768</v>
      </c>
      <c r="CB45" s="20">
        <f>BZ$6*'2008A'!$F45</f>
        <v>45.6543297</v>
      </c>
      <c r="CC45" s="33"/>
      <c r="CD45" s="33">
        <f t="shared" si="57"/>
        <v>20026.1445</v>
      </c>
      <c r="CE45" s="33">
        <f t="shared" si="37"/>
        <v>450.5897424</v>
      </c>
      <c r="CF45" s="33">
        <f t="shared" si="38"/>
        <v>20476.734242399998</v>
      </c>
      <c r="CG45" s="20">
        <f>CE$6*'2008A'!$F45</f>
        <v>173.2030371</v>
      </c>
      <c r="CH45" s="51"/>
      <c r="CI45" s="33">
        <f t="shared" si="58"/>
        <v>4995.2885</v>
      </c>
      <c r="CJ45" s="33">
        <f t="shared" si="39"/>
        <v>112.39436319999999</v>
      </c>
      <c r="CK45" s="33">
        <f t="shared" si="66"/>
        <v>5107.6828632</v>
      </c>
      <c r="CL45" s="20">
        <f>CJ$6*'2008A'!$F45</f>
        <v>43.2034803</v>
      </c>
      <c r="CM45" s="51"/>
      <c r="CN45" s="33">
        <f t="shared" si="59"/>
        <v>20071.806500000002</v>
      </c>
      <c r="CO45" s="33">
        <f t="shared" si="40"/>
        <v>451.61714079999996</v>
      </c>
      <c r="CP45" s="33">
        <f t="shared" si="16"/>
        <v>20523.423640800003</v>
      </c>
      <c r="CQ45" s="20">
        <f>CO$6*'2008A'!$F45</f>
        <v>173.59796070000002</v>
      </c>
      <c r="CR45" s="51"/>
      <c r="CS45" s="33">
        <f t="shared" si="60"/>
        <v>112337.2495</v>
      </c>
      <c r="CT45" s="33">
        <f t="shared" si="41"/>
        <v>2527.5964784</v>
      </c>
      <c r="CU45" s="33">
        <f t="shared" si="17"/>
        <v>114864.8459784</v>
      </c>
      <c r="CV45" s="20">
        <f>CT$6*'2008A'!$F45</f>
        <v>971.5875560999999</v>
      </c>
      <c r="CW45" s="51"/>
      <c r="CX45" s="33">
        <f t="shared" si="61"/>
        <v>326.349</v>
      </c>
      <c r="CY45" s="33">
        <f t="shared" si="42"/>
        <v>7.342876799999999</v>
      </c>
      <c r="CZ45" s="33">
        <f t="shared" si="18"/>
        <v>333.6918768</v>
      </c>
      <c r="DA45" s="20">
        <f>CY$6*'2008A'!$F45</f>
        <v>2.8225422</v>
      </c>
      <c r="DB45" s="51"/>
      <c r="DC45" s="33">
        <f t="shared" si="62"/>
        <v>21418.835499999997</v>
      </c>
      <c r="DD45" s="33">
        <f t="shared" si="43"/>
        <v>481.92539359999995</v>
      </c>
      <c r="DE45" s="33">
        <f t="shared" si="19"/>
        <v>21900.760893599996</v>
      </c>
      <c r="DF45" s="20">
        <f>DD$6*'2008A'!$F45</f>
        <v>185.2482069</v>
      </c>
      <c r="DG45" s="51"/>
      <c r="DH45" s="33">
        <f t="shared" si="63"/>
        <v>18804.0145</v>
      </c>
      <c r="DI45" s="33">
        <f t="shared" si="44"/>
        <v>423.09172639999997</v>
      </c>
      <c r="DJ45" s="33">
        <f t="shared" si="20"/>
        <v>19227.1062264</v>
      </c>
      <c r="DK45" s="20">
        <f>DI$6*'2008A'!$F45</f>
        <v>162.6330231</v>
      </c>
      <c r="DL45" s="51"/>
    </row>
    <row r="47" spans="1:115" ht="13.5" thickBot="1">
      <c r="A47" s="31" t="s">
        <v>4</v>
      </c>
      <c r="C47" s="50">
        <f>SUM(C8:C45)</f>
        <v>87700000</v>
      </c>
      <c r="D47" s="50">
        <f>SUM(D8:D45)</f>
        <v>45591594</v>
      </c>
      <c r="E47" s="50">
        <f>SUM(E8:E45)</f>
        <v>133291594</v>
      </c>
      <c r="G47" s="50">
        <f>SUM(G8:G45)</f>
        <v>8885641.22</v>
      </c>
      <c r="H47" s="50">
        <f>SUM(H8:H45)</f>
        <v>4619276.475848401</v>
      </c>
      <c r="I47" s="50">
        <f>SUM(I8:I45)</f>
        <v>13504917.695848402</v>
      </c>
      <c r="J47" s="50">
        <f>SUM(J8:J45)</f>
        <v>223583.90868259995</v>
      </c>
      <c r="L47" s="50">
        <f>SUM(L8:L45)</f>
        <v>887962.5</v>
      </c>
      <c r="M47" s="50">
        <f>SUM(M8:M45)</f>
        <v>461614.8892500001</v>
      </c>
      <c r="N47" s="50">
        <f>SUM(N8:N45)</f>
        <v>1349577.38925</v>
      </c>
      <c r="O47" s="50">
        <f>SUM(O8:O45)</f>
        <v>22343.252624999986</v>
      </c>
      <c r="Q47" s="50">
        <f>SUM(Q8:Q45)</f>
        <v>2084137.8800000001</v>
      </c>
      <c r="R47" s="50">
        <f>SUM(R8:R45)</f>
        <v>1083456.8764535997</v>
      </c>
      <c r="S47" s="50">
        <f>SUM(S8:S45)</f>
        <v>3167594.756453601</v>
      </c>
      <c r="T47" s="50">
        <f>SUM(T8:T45)</f>
        <v>52441.87582040002</v>
      </c>
      <c r="V47" s="50">
        <f>SUM(V8:V45)</f>
        <v>60302.520000000004</v>
      </c>
      <c r="W47" s="50">
        <f>SUM(W8:W45)</f>
        <v>31348.78003440001</v>
      </c>
      <c r="X47" s="50">
        <f>SUM(X8:X45)</f>
        <v>91651.3000344</v>
      </c>
      <c r="Y47" s="50">
        <f>SUM(Y8:Y45)</f>
        <v>1517.3551116000003</v>
      </c>
      <c r="AA47" s="50">
        <f>SUM(AA8:AA45)</f>
        <v>29598.75</v>
      </c>
      <c r="AB47" s="50">
        <f>SUM(AB8:AB45)</f>
        <v>15387.162975000007</v>
      </c>
      <c r="AC47" s="50">
        <f>SUM(AC8:AC45)</f>
        <v>44985.912975</v>
      </c>
      <c r="AD47" s="50">
        <f>SUM(AD8:AD45)</f>
        <v>744.7750874999994</v>
      </c>
      <c r="AF47" s="50">
        <f>SUM(AF8:AF45)</f>
        <v>242262.47999999998</v>
      </c>
      <c r="AG47" s="50">
        <f>SUM(AG8:AG45)</f>
        <v>125942.21926560003</v>
      </c>
      <c r="AH47" s="50">
        <f>SUM(AH8:AH45)</f>
        <v>368204.6992656</v>
      </c>
      <c r="AI47" s="50">
        <f>SUM(AI8:AI45)</f>
        <v>6095.901338399996</v>
      </c>
      <c r="AK47" s="50">
        <f>SUM(AK8:AK45)</f>
        <v>43990.32</v>
      </c>
      <c r="AL47" s="50">
        <f>SUM(AL8:AL45)</f>
        <v>22868.74355040002</v>
      </c>
      <c r="AM47" s="50">
        <f>SUM(AM8:AM45)</f>
        <v>66859.06355040002</v>
      </c>
      <c r="AN47" s="50">
        <f>SUM(AN8:AN45)</f>
        <v>1106.9012856000008</v>
      </c>
      <c r="AP47" s="50">
        <f>SUM(AP8:AP45)</f>
        <v>613900</v>
      </c>
      <c r="AQ47" s="50">
        <f>SUM(AQ8:AQ45)</f>
        <v>319141.15800000005</v>
      </c>
      <c r="AR47" s="50">
        <f>SUM(AR8:AR45)</f>
        <v>933041.1580000003</v>
      </c>
      <c r="AS47" s="50">
        <f>SUM(AS8:AS45)</f>
        <v>15447.187000000013</v>
      </c>
      <c r="AU47" s="50">
        <f>SUM(AU8:AU45)</f>
        <v>454084.2899999999</v>
      </c>
      <c r="AV47" s="50">
        <f>SUM(AV8:AV45)</f>
        <v>236059.59625379991</v>
      </c>
      <c r="AW47" s="50">
        <f>SUM(AW8:AW45)</f>
        <v>690143.8862537998</v>
      </c>
      <c r="AX47" s="50">
        <f>SUM(AX8:AX45)</f>
        <v>11425.842875700002</v>
      </c>
      <c r="AY47" s="41"/>
      <c r="AZ47" s="50">
        <f>SUM(AZ8:AZ45)</f>
        <v>240175.22</v>
      </c>
      <c r="BA47" s="50">
        <f>SUM(BA8:BA45)</f>
        <v>124857.13932840002</v>
      </c>
      <c r="BB47" s="50">
        <f>SUM(BB8:BB45)</f>
        <v>365032.3593284</v>
      </c>
      <c r="BC47" s="50">
        <f>SUM(BC8:BC45)</f>
        <v>6043.380902599998</v>
      </c>
      <c r="BD47" s="41"/>
      <c r="BE47" s="50">
        <f>SUM(BE8:BE45)</f>
        <v>684796.6799999999</v>
      </c>
      <c r="BF47" s="50">
        <f>SUM(BF8:BF45)</f>
        <v>355997.40258959995</v>
      </c>
      <c r="BG47" s="50">
        <f>SUM(BG8:BG45)</f>
        <v>1040794.0825896</v>
      </c>
      <c r="BH47" s="50">
        <f>SUM(BH8:BH45)</f>
        <v>17231.116424399996</v>
      </c>
      <c r="BI47" s="41"/>
      <c r="BJ47" s="50">
        <f>SUM(BJ8:BJ45)</f>
        <v>321762.53</v>
      </c>
      <c r="BK47" s="50">
        <f>SUM(BK8:BK45)</f>
        <v>167270.99922660005</v>
      </c>
      <c r="BL47" s="50">
        <f>SUM(BL8:BL45)</f>
        <v>489033.52922659996</v>
      </c>
      <c r="BM47" s="50">
        <f>SUM(BM8:BM45)</f>
        <v>8096.312054900004</v>
      </c>
      <c r="BO47" s="50">
        <f>SUM(BO8:BO45)</f>
        <v>232869.81</v>
      </c>
      <c r="BP47" s="50">
        <f>SUM(BP8:BP45)</f>
        <v>121059.35954820002</v>
      </c>
      <c r="BQ47" s="50">
        <f>SUM(BQ8:BQ45)</f>
        <v>353929.1695481999</v>
      </c>
      <c r="BR47" s="50">
        <f>SUM(BR8:BR45)</f>
        <v>5859.559377299999</v>
      </c>
      <c r="BT47" s="50">
        <f>SUM(BT8:BT45)</f>
        <v>335180.63</v>
      </c>
      <c r="BU47" s="50">
        <f>SUM(BU8:BU45)</f>
        <v>174246.5131086</v>
      </c>
      <c r="BV47" s="50">
        <f>SUM(BV8:BV45)</f>
        <v>509427.1431086001</v>
      </c>
      <c r="BW47" s="50">
        <f>SUM(BW8:BW45)</f>
        <v>8433.943427900003</v>
      </c>
      <c r="BY47" s="50">
        <f>SUM(BY8:BY45)</f>
        <v>68940.97</v>
      </c>
      <c r="BZ47" s="50">
        <f>SUM(BZ8:BZ45)</f>
        <v>35839.5520434</v>
      </c>
      <c r="CA47" s="50">
        <f>SUM(CA8:CA45)</f>
        <v>104780.52204339998</v>
      </c>
      <c r="CB47" s="50">
        <f>SUM(CB8:CB45)</f>
        <v>1734.7191001000008</v>
      </c>
      <c r="CC47" s="41"/>
      <c r="CD47" s="50">
        <f>SUM(CD8:CD45)</f>
        <v>261547.71</v>
      </c>
      <c r="CE47" s="50">
        <f>SUM(CE8:CE45)</f>
        <v>135967.81078620005</v>
      </c>
      <c r="CF47" s="50">
        <f>SUM(CF8:CF45)</f>
        <v>397515.5207862</v>
      </c>
      <c r="CG47" s="50">
        <f>SUM(CG8:CG45)</f>
        <v>6581.163684299997</v>
      </c>
      <c r="CI47" s="50">
        <f>SUM(CI8:CI45)</f>
        <v>65240.030000000006</v>
      </c>
      <c r="CJ47" s="50">
        <f>SUM(CJ8:CJ45)</f>
        <v>33915.586776599994</v>
      </c>
      <c r="CK47" s="50">
        <f>SUM(CK8:CK45)</f>
        <v>99155.61677659997</v>
      </c>
      <c r="CL47" s="50">
        <f>SUM(CL8:CL45)</f>
        <v>1641.594629899999</v>
      </c>
      <c r="CN47" s="50">
        <f>SUM(CN8:CN45)</f>
        <v>262144.07</v>
      </c>
      <c r="CO47" s="50">
        <f>SUM(CO8:CO45)</f>
        <v>136277.83362539997</v>
      </c>
      <c r="CP47" s="50">
        <f>SUM(CP8:CP45)</f>
        <v>398421.9036253999</v>
      </c>
      <c r="CQ47" s="50">
        <f>SUM(CQ8:CQ45)</f>
        <v>6596.169523099998</v>
      </c>
      <c r="CS47" s="50">
        <f>SUM(CS8:CS45)</f>
        <v>1467159.6099999999</v>
      </c>
      <c r="CT47" s="50">
        <f>SUM(CT8:CT45)</f>
        <v>762715.4535042</v>
      </c>
      <c r="CU47" s="50">
        <f>SUM(CU8:CU45)</f>
        <v>2229875.0635042004</v>
      </c>
      <c r="CV47" s="50">
        <f>SUM(CV8:CV45)</f>
        <v>36917.23221129998</v>
      </c>
      <c r="CX47" s="50">
        <f>SUM(CX8:CX45)</f>
        <v>4262.22</v>
      </c>
      <c r="CY47" s="50">
        <f>SUM(CY8:CY45)</f>
        <v>2215.7514684000002</v>
      </c>
      <c r="CZ47" s="50">
        <f>SUM(CZ8:CZ45)</f>
        <v>6477.971468399999</v>
      </c>
      <c r="DA47" s="50">
        <f>SUM(DA8:DA45)</f>
        <v>107.24761260000008</v>
      </c>
      <c r="DC47" s="50">
        <f>SUM(DC8:DC45)</f>
        <v>279736.69</v>
      </c>
      <c r="DD47" s="50">
        <f>SUM(DD8:DD45)</f>
        <v>145423.50738179998</v>
      </c>
      <c r="DE47" s="50">
        <f>SUM(DE8:DE45)</f>
        <v>425160.1973818</v>
      </c>
      <c r="DF47" s="50">
        <f>SUM(DF8:DF45)</f>
        <v>7038.841767700003</v>
      </c>
      <c r="DH47" s="50">
        <f>SUM(DH8:DH45)</f>
        <v>245586.31</v>
      </c>
      <c r="DI47" s="50">
        <f>SUM(DI8:DI45)</f>
        <v>127670.14067820004</v>
      </c>
      <c r="DJ47" s="50">
        <f>SUM(DJ8:DJ45)</f>
        <v>373256.45067820005</v>
      </c>
      <c r="DK47" s="50">
        <f>SUM(DK8:DK45)</f>
        <v>6179.536822299996</v>
      </c>
    </row>
    <row r="48" ht="13.5" thickTop="1"/>
    <row r="57" ht="12.75">
      <c r="F57"/>
    </row>
    <row r="58" ht="12.75">
      <c r="F58"/>
    </row>
    <row r="59" spans="6:43" ht="12.75"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12.75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12.75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12.75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12.75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12.75">
      <c r="A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12.75">
      <c r="A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12.75">
      <c r="A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ht="12.75">
      <c r="A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ht="12.75">
      <c r="A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ht="12.75">
      <c r="A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ht="12.75">
      <c r="A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ht="12.75">
      <c r="A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ht="12.75">
      <c r="A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ht="12.75">
      <c r="A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ht="12.75">
      <c r="A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ht="12.75">
      <c r="A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ht="12.75">
      <c r="A84"/>
      <c r="C84"/>
      <c r="D84"/>
      <c r="E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ht="12.75">
      <c r="A85"/>
      <c r="C85"/>
      <c r="D85"/>
      <c r="E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5" ht="12.75">
      <c r="A86"/>
      <c r="C86"/>
      <c r="D86"/>
      <c r="E86"/>
    </row>
  </sheetData>
  <sheetProtection/>
  <printOptions/>
  <pageMargins left="0.75" right="0.75" top="0.5" bottom="0.25" header="0.25" footer="0.25"/>
  <pageSetup horizontalDpi="600" verticalDpi="600" orientation="landscape" scale="85" r:id="rId1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27" sqref="D27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17" width="13.7109375" style="5" customWidth="1"/>
    <col min="18" max="18" width="13.7109375" style="12" customWidth="1"/>
    <col min="19" max="19" width="10.28125" style="0" bestFit="1" customWidth="1"/>
  </cols>
  <sheetData>
    <row r="1" ht="12.75">
      <c r="A1" s="18" t="s">
        <v>90</v>
      </c>
    </row>
    <row r="3" spans="1:18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8" t="s">
        <v>0</v>
      </c>
    </row>
    <row r="4" spans="1:18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16</v>
      </c>
      <c r="G4" s="4" t="s">
        <v>47</v>
      </c>
      <c r="H4" s="4" t="s">
        <v>18</v>
      </c>
      <c r="I4" s="4" t="s">
        <v>21</v>
      </c>
      <c r="J4" s="4" t="s">
        <v>110</v>
      </c>
      <c r="K4" s="4" t="s">
        <v>28</v>
      </c>
      <c r="L4" s="4" t="s">
        <v>22</v>
      </c>
      <c r="M4" s="4" t="s">
        <v>57</v>
      </c>
      <c r="N4" s="4" t="s">
        <v>23</v>
      </c>
      <c r="O4" s="4" t="s">
        <v>59</v>
      </c>
      <c r="P4" s="4" t="s">
        <v>24</v>
      </c>
      <c r="Q4" s="4" t="s">
        <v>25</v>
      </c>
      <c r="R4" s="59" t="s">
        <v>6</v>
      </c>
    </row>
    <row r="5" spans="1:18" s="11" customFormat="1" ht="13.5" thickBot="1">
      <c r="A5" s="8"/>
      <c r="B5" s="8"/>
      <c r="C5" s="8" t="s">
        <v>7</v>
      </c>
      <c r="D5" s="9">
        <f>SUM(E5:Q5)</f>
        <v>89874539.47999997</v>
      </c>
      <c r="E5" s="9">
        <f aca="true" t="shared" si="0" ref="E5:Q5">SUM(E6:E49)</f>
        <v>28362059.849999998</v>
      </c>
      <c r="F5" s="9">
        <f t="shared" si="0"/>
        <v>21620687.03</v>
      </c>
      <c r="G5" s="9">
        <f t="shared" si="0"/>
        <v>278599.64999999997</v>
      </c>
      <c r="H5" s="9">
        <f t="shared" si="0"/>
        <v>3235404.79</v>
      </c>
      <c r="I5" s="9">
        <f t="shared" si="0"/>
        <v>4713945.69</v>
      </c>
      <c r="J5" s="9">
        <f t="shared" si="0"/>
        <v>246129</v>
      </c>
      <c r="K5" s="9">
        <f t="shared" si="0"/>
        <v>10467471.11</v>
      </c>
      <c r="L5" s="9">
        <f t="shared" si="0"/>
        <v>984269.27</v>
      </c>
      <c r="M5" s="9">
        <f t="shared" si="0"/>
        <v>702172.21</v>
      </c>
      <c r="N5" s="9">
        <f t="shared" si="0"/>
        <v>1070814.44</v>
      </c>
      <c r="O5" s="9">
        <f t="shared" si="0"/>
        <v>11744147.67</v>
      </c>
      <c r="P5" s="9">
        <f t="shared" si="0"/>
        <v>5910491.03</v>
      </c>
      <c r="Q5" s="9">
        <f t="shared" si="0"/>
        <v>538347.74</v>
      </c>
      <c r="R5" s="15"/>
    </row>
    <row r="6" spans="1:18" ht="13.5" thickTop="1">
      <c r="A6" s="6"/>
      <c r="B6" s="55"/>
      <c r="C6" s="5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8" ht="12.75">
      <c r="A7" s="55" t="s">
        <v>5</v>
      </c>
      <c r="B7" s="55" t="s">
        <v>68</v>
      </c>
      <c r="C7" s="55" t="s">
        <v>106</v>
      </c>
      <c r="D7" s="5">
        <f aca="true" t="shared" si="1" ref="D7:D48">SUM(E7:Q7)</f>
        <v>909981.47</v>
      </c>
      <c r="E7" s="76">
        <f>909981.47</f>
        <v>909981.47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2">
        <f>D7/$D$5</f>
        <v>0.01012501955798617</v>
      </c>
    </row>
    <row r="8" spans="1:18" ht="12.75">
      <c r="A8" s="30" t="s">
        <v>16</v>
      </c>
      <c r="B8" s="30" t="s">
        <v>105</v>
      </c>
      <c r="C8" t="s">
        <v>20</v>
      </c>
      <c r="D8" s="5">
        <f t="shared" si="1"/>
        <v>2135815.34</v>
      </c>
      <c r="F8" s="5">
        <f>95799+1500152.05+488570.62+4743.67+46550</f>
        <v>2135815.34</v>
      </c>
      <c r="R8" s="12">
        <f>D8/$D$5</f>
        <v>0.023764409279396517</v>
      </c>
    </row>
    <row r="9" spans="1:18" ht="12.75">
      <c r="A9" s="30" t="s">
        <v>16</v>
      </c>
      <c r="B9" s="30" t="s">
        <v>68</v>
      </c>
      <c r="C9" t="s">
        <v>107</v>
      </c>
      <c r="D9" s="5">
        <f t="shared" si="1"/>
        <v>61801.6</v>
      </c>
      <c r="F9" s="5">
        <v>61801.6</v>
      </c>
      <c r="R9" s="12">
        <f aca="true" t="shared" si="2" ref="R9:R48">D9/$D$5</f>
        <v>0.0006876430227912643</v>
      </c>
    </row>
    <row r="10" spans="1:18" ht="12.75">
      <c r="A10" s="30" t="s">
        <v>47</v>
      </c>
      <c r="B10" s="30" t="s">
        <v>68</v>
      </c>
      <c r="C10" t="s">
        <v>20</v>
      </c>
      <c r="D10" s="5">
        <f t="shared" si="1"/>
        <v>30333.98</v>
      </c>
      <c r="G10" s="5">
        <f>30333.98</f>
        <v>30333.98</v>
      </c>
      <c r="R10" s="12">
        <f t="shared" si="2"/>
        <v>0.0003375147196915574</v>
      </c>
    </row>
    <row r="11" spans="1:18" ht="12.75">
      <c r="A11" s="30" t="s">
        <v>47</v>
      </c>
      <c r="B11" s="30" t="s">
        <v>113</v>
      </c>
      <c r="C11" t="s">
        <v>84</v>
      </c>
      <c r="D11" s="5">
        <f t="shared" si="1"/>
        <v>248265.66999999998</v>
      </c>
      <c r="G11" s="5">
        <f>143552.74+104712.93</f>
        <v>248265.66999999998</v>
      </c>
      <c r="R11" s="12">
        <f t="shared" si="2"/>
        <v>0.0027623581877184162</v>
      </c>
    </row>
    <row r="12" spans="1:18" ht="12.75">
      <c r="A12" s="30" t="s">
        <v>18</v>
      </c>
      <c r="B12" s="30" t="s">
        <v>83</v>
      </c>
      <c r="C12" t="s">
        <v>20</v>
      </c>
      <c r="D12" s="5">
        <f t="shared" si="1"/>
        <v>45080</v>
      </c>
      <c r="H12" s="5">
        <f>45080</f>
        <v>45080</v>
      </c>
      <c r="R12" s="12">
        <f t="shared" si="2"/>
        <v>0.0005015881056061686</v>
      </c>
    </row>
    <row r="13" spans="1:18" ht="12.75">
      <c r="A13" s="30" t="s">
        <v>18</v>
      </c>
      <c r="B13" s="30" t="s">
        <v>17</v>
      </c>
      <c r="C13" t="s">
        <v>19</v>
      </c>
      <c r="D13" s="5">
        <f t="shared" si="1"/>
        <v>629122.79</v>
      </c>
      <c r="H13" s="5">
        <f>629122.79</f>
        <v>629122.79</v>
      </c>
      <c r="R13" s="12">
        <f t="shared" si="2"/>
        <v>0.007000011278388808</v>
      </c>
    </row>
    <row r="14" spans="1:18" ht="12.75">
      <c r="A14" s="30" t="s">
        <v>21</v>
      </c>
      <c r="B14" s="30" t="s">
        <v>83</v>
      </c>
      <c r="C14" t="s">
        <v>20</v>
      </c>
      <c r="D14" s="5">
        <f t="shared" si="1"/>
        <v>465344.68</v>
      </c>
      <c r="I14" s="5">
        <f>465344.68</f>
        <v>465344.68</v>
      </c>
      <c r="R14" s="12">
        <f t="shared" si="2"/>
        <v>0.005177714207966032</v>
      </c>
    </row>
    <row r="15" spans="1:18" ht="12.75">
      <c r="A15" s="30" t="s">
        <v>110</v>
      </c>
      <c r="B15" s="30" t="s">
        <v>83</v>
      </c>
      <c r="C15" t="s">
        <v>20</v>
      </c>
      <c r="D15" s="5">
        <f t="shared" si="1"/>
        <v>246129</v>
      </c>
      <c r="J15" s="5">
        <f>246129</f>
        <v>246129</v>
      </c>
      <c r="R15" s="12">
        <f t="shared" si="2"/>
        <v>0.0027385842689605297</v>
      </c>
    </row>
    <row r="16" spans="1:18" ht="12.75">
      <c r="A16" s="30" t="s">
        <v>28</v>
      </c>
      <c r="B16" s="30" t="s">
        <v>69</v>
      </c>
      <c r="C16" t="s">
        <v>70</v>
      </c>
      <c r="D16" s="5">
        <f t="shared" si="1"/>
        <v>701772.7</v>
      </c>
      <c r="K16" s="5">
        <f>701772.7</f>
        <v>701772.7</v>
      </c>
      <c r="R16" s="12">
        <f t="shared" si="2"/>
        <v>0.007808359342482832</v>
      </c>
    </row>
    <row r="17" spans="1:18" ht="12.75">
      <c r="A17" s="30" t="s">
        <v>22</v>
      </c>
      <c r="B17" s="30" t="s">
        <v>111</v>
      </c>
      <c r="C17" t="s">
        <v>20</v>
      </c>
      <c r="D17" s="5">
        <f t="shared" si="1"/>
        <v>329741.1</v>
      </c>
      <c r="L17" s="5">
        <f>119704.3+167646.8+40000+2390</f>
        <v>329741.1</v>
      </c>
      <c r="R17" s="12">
        <f t="shared" si="2"/>
        <v>0.00366890447403492</v>
      </c>
    </row>
    <row r="18" spans="1:18" ht="12.75">
      <c r="A18" s="30" t="s">
        <v>22</v>
      </c>
      <c r="B18" s="30" t="s">
        <v>115</v>
      </c>
      <c r="C18" t="s">
        <v>84</v>
      </c>
      <c r="D18" s="5">
        <f t="shared" si="1"/>
        <v>238647.5</v>
      </c>
      <c r="L18" s="5">
        <f>234301.98+4345.52</f>
        <v>238647.5</v>
      </c>
      <c r="R18" s="12">
        <f t="shared" si="2"/>
        <v>0.002655340448816507</v>
      </c>
    </row>
    <row r="19" spans="1:18" ht="12.75">
      <c r="A19" s="30" t="s">
        <v>57</v>
      </c>
      <c r="B19" s="30" t="s">
        <v>108</v>
      </c>
      <c r="C19" t="s">
        <v>20</v>
      </c>
      <c r="D19" s="5">
        <f t="shared" si="1"/>
        <v>343487.21</v>
      </c>
      <c r="M19" s="5">
        <f>53241+228812.7+61433.51</f>
        <v>343487.21</v>
      </c>
      <c r="R19" s="12">
        <f t="shared" si="2"/>
        <v>0.003821852239659455</v>
      </c>
    </row>
    <row r="20" spans="1:18" ht="12.75">
      <c r="A20" s="30" t="s">
        <v>57</v>
      </c>
      <c r="B20" s="30" t="s">
        <v>46</v>
      </c>
      <c r="C20" t="s">
        <v>26</v>
      </c>
      <c r="D20" s="5">
        <f t="shared" si="1"/>
        <v>70647</v>
      </c>
      <c r="M20" s="5">
        <f>70647</f>
        <v>70647</v>
      </c>
      <c r="R20" s="12">
        <f t="shared" si="2"/>
        <v>0.0007860624422528615</v>
      </c>
    </row>
    <row r="21" spans="1:18" ht="12.75">
      <c r="A21" s="30" t="s">
        <v>23</v>
      </c>
      <c r="B21" s="30" t="s">
        <v>114</v>
      </c>
      <c r="C21" t="s">
        <v>20</v>
      </c>
      <c r="D21" s="5">
        <f t="shared" si="1"/>
        <v>268032.5</v>
      </c>
      <c r="N21" s="5">
        <f>191700.84+75581.66+750</f>
        <v>268032.5</v>
      </c>
      <c r="R21" s="12">
        <f t="shared" si="2"/>
        <v>0.002982296227060457</v>
      </c>
    </row>
    <row r="22" spans="1:18" ht="12.75">
      <c r="A22" s="30" t="s">
        <v>23</v>
      </c>
      <c r="B22" s="30" t="s">
        <v>46</v>
      </c>
      <c r="C22" t="s">
        <v>84</v>
      </c>
      <c r="D22" s="5">
        <f t="shared" si="1"/>
        <v>66860.89</v>
      </c>
      <c r="N22" s="5">
        <f>66860.89</f>
        <v>66860.89</v>
      </c>
      <c r="R22" s="12">
        <f t="shared" si="2"/>
        <v>0.0007439358286211718</v>
      </c>
    </row>
    <row r="23" spans="1:18" ht="12.75">
      <c r="A23" s="30" t="s">
        <v>59</v>
      </c>
      <c r="B23" s="30" t="s">
        <v>112</v>
      </c>
      <c r="C23" t="s">
        <v>20</v>
      </c>
      <c r="D23" s="5">
        <f t="shared" si="1"/>
        <v>268642.48</v>
      </c>
      <c r="O23" s="5">
        <f>170635.66+36630.63+56702.15+4674.04</f>
        <v>268642.48</v>
      </c>
      <c r="R23" s="12">
        <f t="shared" si="2"/>
        <v>0.0029890832437565002</v>
      </c>
    </row>
    <row r="24" spans="1:18" ht="12.75">
      <c r="A24" s="30" t="s">
        <v>24</v>
      </c>
      <c r="B24" s="30" t="s">
        <v>109</v>
      </c>
      <c r="C24" t="s">
        <v>20</v>
      </c>
      <c r="D24" s="5">
        <f t="shared" si="1"/>
        <v>1503534.6</v>
      </c>
      <c r="P24" s="5">
        <f>337435.66+483859.65+218669.31+307513.99+76625.9+7877.33+71552.76</f>
        <v>1503534.6</v>
      </c>
      <c r="R24" s="12">
        <f t="shared" si="2"/>
        <v>0.016729260686054317</v>
      </c>
    </row>
    <row r="25" spans="1:18" ht="12.75">
      <c r="A25" s="30" t="s">
        <v>24</v>
      </c>
      <c r="B25" s="30" t="s">
        <v>52</v>
      </c>
      <c r="C25" t="s">
        <v>84</v>
      </c>
      <c r="D25" s="5">
        <f t="shared" si="1"/>
        <v>4365.16</v>
      </c>
      <c r="P25" s="5">
        <f>4365.16</f>
        <v>4365.16</v>
      </c>
      <c r="R25" s="12">
        <f t="shared" si="2"/>
        <v>4.856948391898454E-05</v>
      </c>
    </row>
    <row r="26" spans="1:19" ht="12.75">
      <c r="A26" s="30" t="s">
        <v>25</v>
      </c>
      <c r="B26" s="30" t="s">
        <v>51</v>
      </c>
      <c r="C26" t="s">
        <v>20</v>
      </c>
      <c r="D26" s="5">
        <f t="shared" si="1"/>
        <v>286672.1</v>
      </c>
      <c r="Q26" s="5">
        <f>283396.1+3276</f>
        <v>286672.1</v>
      </c>
      <c r="R26" s="12">
        <f t="shared" si="2"/>
        <v>0.003189692004639355</v>
      </c>
      <c r="S26" s="12"/>
    </row>
    <row r="27" spans="1:19" ht="12.75">
      <c r="A27" s="30" t="s">
        <v>25</v>
      </c>
      <c r="B27" s="30" t="s">
        <v>71</v>
      </c>
      <c r="C27" t="s">
        <v>84</v>
      </c>
      <c r="D27" s="5">
        <f t="shared" si="1"/>
        <v>251675.64</v>
      </c>
      <c r="Q27" s="5">
        <f>251675.64</f>
        <v>251675.64</v>
      </c>
      <c r="R27" s="12">
        <f t="shared" si="2"/>
        <v>0.0028002996338691234</v>
      </c>
      <c r="S27" s="12"/>
    </row>
    <row r="28" spans="1:19" ht="12.75">
      <c r="A28" s="30" t="s">
        <v>5</v>
      </c>
      <c r="B28" s="30" t="s">
        <v>48</v>
      </c>
      <c r="C28" t="s">
        <v>77</v>
      </c>
      <c r="D28" s="5">
        <f t="shared" si="1"/>
        <v>22500430.15</v>
      </c>
      <c r="E28" s="5">
        <f>22500430.15</f>
        <v>22500430.15</v>
      </c>
      <c r="R28" s="12">
        <f t="shared" si="2"/>
        <v>0.2503537740519614</v>
      </c>
      <c r="S28" s="12"/>
    </row>
    <row r="29" spans="1:19" ht="12.75">
      <c r="A29" s="30" t="s">
        <v>5</v>
      </c>
      <c r="B29" s="30" t="s">
        <v>86</v>
      </c>
      <c r="C29" t="s">
        <v>54</v>
      </c>
      <c r="D29" s="5">
        <f t="shared" si="1"/>
        <v>1736020.48</v>
      </c>
      <c r="E29" s="5">
        <f>859897.8+876122.68</f>
        <v>1736020.48</v>
      </c>
      <c r="R29" s="12">
        <f t="shared" si="2"/>
        <v>0.019316043120157753</v>
      </c>
      <c r="S29" s="12"/>
    </row>
    <row r="30" spans="1:19" ht="12.75">
      <c r="A30" s="30" t="s">
        <v>5</v>
      </c>
      <c r="B30" s="30" t="s">
        <v>53</v>
      </c>
      <c r="C30" t="s">
        <v>55</v>
      </c>
      <c r="D30" s="5">
        <f t="shared" si="1"/>
        <v>2150246.79</v>
      </c>
      <c r="E30" s="5">
        <f>2150246.79</f>
        <v>2150246.79</v>
      </c>
      <c r="R30" s="12">
        <f t="shared" si="2"/>
        <v>0.023924982563927354</v>
      </c>
      <c r="S30" s="12"/>
    </row>
    <row r="31" spans="1:19" ht="12.75">
      <c r="A31" s="30" t="s">
        <v>5</v>
      </c>
      <c r="B31" s="30" t="s">
        <v>48</v>
      </c>
      <c r="C31" t="s">
        <v>56</v>
      </c>
      <c r="D31" s="5">
        <f t="shared" si="1"/>
        <v>1065380.96</v>
      </c>
      <c r="E31" s="5">
        <f>1065380.96</f>
        <v>1065380.96</v>
      </c>
      <c r="R31" s="12">
        <f t="shared" si="2"/>
        <v>0.011854090893417952</v>
      </c>
      <c r="S31" s="12"/>
    </row>
    <row r="32" spans="1:18" ht="12.75">
      <c r="A32" s="30" t="s">
        <v>16</v>
      </c>
      <c r="B32" s="30" t="s">
        <v>120</v>
      </c>
      <c r="C32" t="s">
        <v>35</v>
      </c>
      <c r="D32" s="5">
        <f t="shared" si="1"/>
        <v>19423070.09</v>
      </c>
      <c r="F32" s="5">
        <f>3350729.16+15821400+250848.68+92.25</f>
        <v>19423070.09</v>
      </c>
      <c r="R32" s="12">
        <f t="shared" si="2"/>
        <v>0.21611315287264718</v>
      </c>
    </row>
    <row r="33" spans="1:18" ht="12.75">
      <c r="A33" s="30" t="s">
        <v>18</v>
      </c>
      <c r="B33" s="30" t="s">
        <v>73</v>
      </c>
      <c r="C33" t="s">
        <v>74</v>
      </c>
      <c r="D33" s="5">
        <f t="shared" si="1"/>
        <v>2561202</v>
      </c>
      <c r="H33" s="5">
        <f>1793312+767890</f>
        <v>2561202</v>
      </c>
      <c r="R33" s="12">
        <f t="shared" si="2"/>
        <v>0.028497525715499787</v>
      </c>
    </row>
    <row r="34" spans="1:18" ht="12.75">
      <c r="A34" s="30" t="s">
        <v>21</v>
      </c>
      <c r="B34" s="30" t="s">
        <v>53</v>
      </c>
      <c r="C34" t="s">
        <v>85</v>
      </c>
      <c r="D34" s="5">
        <f t="shared" si="1"/>
        <v>759705.77</v>
      </c>
      <c r="I34" s="5">
        <f>759705.77</f>
        <v>759705.77</v>
      </c>
      <c r="R34" s="12">
        <f t="shared" si="2"/>
        <v>0.008452958695483044</v>
      </c>
    </row>
    <row r="35" spans="1:18" ht="12.75">
      <c r="A35" s="30" t="s">
        <v>21</v>
      </c>
      <c r="B35" s="30" t="s">
        <v>73</v>
      </c>
      <c r="C35" t="s">
        <v>119</v>
      </c>
      <c r="D35" s="5">
        <f t="shared" si="1"/>
        <v>334110.52</v>
      </c>
      <c r="I35" s="5">
        <f>292021.61+42088.91</f>
        <v>334110.52</v>
      </c>
      <c r="R35" s="12">
        <f t="shared" si="2"/>
        <v>0.003717521357362288</v>
      </c>
    </row>
    <row r="36" spans="1:18" ht="12.75">
      <c r="A36" s="30" t="s">
        <v>21</v>
      </c>
      <c r="B36" s="30" t="s">
        <v>86</v>
      </c>
      <c r="C36" t="s">
        <v>27</v>
      </c>
      <c r="D36" s="5">
        <f t="shared" si="1"/>
        <v>2928035.7300000004</v>
      </c>
      <c r="I36" s="5">
        <f>2197312.43+730723.3</f>
        <v>2928035.7300000004</v>
      </c>
      <c r="R36" s="12">
        <f t="shared" si="2"/>
        <v>0.03257914585088455</v>
      </c>
    </row>
    <row r="37" spans="1:18" ht="12.75">
      <c r="A37" s="30" t="s">
        <v>21</v>
      </c>
      <c r="B37" s="30" t="s">
        <v>53</v>
      </c>
      <c r="C37" t="s">
        <v>29</v>
      </c>
      <c r="D37" s="5">
        <f t="shared" si="1"/>
        <v>226748.99</v>
      </c>
      <c r="I37" s="5">
        <f>226748.99</f>
        <v>226748.99</v>
      </c>
      <c r="R37" s="12">
        <f t="shared" si="2"/>
        <v>0.0025229502294190787</v>
      </c>
    </row>
    <row r="38" spans="1:18" ht="12.75">
      <c r="A38" s="30" t="s">
        <v>28</v>
      </c>
      <c r="B38" s="30" t="s">
        <v>53</v>
      </c>
      <c r="C38" t="s">
        <v>87</v>
      </c>
      <c r="D38" s="5">
        <f t="shared" si="1"/>
        <v>9765698.41</v>
      </c>
      <c r="K38" s="5">
        <f>9765698.41</f>
        <v>9765698.41</v>
      </c>
      <c r="R38" s="12">
        <f t="shared" si="2"/>
        <v>0.10865923170792088</v>
      </c>
    </row>
    <row r="39" spans="1:18" ht="12.75">
      <c r="A39" s="30" t="s">
        <v>22</v>
      </c>
      <c r="B39" s="30" t="s">
        <v>31</v>
      </c>
      <c r="C39" t="s">
        <v>61</v>
      </c>
      <c r="D39" s="5">
        <f t="shared" si="1"/>
        <v>414738.44</v>
      </c>
      <c r="L39" s="5">
        <f>414738.44</f>
        <v>414738.44</v>
      </c>
      <c r="R39" s="12">
        <f t="shared" si="2"/>
        <v>0.004614637720533665</v>
      </c>
    </row>
    <row r="40" spans="1:18" ht="12.75">
      <c r="A40" s="30" t="s">
        <v>22</v>
      </c>
      <c r="B40" s="30" t="s">
        <v>116</v>
      </c>
      <c r="C40" t="s">
        <v>117</v>
      </c>
      <c r="D40" s="5">
        <f t="shared" si="1"/>
        <v>1142.23</v>
      </c>
      <c r="L40" s="5">
        <f>1142.23</f>
        <v>1142.23</v>
      </c>
      <c r="R40" s="12">
        <f t="shared" si="2"/>
        <v>1.2709161088432432E-05</v>
      </c>
    </row>
    <row r="41" spans="1:18" ht="12.75">
      <c r="A41" s="30" t="s">
        <v>57</v>
      </c>
      <c r="B41" s="30" t="s">
        <v>48</v>
      </c>
      <c r="C41" t="s">
        <v>58</v>
      </c>
      <c r="D41" s="5">
        <f t="shared" si="1"/>
        <v>288038</v>
      </c>
      <c r="M41" s="5">
        <f>288038</f>
        <v>288038</v>
      </c>
      <c r="R41" s="12">
        <f t="shared" si="2"/>
        <v>0.003204889857200302</v>
      </c>
    </row>
    <row r="42" spans="1:18" ht="12.75">
      <c r="A42" s="30" t="s">
        <v>23</v>
      </c>
      <c r="B42" s="30" t="s">
        <v>48</v>
      </c>
      <c r="C42" t="s">
        <v>60</v>
      </c>
      <c r="D42" s="5">
        <f t="shared" si="1"/>
        <v>735921.05</v>
      </c>
      <c r="N42" s="5">
        <f>735921.05</f>
        <v>735921.05</v>
      </c>
      <c r="R42" s="12">
        <f t="shared" si="2"/>
        <v>0.008188315114134927</v>
      </c>
    </row>
    <row r="43" spans="1:18" ht="12.75">
      <c r="A43" s="30" t="s">
        <v>59</v>
      </c>
      <c r="B43" s="30" t="s">
        <v>118</v>
      </c>
      <c r="C43" t="s">
        <v>88</v>
      </c>
      <c r="D43" s="5">
        <f t="shared" si="1"/>
        <v>1243810.6600000001</v>
      </c>
      <c r="O43" s="5">
        <f>900+387600.24+855310.42</f>
        <v>1243810.6600000001</v>
      </c>
      <c r="R43" s="12">
        <f t="shared" si="2"/>
        <v>0.01383941066286953</v>
      </c>
    </row>
    <row r="44" spans="1:18" ht="12.75">
      <c r="A44" s="30" t="s">
        <v>59</v>
      </c>
      <c r="B44" s="30" t="s">
        <v>73</v>
      </c>
      <c r="C44" t="s">
        <v>89</v>
      </c>
      <c r="D44" s="5">
        <f t="shared" si="1"/>
        <v>10231694.53</v>
      </c>
      <c r="O44" s="5">
        <f>9029762.44+1201932.09</f>
        <v>10231694.53</v>
      </c>
      <c r="R44" s="12">
        <f t="shared" si="2"/>
        <v>0.11384419424231805</v>
      </c>
    </row>
    <row r="45" spans="1:18" ht="12.75">
      <c r="A45" s="30" t="s">
        <v>24</v>
      </c>
      <c r="B45" s="30" t="s">
        <v>48</v>
      </c>
      <c r="C45" t="s">
        <v>42</v>
      </c>
      <c r="D45" s="5">
        <f t="shared" si="1"/>
        <v>192106.29</v>
      </c>
      <c r="P45" s="5">
        <f>192106.29</f>
        <v>192106.29</v>
      </c>
      <c r="R45" s="12">
        <f t="shared" si="2"/>
        <v>0.0021374940123364966</v>
      </c>
    </row>
    <row r="46" spans="1:18" ht="12.75">
      <c r="A46" s="30" t="s">
        <v>24</v>
      </c>
      <c r="B46" s="30" t="s">
        <v>48</v>
      </c>
      <c r="C46" t="s">
        <v>43</v>
      </c>
      <c r="D46" s="5">
        <f t="shared" si="1"/>
        <v>915536.97</v>
      </c>
      <c r="P46" s="5">
        <f>915536.97</f>
        <v>915536.97</v>
      </c>
      <c r="R46" s="12">
        <f t="shared" si="2"/>
        <v>0.010186833504762903</v>
      </c>
    </row>
    <row r="47" spans="1:18" ht="12.75">
      <c r="A47" s="30" t="s">
        <v>24</v>
      </c>
      <c r="B47" s="30" t="s">
        <v>53</v>
      </c>
      <c r="C47" t="s">
        <v>72</v>
      </c>
      <c r="D47" s="5">
        <f t="shared" si="1"/>
        <v>1648589.97</v>
      </c>
      <c r="P47" s="5">
        <f>1648589.97</f>
        <v>1648589.97</v>
      </c>
      <c r="R47" s="12">
        <f t="shared" si="2"/>
        <v>0.018343236911571217</v>
      </c>
    </row>
    <row r="48" spans="1:19" ht="12.75">
      <c r="A48" s="30" t="s">
        <v>24</v>
      </c>
      <c r="B48" s="30" t="s">
        <v>53</v>
      </c>
      <c r="C48" t="s">
        <v>49</v>
      </c>
      <c r="D48" s="5">
        <f t="shared" si="1"/>
        <v>1646358.04</v>
      </c>
      <c r="P48" s="5">
        <f>1646358.04</f>
        <v>1646358.04</v>
      </c>
      <c r="R48" s="12">
        <f t="shared" si="2"/>
        <v>0.018318403070831518</v>
      </c>
      <c r="S48" s="12"/>
    </row>
    <row r="49" spans="5:18" ht="12.75"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7"/>
    </row>
    <row r="50" spans="2:18" s="12" customFormat="1" ht="13.5" thickBot="1">
      <c r="B50" s="56"/>
      <c r="C50" s="13" t="s">
        <v>8</v>
      </c>
      <c r="D50" s="60">
        <f>SUM(E50:Q50)</f>
        <v>1.0000000000000004</v>
      </c>
      <c r="E50" s="14">
        <f>E5/D5</f>
        <v>0.3155739101874506</v>
      </c>
      <c r="F50" s="14">
        <f>F5/D5</f>
        <v>0.24056520517483498</v>
      </c>
      <c r="G50" s="14">
        <f>G5/D5</f>
        <v>0.0030998729074099736</v>
      </c>
      <c r="H50" s="14">
        <f>H5/D5</f>
        <v>0.03599912509949476</v>
      </c>
      <c r="I50" s="14">
        <f>I5/D5</f>
        <v>0.05245029034111499</v>
      </c>
      <c r="J50" s="14">
        <f>J5/D5</f>
        <v>0.0027385842689605297</v>
      </c>
      <c r="K50" s="14">
        <f>K5/D5</f>
        <v>0.1164675910504037</v>
      </c>
      <c r="L50" s="14">
        <f>L5/D5</f>
        <v>0.010951591804473526</v>
      </c>
      <c r="M50" s="14">
        <f>M5/D5</f>
        <v>0.007812804539112617</v>
      </c>
      <c r="N50" s="14">
        <f>N5/D5</f>
        <v>0.011914547169816556</v>
      </c>
      <c r="O50" s="14">
        <f>O5/D5</f>
        <v>0.1306726881489441</v>
      </c>
      <c r="P50" s="14">
        <f>P5/D5</f>
        <v>0.06576379766947543</v>
      </c>
      <c r="Q50" s="14">
        <f>Q5/D5</f>
        <v>0.005989991638508479</v>
      </c>
      <c r="R50" s="14">
        <f>SUM(R6:R49)</f>
        <v>1.0000000000000002</v>
      </c>
    </row>
    <row r="51" spans="1:18" s="12" customFormat="1" ht="13.5" thickTop="1">
      <c r="A51" s="34"/>
      <c r="C51" s="13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1:18" s="53" customFormat="1" ht="12.75">
      <c r="A52" s="6"/>
      <c r="B52" s="6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8"/>
    </row>
  </sheetData>
  <sheetProtection/>
  <printOptions/>
  <pageMargins left="0" right="0" top="1" bottom="0.5" header="0.5" footer="0.25"/>
  <pageSetup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2009-08-20T18:23:04Z</cp:lastPrinted>
  <dcterms:created xsi:type="dcterms:W3CDTF">1998-02-23T20:58:01Z</dcterms:created>
  <dcterms:modified xsi:type="dcterms:W3CDTF">2009-12-02T21:16:09Z</dcterms:modified>
  <cp:category/>
  <cp:version/>
  <cp:contentType/>
  <cp:contentStatus/>
</cp:coreProperties>
</file>