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tabRatio="905" activeTab="0"/>
  </bookViews>
  <sheets>
    <sheet name="2009A" sheetId="1" r:id="rId1"/>
    <sheet name="Academic Project" sheetId="2" r:id="rId2"/>
    <sheet name="Percentage-Final" sheetId="3" r:id="rId3"/>
    <sheet name="Percentage-0909" sheetId="4" r:id="rId4"/>
  </sheets>
  <definedNames>
    <definedName name="_xlnm.Print_Titles" localSheetId="0">'2009A'!$A:$A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<sst xmlns="http://schemas.openxmlformats.org/spreadsheetml/2006/main" count="540" uniqueCount="129">
  <si>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</si>
  <si>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</si>
  <si>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</si>
  <si>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</si>
  <si>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</si>
  <si>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</si>
  <si>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</si>
  <si>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</si>
  <si>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</si>
  <si>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</si>
  <si>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</si>
  <si>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</si>
  <si>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</si>
  <si>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</si>
  <si>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</si>
  <si>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</si>
  <si>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</si>
  <si>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</si>
  <si>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</si>
  <si>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</si>
  <si>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</si>
  <si>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</si>
  <si>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</si>
  <si>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</si>
  <si>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</si>
  <si>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</si>
  <si>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</si>
  <si>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</si>
  <si>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</si>
  <si>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</si>
  <si>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</si>
  <si>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</si>
  <si>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 xml:space="preserve"> 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</si>
  <si>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</si>
  <si>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</si>
  <si>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</si>
  <si>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</si>
  <si>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</si>
  <si>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</si>
  <si>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</si>
  <si>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>Cost of Issue</t>
  </si>
  <si>
    <t>&amp; Balance</t>
  </si>
  <si>
    <t>Cost of Issue &amp; Balance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</si>
  <si>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</si>
  <si>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</si>
  <si>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</si>
  <si>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</si>
  <si>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</si>
  <si>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</si>
  <si>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</si>
  <si>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</si>
  <si>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</si>
  <si>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</si>
  <si>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</si>
  <si>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</si>
  <si>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</si>
  <si>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</si>
  <si>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</si>
  <si>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</si>
  <si>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</si>
  <si>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</si>
  <si>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</si>
  <si>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</si>
  <si>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</si>
  <si>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</si>
  <si>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</si>
  <si>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</si>
  <si>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</si>
  <si>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</si>
  <si>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</si>
  <si>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</si>
  <si>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</si>
  <si>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</si>
  <si>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</si>
  <si>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</si>
  <si>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</si>
  <si>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</si>
  <si>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</si>
  <si>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</si>
  <si>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</si>
  <si>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</si>
  <si>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</si>
  <si>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</si>
  <si>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</si>
  <si>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</si>
  <si>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</si>
  <si>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</si>
  <si>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</si>
  <si>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</si>
  <si>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</si>
  <si>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Total Debt Services - 2009 Series A</t>
  </si>
  <si>
    <t>2009 Series A Bond Funded Projects</t>
  </si>
  <si>
    <t xml:space="preserve">           Total Academic Projects - 2009A</t>
  </si>
  <si>
    <t>2009 Series A Bonds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</si>
  <si>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</si>
  <si>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</si>
  <si>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</si>
  <si>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</si>
  <si>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</si>
  <si>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</si>
  <si>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</si>
  <si>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</si>
  <si>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</si>
  <si>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26,28th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</si>
  <si>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</si>
  <si>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</si>
  <si>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</si>
  <si>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</si>
  <si>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</si>
  <si>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</si>
  <si>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</si>
  <si>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</si>
  <si>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</si>
  <si>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</si>
  <si>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</si>
  <si>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</si>
  <si>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</si>
  <si>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</si>
  <si>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>*** Reduce $2,990,973.31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</si>
  <si>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</si>
  <si>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</si>
  <si>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</si>
  <si>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</si>
  <si>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</si>
  <si>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</si>
  <si>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</si>
  <si>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</si>
  <si>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Amort of</t>
  </si>
  <si>
    <t>Premium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</si>
</sst>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33" borderId="16" xfId="0" applyNumberFormat="1" applyFill="1" applyBorder="1" applyAlignment="1">
      <alignment horizontal="center"/>
    </xf>
    <xf numFmtId="38" fontId="0" fillId="0" borderId="1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5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5" sqref="E35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2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0" customWidth="1"/>
  </cols>
  <sheetData>
    <row r="1" spans="1:113" ht="12.75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K1" s="44"/>
      <c r="BP1" s="44" t="s">
        <v>14</v>
      </c>
      <c r="CE1" s="44" t="s">
        <v>14</v>
      </c>
      <c r="CO1" s="44"/>
      <c r="CT1" s="44" t="s">
        <v>14</v>
      </c>
      <c r="DI1" s="44" t="s">
        <v>14</v>
      </c>
    </row>
    <row r="2" spans="1:113" ht="12.75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K2" s="44"/>
      <c r="BP2" s="44" t="s">
        <v>13</v>
      </c>
      <c r="CE2" s="44" t="s">
        <v>13</v>
      </c>
      <c r="CO2" s="44"/>
      <c r="CT2" s="44" t="s">
        <v>13</v>
      </c>
      <c r="DI2" s="44" t="s">
        <v>13</v>
      </c>
    </row>
    <row r="3" spans="1:113" ht="12.75">
      <c r="A3" s="43"/>
      <c r="B3" s="30"/>
      <c r="D3" s="42"/>
      <c r="H3" s="44" t="s">
        <v>91</v>
      </c>
      <c r="M3" s="44"/>
      <c r="N3" s="12"/>
      <c r="R3" s="44"/>
      <c r="W3" s="44" t="s">
        <v>91</v>
      </c>
      <c r="AG3" s="44"/>
      <c r="AL3" s="44" t="s">
        <v>91</v>
      </c>
      <c r="BA3" s="44" t="s">
        <v>91</v>
      </c>
      <c r="BK3" s="44"/>
      <c r="BP3" s="44" t="s">
        <v>91</v>
      </c>
      <c r="CE3" s="44" t="s">
        <v>91</v>
      </c>
      <c r="CO3" s="44"/>
      <c r="CT3" s="44" t="s">
        <v>91</v>
      </c>
      <c r="DI3" s="44" t="s">
        <v>91</v>
      </c>
    </row>
    <row r="4" spans="1:4" ht="12.75">
      <c r="A4" s="43"/>
      <c r="B4" s="30"/>
      <c r="C4" s="42"/>
      <c r="D4" s="44"/>
    </row>
    <row r="5" spans="1:121" ht="12.75">
      <c r="A5" s="21" t="s">
        <v>9</v>
      </c>
      <c r="C5" s="47" t="s">
        <v>90</v>
      </c>
      <c r="D5" s="48"/>
      <c r="E5" s="49"/>
      <c r="F5" s="77"/>
      <c r="H5" s="36" t="s">
        <v>92</v>
      </c>
      <c r="I5" s="70"/>
      <c r="J5" s="38"/>
      <c r="K5" s="77"/>
      <c r="M5" s="36" t="s">
        <v>94</v>
      </c>
      <c r="N5" s="37"/>
      <c r="O5" s="38"/>
      <c r="P5" s="77"/>
      <c r="R5" s="22" t="s">
        <v>77</v>
      </c>
      <c r="S5" s="23"/>
      <c r="T5" s="24"/>
      <c r="U5" s="77"/>
      <c r="W5" s="22" t="s">
        <v>53</v>
      </c>
      <c r="X5" s="23"/>
      <c r="Y5" s="24"/>
      <c r="Z5" s="77"/>
      <c r="AB5" s="22" t="s">
        <v>78</v>
      </c>
      <c r="AC5" s="23"/>
      <c r="AD5" s="24"/>
      <c r="AE5" s="77"/>
      <c r="AG5" s="22" t="s">
        <v>58</v>
      </c>
      <c r="AH5" s="23"/>
      <c r="AI5" s="24"/>
      <c r="AJ5" s="77"/>
      <c r="AL5" s="22" t="s">
        <v>30</v>
      </c>
      <c r="AM5" s="23"/>
      <c r="AN5" s="24"/>
      <c r="AO5" s="77"/>
      <c r="AQ5" s="22" t="s">
        <v>62</v>
      </c>
      <c r="AR5" s="23"/>
      <c r="AS5" s="24"/>
      <c r="AT5" s="77"/>
      <c r="AV5" s="22" t="s">
        <v>79</v>
      </c>
      <c r="AW5" s="23"/>
      <c r="AX5" s="24"/>
      <c r="AY5" s="77"/>
      <c r="BA5" s="22" t="s">
        <v>86</v>
      </c>
      <c r="BB5" s="23"/>
      <c r="BC5" s="24"/>
      <c r="BD5" s="77"/>
      <c r="BF5" s="22" t="s">
        <v>31</v>
      </c>
      <c r="BG5" s="23"/>
      <c r="BH5" s="24"/>
      <c r="BI5" s="77"/>
      <c r="BK5" s="22" t="s">
        <v>126</v>
      </c>
      <c r="BL5" s="23"/>
      <c r="BM5" s="24"/>
      <c r="BN5" s="77"/>
      <c r="BP5" s="22" t="s">
        <v>54</v>
      </c>
      <c r="BQ5" s="23"/>
      <c r="BR5" s="24"/>
      <c r="BS5" s="77"/>
      <c r="BU5" s="22" t="s">
        <v>55</v>
      </c>
      <c r="BV5" s="23"/>
      <c r="BW5" s="24"/>
      <c r="BX5" s="77"/>
      <c r="BZ5" s="22" t="s">
        <v>56</v>
      </c>
      <c r="CA5" s="23"/>
      <c r="CB5" s="24"/>
      <c r="CC5" s="77"/>
      <c r="CE5" s="22" t="s">
        <v>80</v>
      </c>
      <c r="CF5" s="23"/>
      <c r="CG5" s="24"/>
      <c r="CH5" s="77"/>
      <c r="CJ5" s="22" t="s">
        <v>57</v>
      </c>
      <c r="CK5" s="23"/>
      <c r="CL5" s="24"/>
      <c r="CM5" s="77"/>
      <c r="CO5" s="22" t="s">
        <v>35</v>
      </c>
      <c r="CP5" s="23"/>
      <c r="CQ5" s="24"/>
      <c r="CR5" s="77"/>
      <c r="CT5" s="22" t="s">
        <v>36</v>
      </c>
      <c r="CU5" s="23"/>
      <c r="CV5" s="24"/>
      <c r="CW5" s="77"/>
      <c r="CY5" s="22" t="s">
        <v>63</v>
      </c>
      <c r="CZ5" s="23"/>
      <c r="DA5" s="24"/>
      <c r="DB5" s="77"/>
      <c r="DC5" s="65"/>
      <c r="DD5" s="22" t="s">
        <v>43</v>
      </c>
      <c r="DE5" s="23"/>
      <c r="DF5" s="24"/>
      <c r="DG5" s="77"/>
      <c r="DI5" s="22" t="s">
        <v>125</v>
      </c>
      <c r="DJ5" s="23"/>
      <c r="DK5" s="24"/>
      <c r="DL5" s="77"/>
      <c r="DN5" s="57" t="s">
        <v>15</v>
      </c>
      <c r="DO5" s="23"/>
      <c r="DP5" s="24"/>
      <c r="DQ5" s="77"/>
    </row>
    <row r="6" spans="1:121" s="12" customFormat="1" ht="12.75">
      <c r="A6" s="45" t="s">
        <v>10</v>
      </c>
      <c r="C6" s="39"/>
      <c r="D6" s="37"/>
      <c r="E6" s="38"/>
      <c r="F6" s="78" t="s">
        <v>127</v>
      </c>
      <c r="G6" s="33"/>
      <c r="H6" s="69">
        <v>0</v>
      </c>
      <c r="I6" s="64">
        <v>0.3541245</v>
      </c>
      <c r="J6" s="74"/>
      <c r="K6" s="78" t="s">
        <v>127</v>
      </c>
      <c r="L6" s="33"/>
      <c r="M6" s="69">
        <f>R6+W6+AB6+AG6+AL6+AQ6+AV6+BA6+BF6+BK6+BP6+BU6+BZ6+CE6+CJ6+CO6+CT6+CY6+DD6+DI6+DN6</f>
        <v>1</v>
      </c>
      <c r="N6" s="73">
        <f>S6+X6+AC6+AH6+AM6+AR6+AW6+BB6+BG6+BL6+BQ6+BV6+CA6+CF6+CK6+CP6+CU6+CZ6+DE6+DJ6+DO6</f>
        <v>0.6458754999999998</v>
      </c>
      <c r="O6" s="74"/>
      <c r="P6" s="78" t="s">
        <v>127</v>
      </c>
      <c r="Q6" s="33"/>
      <c r="R6" s="72">
        <v>0.0391773</v>
      </c>
      <c r="S6" s="32">
        <v>0.1007133</v>
      </c>
      <c r="T6" s="74"/>
      <c r="U6" s="78" t="s">
        <v>127</v>
      </c>
      <c r="V6" s="33"/>
      <c r="W6" s="72">
        <v>0.0076448</v>
      </c>
      <c r="X6" s="32">
        <v>0.0517405</v>
      </c>
      <c r="Y6" s="74"/>
      <c r="Z6" s="78" t="s">
        <v>127</v>
      </c>
      <c r="AA6" s="33"/>
      <c r="AB6" s="72">
        <v>5.71E-05</v>
      </c>
      <c r="AC6" s="32">
        <v>0.0003903</v>
      </c>
      <c r="AD6" s="74"/>
      <c r="AE6" s="78" t="s">
        <v>127</v>
      </c>
      <c r="AF6" s="33"/>
      <c r="AG6" s="72">
        <v>0.0106627</v>
      </c>
      <c r="AH6" s="32">
        <v>0.0218978</v>
      </c>
      <c r="AI6" s="74"/>
      <c r="AJ6" s="78" t="s">
        <v>127</v>
      </c>
      <c r="AK6" s="33"/>
      <c r="AL6" s="72">
        <v>0.0322205</v>
      </c>
      <c r="AM6" s="32">
        <v>0.106774</v>
      </c>
      <c r="AN6" s="74"/>
      <c r="AO6" s="78" t="s">
        <v>127</v>
      </c>
      <c r="AQ6" s="72">
        <v>0.0099654</v>
      </c>
      <c r="AR6" s="32">
        <v>0.019064</v>
      </c>
      <c r="AS6" s="74"/>
      <c r="AT6" s="78" t="s">
        <v>127</v>
      </c>
      <c r="AV6" s="72">
        <v>4.19E-05</v>
      </c>
      <c r="AW6" s="32">
        <v>0.0007818</v>
      </c>
      <c r="AX6" s="74"/>
      <c r="AY6" s="78" t="s">
        <v>127</v>
      </c>
      <c r="BA6" s="72">
        <v>0.0050579</v>
      </c>
      <c r="BB6" s="32">
        <v>0.0115902</v>
      </c>
      <c r="BC6" s="74"/>
      <c r="BD6" s="78" t="s">
        <v>127</v>
      </c>
      <c r="BF6" s="72">
        <v>0.0145864</v>
      </c>
      <c r="BG6" s="32">
        <v>0.0099208</v>
      </c>
      <c r="BH6" s="74"/>
      <c r="BI6" s="78" t="s">
        <v>127</v>
      </c>
      <c r="BK6" s="72">
        <v>0</v>
      </c>
      <c r="BL6" s="32">
        <v>0.0120085</v>
      </c>
      <c r="BM6" s="74"/>
      <c r="BN6" s="78" t="s">
        <v>127</v>
      </c>
      <c r="BP6" s="72">
        <v>0.0012629</v>
      </c>
      <c r="BQ6" s="32">
        <v>0.0023385</v>
      </c>
      <c r="BR6" s="74"/>
      <c r="BS6" s="78" t="s">
        <v>127</v>
      </c>
      <c r="BU6" s="72">
        <v>0.0007063</v>
      </c>
      <c r="BV6" s="32">
        <v>0.0038124</v>
      </c>
      <c r="BW6" s="74"/>
      <c r="BX6" s="78" t="s">
        <v>127</v>
      </c>
      <c r="BZ6" s="72">
        <v>0.0036156</v>
      </c>
      <c r="CA6" s="32">
        <v>0.0092944</v>
      </c>
      <c r="CB6" s="74"/>
      <c r="CC6" s="78" t="s">
        <v>127</v>
      </c>
      <c r="CE6" s="72">
        <v>0.0770671</v>
      </c>
      <c r="CF6" s="32">
        <v>0.1782906</v>
      </c>
      <c r="CG6" s="74"/>
      <c r="CH6" s="78" t="s">
        <v>127</v>
      </c>
      <c r="CJ6" s="72">
        <v>0</v>
      </c>
      <c r="CK6" s="32">
        <v>0.0380984</v>
      </c>
      <c r="CL6" s="74"/>
      <c r="CM6" s="78" t="s">
        <v>127</v>
      </c>
      <c r="CO6" s="72">
        <v>0.0018032</v>
      </c>
      <c r="CP6" s="32">
        <v>0.0033714</v>
      </c>
      <c r="CQ6" s="74"/>
      <c r="CR6" s="78" t="s">
        <v>127</v>
      </c>
      <c r="CT6" s="72">
        <v>0</v>
      </c>
      <c r="CU6" s="32">
        <v>0.0006138</v>
      </c>
      <c r="CV6" s="74"/>
      <c r="CW6" s="78" t="s">
        <v>127</v>
      </c>
      <c r="CY6" s="72">
        <v>0.0001488</v>
      </c>
      <c r="CZ6" s="32">
        <v>0.0738085</v>
      </c>
      <c r="DA6" s="74"/>
      <c r="DB6" s="78" t="s">
        <v>127</v>
      </c>
      <c r="DC6" s="28"/>
      <c r="DD6" s="72">
        <v>0</v>
      </c>
      <c r="DE6" s="32">
        <v>0.0013629</v>
      </c>
      <c r="DF6" s="74"/>
      <c r="DG6" s="78" t="s">
        <v>127</v>
      </c>
      <c r="DI6" s="72">
        <v>0</v>
      </c>
      <c r="DJ6" s="32">
        <v>3.4E-06</v>
      </c>
      <c r="DK6" s="74"/>
      <c r="DL6" s="78" t="s">
        <v>127</v>
      </c>
      <c r="DN6" s="72">
        <v>0.7959821</v>
      </c>
      <c r="DO6" s="32"/>
      <c r="DP6" s="46"/>
      <c r="DQ6" s="78" t="s">
        <v>127</v>
      </c>
    </row>
    <row r="7" spans="1:121" ht="12.75">
      <c r="A7" s="25"/>
      <c r="C7" s="40" t="s">
        <v>11</v>
      </c>
      <c r="D7" s="40" t="s">
        <v>12</v>
      </c>
      <c r="E7" s="40" t="s">
        <v>4</v>
      </c>
      <c r="F7" s="40" t="s">
        <v>128</v>
      </c>
      <c r="H7" s="40" t="s">
        <v>11</v>
      </c>
      <c r="I7" s="40" t="s">
        <v>12</v>
      </c>
      <c r="J7" s="40" t="s">
        <v>4</v>
      </c>
      <c r="K7" s="40" t="s">
        <v>128</v>
      </c>
      <c r="M7" s="40" t="s">
        <v>11</v>
      </c>
      <c r="N7" s="40" t="s">
        <v>12</v>
      </c>
      <c r="O7" s="40" t="s">
        <v>4</v>
      </c>
      <c r="P7" s="40" t="s">
        <v>128</v>
      </c>
      <c r="R7" s="26" t="s">
        <v>11</v>
      </c>
      <c r="S7" s="26" t="s">
        <v>12</v>
      </c>
      <c r="T7" s="26" t="s">
        <v>4</v>
      </c>
      <c r="U7" s="40" t="s">
        <v>128</v>
      </c>
      <c r="W7" s="26" t="s">
        <v>11</v>
      </c>
      <c r="X7" s="26" t="s">
        <v>12</v>
      </c>
      <c r="Y7" s="26" t="s">
        <v>4</v>
      </c>
      <c r="Z7" s="40" t="s">
        <v>128</v>
      </c>
      <c r="AB7" s="26" t="s">
        <v>11</v>
      </c>
      <c r="AC7" s="26" t="s">
        <v>12</v>
      </c>
      <c r="AD7" s="26" t="s">
        <v>4</v>
      </c>
      <c r="AE7" s="40" t="s">
        <v>128</v>
      </c>
      <c r="AG7" s="26" t="s">
        <v>11</v>
      </c>
      <c r="AH7" s="26" t="s">
        <v>12</v>
      </c>
      <c r="AI7" s="26" t="s">
        <v>4</v>
      </c>
      <c r="AJ7" s="40" t="s">
        <v>128</v>
      </c>
      <c r="AL7" s="26" t="s">
        <v>11</v>
      </c>
      <c r="AM7" s="26" t="s">
        <v>12</v>
      </c>
      <c r="AN7" s="26" t="s">
        <v>4</v>
      </c>
      <c r="AO7" s="40" t="s">
        <v>128</v>
      </c>
      <c r="AQ7" s="26" t="s">
        <v>11</v>
      </c>
      <c r="AR7" s="26" t="s">
        <v>12</v>
      </c>
      <c r="AS7" s="26" t="s">
        <v>4</v>
      </c>
      <c r="AT7" s="40" t="s">
        <v>128</v>
      </c>
      <c r="AV7" s="26" t="s">
        <v>11</v>
      </c>
      <c r="AW7" s="26" t="s">
        <v>12</v>
      </c>
      <c r="AX7" s="26" t="s">
        <v>4</v>
      </c>
      <c r="AY7" s="40" t="s">
        <v>128</v>
      </c>
      <c r="BA7" s="26" t="s">
        <v>11</v>
      </c>
      <c r="BB7" s="26" t="s">
        <v>12</v>
      </c>
      <c r="BC7" s="26" t="s">
        <v>4</v>
      </c>
      <c r="BD7" s="40" t="s">
        <v>128</v>
      </c>
      <c r="BF7" s="26" t="s">
        <v>11</v>
      </c>
      <c r="BG7" s="26" t="s">
        <v>12</v>
      </c>
      <c r="BH7" s="26" t="s">
        <v>4</v>
      </c>
      <c r="BI7" s="40" t="s">
        <v>128</v>
      </c>
      <c r="BK7" s="26" t="s">
        <v>11</v>
      </c>
      <c r="BL7" s="26" t="s">
        <v>12</v>
      </c>
      <c r="BM7" s="26" t="s">
        <v>4</v>
      </c>
      <c r="BN7" s="40" t="s">
        <v>128</v>
      </c>
      <c r="BP7" s="26" t="s">
        <v>11</v>
      </c>
      <c r="BQ7" s="26" t="s">
        <v>12</v>
      </c>
      <c r="BR7" s="26" t="s">
        <v>4</v>
      </c>
      <c r="BS7" s="40" t="s">
        <v>128</v>
      </c>
      <c r="BU7" s="26" t="s">
        <v>11</v>
      </c>
      <c r="BV7" s="26" t="s">
        <v>12</v>
      </c>
      <c r="BW7" s="26" t="s">
        <v>4</v>
      </c>
      <c r="BX7" s="40" t="s">
        <v>128</v>
      </c>
      <c r="BZ7" s="26" t="s">
        <v>11</v>
      </c>
      <c r="CA7" s="26" t="s">
        <v>12</v>
      </c>
      <c r="CB7" s="26" t="s">
        <v>4</v>
      </c>
      <c r="CC7" s="40" t="s">
        <v>128</v>
      </c>
      <c r="CE7" s="26" t="s">
        <v>11</v>
      </c>
      <c r="CF7" s="26" t="s">
        <v>12</v>
      </c>
      <c r="CG7" s="26" t="s">
        <v>4</v>
      </c>
      <c r="CH7" s="40" t="s">
        <v>128</v>
      </c>
      <c r="CJ7" s="26" t="s">
        <v>11</v>
      </c>
      <c r="CK7" s="26" t="s">
        <v>12</v>
      </c>
      <c r="CL7" s="26" t="s">
        <v>4</v>
      </c>
      <c r="CM7" s="40" t="s">
        <v>128</v>
      </c>
      <c r="CO7" s="26" t="s">
        <v>11</v>
      </c>
      <c r="CP7" s="26" t="s">
        <v>12</v>
      </c>
      <c r="CQ7" s="26" t="s">
        <v>4</v>
      </c>
      <c r="CR7" s="40" t="s">
        <v>128</v>
      </c>
      <c r="CT7" s="26" t="s">
        <v>11</v>
      </c>
      <c r="CU7" s="26" t="s">
        <v>12</v>
      </c>
      <c r="CV7" s="26" t="s">
        <v>4</v>
      </c>
      <c r="CW7" s="40" t="s">
        <v>128</v>
      </c>
      <c r="CY7" s="26" t="s">
        <v>11</v>
      </c>
      <c r="CZ7" s="26" t="s">
        <v>12</v>
      </c>
      <c r="DA7" s="26" t="s">
        <v>4</v>
      </c>
      <c r="DB7" s="40" t="s">
        <v>128</v>
      </c>
      <c r="DC7" s="66"/>
      <c r="DD7" s="26" t="s">
        <v>11</v>
      </c>
      <c r="DE7" s="26" t="s">
        <v>12</v>
      </c>
      <c r="DF7" s="26" t="s">
        <v>4</v>
      </c>
      <c r="DG7" s="40" t="s">
        <v>128</v>
      </c>
      <c r="DI7" s="26" t="s">
        <v>11</v>
      </c>
      <c r="DJ7" s="26" t="s">
        <v>12</v>
      </c>
      <c r="DK7" s="26" t="s">
        <v>4</v>
      </c>
      <c r="DL7" s="40" t="s">
        <v>128</v>
      </c>
      <c r="DN7" s="26" t="s">
        <v>11</v>
      </c>
      <c r="DO7" s="26" t="s">
        <v>12</v>
      </c>
      <c r="DP7" s="26" t="s">
        <v>4</v>
      </c>
      <c r="DQ7" s="40" t="s">
        <v>128</v>
      </c>
    </row>
    <row r="8" spans="1:121" ht="12.75">
      <c r="A8" s="19">
        <v>40087</v>
      </c>
      <c r="D8" s="35">
        <v>644944</v>
      </c>
      <c r="E8" s="35">
        <f aca="true" t="shared" si="0" ref="E8:E33">C8+D8</f>
        <v>644944</v>
      </c>
      <c r="F8" s="35">
        <v>159182</v>
      </c>
      <c r="H8" s="71"/>
      <c r="I8" s="51">
        <v>0</v>
      </c>
      <c r="J8" s="51">
        <f>H8+I8</f>
        <v>0</v>
      </c>
      <c r="K8" s="35"/>
      <c r="M8" s="51"/>
      <c r="N8" s="37">
        <f>S8+X8+AC8+AH8+AM8+AR8+AW8+BB8+BG8+BL8+BQ8+BV8+CA8+CF8+CK8+CP8+CU8+CZ8+DE8+DJ8+DO8</f>
        <v>644943.8710112</v>
      </c>
      <c r="O8" s="51">
        <f aca="true" t="shared" si="1" ref="O8:O33">M8+N8</f>
        <v>644943.8710112</v>
      </c>
      <c r="P8" s="37">
        <f>U8+Z8+AE8+AJ8+AO8+AT8+AY8+BD8+BI8+BN8+BS8+BX8+CC8+CH8+CM8+CR8+CW8+DB8+DG8+DL8+DQ8</f>
        <v>159181.753841</v>
      </c>
      <c r="R8" s="65"/>
      <c r="S8" s="65">
        <f>D8*3.91773/100</f>
        <v>25267.1645712</v>
      </c>
      <c r="T8" s="20">
        <f aca="true" t="shared" si="2" ref="T8:T33">R8+S8</f>
        <v>25267.1645712</v>
      </c>
      <c r="U8" s="35">
        <f>$F8*S$6</f>
        <v>16031.744520600001</v>
      </c>
      <c r="W8" s="65"/>
      <c r="X8" s="65">
        <f>D8*0.76448/100</f>
        <v>4930.4678912</v>
      </c>
      <c r="Y8" s="65">
        <f aca="true" t="shared" si="3" ref="Y8:Y33">W8+X8</f>
        <v>4930.4678912</v>
      </c>
      <c r="Z8" s="35">
        <f>$F8*X$6</f>
        <v>8236.156271</v>
      </c>
      <c r="AC8" s="33">
        <f>D8*0.00571/100</f>
        <v>36.8263024</v>
      </c>
      <c r="AD8" s="33">
        <f>AB8+AC8</f>
        <v>36.8263024</v>
      </c>
      <c r="AE8" s="35">
        <f>$F8*AC$6</f>
        <v>62.1287346</v>
      </c>
      <c r="AG8" s="65"/>
      <c r="AH8" s="65">
        <f>D8*1.06627/100</f>
        <v>6876.8443888</v>
      </c>
      <c r="AI8" s="65">
        <f aca="true" t="shared" si="4" ref="AI8:AI33">AG8+AH8</f>
        <v>6876.8443888</v>
      </c>
      <c r="AJ8" s="35">
        <f>$F8*AH$6</f>
        <v>3485.7355995999997</v>
      </c>
      <c r="AL8" s="65"/>
      <c r="AM8" s="65">
        <f>D8*3.22205/100</f>
        <v>20780.418152</v>
      </c>
      <c r="AN8" s="65">
        <f aca="true" t="shared" si="5" ref="AN8:AN33">AL8+AM8</f>
        <v>20780.418152</v>
      </c>
      <c r="AO8" s="35">
        <f>$F8*AM$6</f>
        <v>16996.498868</v>
      </c>
      <c r="AP8" s="33"/>
      <c r="AQ8" s="65"/>
      <c r="AR8" s="65">
        <f>D8*0.99654/100</f>
        <v>6427.1249376</v>
      </c>
      <c r="AS8" s="65">
        <f aca="true" t="shared" si="6" ref="AS8:AS33">AQ8+AR8</f>
        <v>6427.1249376</v>
      </c>
      <c r="AT8" s="35">
        <f>$F8*AR$6</f>
        <v>3034.645648</v>
      </c>
      <c r="AU8" s="33"/>
      <c r="AV8" s="51"/>
      <c r="AW8" s="51">
        <f>D8*0.00419/100</f>
        <v>27.0231536</v>
      </c>
      <c r="AX8" s="51">
        <f aca="true" t="shared" si="7" ref="AX8:AX33">AV8+AW8</f>
        <v>27.0231536</v>
      </c>
      <c r="AY8" s="35">
        <f>$F8*AW$6</f>
        <v>124.4484876</v>
      </c>
      <c r="AZ8" s="33"/>
      <c r="BA8" s="33"/>
      <c r="BB8" s="33">
        <f>D8*0.50579/100</f>
        <v>3262.0622576</v>
      </c>
      <c r="BC8" s="33">
        <f>BA8+BB8</f>
        <v>3262.0622576</v>
      </c>
      <c r="BD8" s="35">
        <f>$F8*BB$6</f>
        <v>1844.9512164</v>
      </c>
      <c r="BE8" s="33"/>
      <c r="BF8" s="51"/>
      <c r="BG8" s="51">
        <f>D8*1.45864/100</f>
        <v>9407.4111616</v>
      </c>
      <c r="BH8" s="51">
        <f aca="true" t="shared" si="8" ref="BH8:BH33">BF8+BG8</f>
        <v>9407.4111616</v>
      </c>
      <c r="BI8" s="35">
        <f>$F8*BG$6</f>
        <v>1579.2127856</v>
      </c>
      <c r="BJ8" s="33"/>
      <c r="BK8" s="51"/>
      <c r="BL8" s="51">
        <v>0</v>
      </c>
      <c r="BM8" s="51">
        <f aca="true" t="shared" si="9" ref="BM8:BM33">BK8+BL8</f>
        <v>0</v>
      </c>
      <c r="BN8" s="35">
        <f>$F8*BL$6</f>
        <v>1911.537047</v>
      </c>
      <c r="BO8" s="33"/>
      <c r="BP8" s="51"/>
      <c r="BQ8" s="51">
        <f>D8*0.12629/100</f>
        <v>814.4997776000001</v>
      </c>
      <c r="BR8" s="51">
        <f aca="true" t="shared" si="10" ref="BR8:BR33">BP8+BQ8</f>
        <v>814.4997776000001</v>
      </c>
      <c r="BS8" s="35">
        <f>$F8*BQ$6</f>
        <v>372.24710699999997</v>
      </c>
      <c r="BT8" s="33"/>
      <c r="BU8" s="51"/>
      <c r="BV8" s="51">
        <f>D8*0.07063/100</f>
        <v>455.52394719999995</v>
      </c>
      <c r="BW8" s="51">
        <f>BU8+BV8</f>
        <v>455.52394719999995</v>
      </c>
      <c r="BX8" s="35">
        <f>$F8*BV$6</f>
        <v>606.8654568000001</v>
      </c>
      <c r="BY8" s="33"/>
      <c r="BZ8" s="51"/>
      <c r="CA8" s="51">
        <f>D8*0.36156/100</f>
        <v>2331.8595264</v>
      </c>
      <c r="CB8" s="51">
        <f>BZ8+CA8</f>
        <v>2331.8595264</v>
      </c>
      <c r="CC8" s="35">
        <f>$F8*CA$6</f>
        <v>1479.5011808</v>
      </c>
      <c r="CD8" s="33"/>
      <c r="CE8" s="51"/>
      <c r="CF8" s="51">
        <f>D8*7.70671/100</f>
        <v>49703.963742399996</v>
      </c>
      <c r="CG8" s="51">
        <f>CE8+CF8</f>
        <v>49703.963742399996</v>
      </c>
      <c r="CH8" s="35">
        <f>$F8*CF$6</f>
        <v>28380.6542892</v>
      </c>
      <c r="CI8" s="33"/>
      <c r="CJ8" s="51"/>
      <c r="CK8" s="51">
        <v>0</v>
      </c>
      <c r="CL8" s="51">
        <f aca="true" t="shared" si="11" ref="CL8:CL33">CJ8+CK8</f>
        <v>0</v>
      </c>
      <c r="CM8" s="35">
        <f>$F8*CK$6</f>
        <v>6064.5795087999995</v>
      </c>
      <c r="CN8" s="33"/>
      <c r="CO8" s="51"/>
      <c r="CP8" s="51">
        <f>D8*0.18032/100</f>
        <v>1162.9630208</v>
      </c>
      <c r="CQ8" s="51">
        <f>CO8+CP8</f>
        <v>1162.9630208</v>
      </c>
      <c r="CR8" s="35">
        <f>$F8*CP$6</f>
        <v>536.6661948</v>
      </c>
      <c r="CS8" s="33"/>
      <c r="CT8" s="51"/>
      <c r="CU8" s="51">
        <v>0</v>
      </c>
      <c r="CV8" s="51">
        <f aca="true" t="shared" si="12" ref="CV8:CV33">CT8+CU8</f>
        <v>0</v>
      </c>
      <c r="CW8" s="35">
        <f>$F8*CU$6</f>
        <v>97.7059116</v>
      </c>
      <c r="CX8" s="33"/>
      <c r="CY8" s="33"/>
      <c r="CZ8" s="33">
        <f>D8*0.01488/100</f>
        <v>95.96766720000001</v>
      </c>
      <c r="DA8" s="51">
        <f>CY8+CZ8</f>
        <v>95.96766720000001</v>
      </c>
      <c r="DB8" s="35">
        <f>$F8*CZ$6</f>
        <v>11748.984647</v>
      </c>
      <c r="DC8" s="51"/>
      <c r="DD8" s="33"/>
      <c r="DE8" s="33">
        <v>0</v>
      </c>
      <c r="DF8" s="51">
        <f>DD8+DE8</f>
        <v>0</v>
      </c>
      <c r="DG8" s="35">
        <f>$F8*DE$6</f>
        <v>216.9491478</v>
      </c>
      <c r="DH8" s="33"/>
      <c r="DI8" s="51"/>
      <c r="DJ8" s="51">
        <v>0</v>
      </c>
      <c r="DK8" s="51">
        <f aca="true" t="shared" si="13" ref="DK8:DK33">DI8+DJ8</f>
        <v>0</v>
      </c>
      <c r="DL8" s="35">
        <f>$F8*DJ$6</f>
        <v>0.5412188</v>
      </c>
      <c r="DM8" s="33"/>
      <c r="DN8" s="33"/>
      <c r="DO8" s="33">
        <f>D8*79.59819/100</f>
        <v>513363.7505136</v>
      </c>
      <c r="DP8" s="51">
        <f>DO8</f>
        <v>513363.7505136</v>
      </c>
      <c r="DQ8" s="35">
        <v>56370</v>
      </c>
    </row>
    <row r="9" spans="1:121" ht="12.75">
      <c r="A9" s="19">
        <v>40269</v>
      </c>
      <c r="C9" s="35">
        <v>4180000</v>
      </c>
      <c r="D9" s="35">
        <v>1222000</v>
      </c>
      <c r="E9" s="35">
        <f t="shared" si="0"/>
        <v>5402000</v>
      </c>
      <c r="F9" s="35">
        <v>159182</v>
      </c>
      <c r="H9" s="51">
        <v>1480240</v>
      </c>
      <c r="I9" s="51">
        <v>432740</v>
      </c>
      <c r="J9" s="51">
        <f>H9+I9</f>
        <v>1912980</v>
      </c>
      <c r="K9" s="35">
        <v>56370.246159</v>
      </c>
      <c r="M9" s="51">
        <f>R9+W9+AB9+AG9+AL9+AQ9+AV9+BA9+BF9+BK9+BP9+BU9+BZ9+CE9+CJ9+CO9+CT9+CY9+DD9+DI9+DN9</f>
        <v>2699759.59</v>
      </c>
      <c r="N9" s="41">
        <f aca="true" t="shared" si="14" ref="N9:P33">S9+X9+AC9+AH9+AM9+AR9+AW9+BB9+BG9+BL9+BQ9+BV9+CA9+CF9+CK9+CP9+CU9+CZ9+DE9+DJ9+DO9</f>
        <v>789259.861</v>
      </c>
      <c r="O9" s="51">
        <f t="shared" si="1"/>
        <v>3489019.451</v>
      </c>
      <c r="P9" s="41">
        <f t="shared" si="14"/>
        <v>102811.753841</v>
      </c>
      <c r="R9" s="65">
        <f>C9*10.07133/100</f>
        <v>420981.594</v>
      </c>
      <c r="S9" s="65">
        <f>D9*10.07133/100</f>
        <v>123071.6526</v>
      </c>
      <c r="T9" s="65">
        <f t="shared" si="2"/>
        <v>544053.2466</v>
      </c>
      <c r="U9" s="35">
        <f aca="true" t="shared" si="15" ref="U9:U33">$F9*S$6</f>
        <v>16031.744520600001</v>
      </c>
      <c r="W9" s="65">
        <f>C9*5.17405/100</f>
        <v>216275.29</v>
      </c>
      <c r="X9" s="65">
        <f>D9*5.17405/100</f>
        <v>63226.891</v>
      </c>
      <c r="Y9" s="65">
        <f t="shared" si="3"/>
        <v>279502.181</v>
      </c>
      <c r="Z9" s="35">
        <f aca="true" t="shared" si="16" ref="Z9:Z33">$F9*X$6</f>
        <v>8236.156271</v>
      </c>
      <c r="AB9" s="33">
        <f>C9*0.03903/100</f>
        <v>1631.4540000000002</v>
      </c>
      <c r="AC9" s="33">
        <f>D9*0.03903/100</f>
        <v>476.94660000000005</v>
      </c>
      <c r="AD9" s="33">
        <f>AB9+AC9</f>
        <v>2108.4006000000004</v>
      </c>
      <c r="AE9" s="35">
        <f aca="true" t="shared" si="17" ref="AE9:AE33">$F9*AC$6</f>
        <v>62.1287346</v>
      </c>
      <c r="AG9" s="65">
        <f>C9*2.18978/100</f>
        <v>91532.80399999999</v>
      </c>
      <c r="AH9" s="65">
        <f>D9*2.18978/100</f>
        <v>26759.111599999997</v>
      </c>
      <c r="AI9" s="65">
        <f t="shared" si="4"/>
        <v>118291.91559999998</v>
      </c>
      <c r="AJ9" s="35">
        <f aca="true" t="shared" si="18" ref="AJ9:AJ33">$F9*AH$6</f>
        <v>3485.7355995999997</v>
      </c>
      <c r="AL9" s="65">
        <f>C9*10.6774/100</f>
        <v>446315.32</v>
      </c>
      <c r="AM9" s="65">
        <f>D9*10.6774/100</f>
        <v>130477.82800000001</v>
      </c>
      <c r="AN9" s="65">
        <f t="shared" si="5"/>
        <v>576793.148</v>
      </c>
      <c r="AO9" s="35">
        <f aca="true" t="shared" si="19" ref="AO9:AO33">$F9*AM$6</f>
        <v>16996.498868</v>
      </c>
      <c r="AP9" s="33"/>
      <c r="AQ9" s="65">
        <f>C9*1.9064/100</f>
        <v>79687.52</v>
      </c>
      <c r="AR9" s="65">
        <f>D9*1.9064/100</f>
        <v>23296.208000000002</v>
      </c>
      <c r="AS9" s="65">
        <f t="shared" si="6"/>
        <v>102983.728</v>
      </c>
      <c r="AT9" s="35">
        <f aca="true" t="shared" si="20" ref="AT9:AT33">$F9*AR$6</f>
        <v>3034.645648</v>
      </c>
      <c r="AU9" s="33"/>
      <c r="AV9" s="51">
        <f>C9*0.07818/100</f>
        <v>3267.9240000000004</v>
      </c>
      <c r="AW9" s="51">
        <f>D9*0.07818/100</f>
        <v>955.3596000000001</v>
      </c>
      <c r="AX9" s="51">
        <f t="shared" si="7"/>
        <v>4223.283600000001</v>
      </c>
      <c r="AY9" s="35">
        <f aca="true" t="shared" si="21" ref="AY9:AY33">$F9*AW$6</f>
        <v>124.4484876</v>
      </c>
      <c r="AZ9" s="33"/>
      <c r="BA9" s="33">
        <f>C9*1.15902/100</f>
        <v>48447.03599999999</v>
      </c>
      <c r="BB9" s="33">
        <f>D9*1.15902/100</f>
        <v>14163.2244</v>
      </c>
      <c r="BC9" s="33">
        <f>BA9+BB9</f>
        <v>62610.26039999999</v>
      </c>
      <c r="BD9" s="35">
        <f aca="true" t="shared" si="22" ref="BD9:BD33">$F9*BB$6</f>
        <v>1844.9512164</v>
      </c>
      <c r="BE9" s="33"/>
      <c r="BF9" s="51">
        <f>C9*0.99208/100</f>
        <v>41468.943999999996</v>
      </c>
      <c r="BG9" s="51">
        <f>D9*0.99208/100</f>
        <v>12123.2176</v>
      </c>
      <c r="BH9" s="51">
        <f t="shared" si="8"/>
        <v>53592.16159999999</v>
      </c>
      <c r="BI9" s="35">
        <f aca="true" t="shared" si="23" ref="BI9:BI33">$F9*BG$6</f>
        <v>1579.2127856</v>
      </c>
      <c r="BJ9" s="33"/>
      <c r="BK9" s="51">
        <f>C9*1.20085/100</f>
        <v>50195.53</v>
      </c>
      <c r="BL9" s="51">
        <f>D9*1.20085/100</f>
        <v>14674.386999999999</v>
      </c>
      <c r="BM9" s="51">
        <f t="shared" si="9"/>
        <v>64869.917</v>
      </c>
      <c r="BN9" s="35">
        <f aca="true" t="shared" si="24" ref="BN9:BN33">$F9*BL$6</f>
        <v>1911.537047</v>
      </c>
      <c r="BO9" s="33"/>
      <c r="BP9" s="51">
        <f>C9*0.23385/100</f>
        <v>9774.93</v>
      </c>
      <c r="BQ9" s="51">
        <f>D9*0.23385/100</f>
        <v>2857.647</v>
      </c>
      <c r="BR9" s="51">
        <f t="shared" si="10"/>
        <v>12632.577000000001</v>
      </c>
      <c r="BS9" s="35">
        <f aca="true" t="shared" si="25" ref="BS9:BS33">$F9*BQ$6</f>
        <v>372.24710699999997</v>
      </c>
      <c r="BT9" s="33"/>
      <c r="BU9" s="33">
        <f>C9*0.38124/100</f>
        <v>15935.832000000002</v>
      </c>
      <c r="BV9" s="33">
        <f>D9*0.38124/100</f>
        <v>4658.7528</v>
      </c>
      <c r="BW9" s="33">
        <f>BU9+BV9</f>
        <v>20594.584800000004</v>
      </c>
      <c r="BX9" s="35">
        <f aca="true" t="shared" si="26" ref="BX9:BX33">$F9*BV$6</f>
        <v>606.8654568000001</v>
      </c>
      <c r="BY9" s="33"/>
      <c r="BZ9" s="51">
        <f>C9*0.92944/100</f>
        <v>38850.592000000004</v>
      </c>
      <c r="CA9" s="51">
        <f>D9*0.92944/100</f>
        <v>11357.756800000001</v>
      </c>
      <c r="CB9" s="51">
        <f aca="true" t="shared" si="27" ref="CB9:CB33">BZ9+CA9</f>
        <v>50208.34880000001</v>
      </c>
      <c r="CC9" s="35">
        <f aca="true" t="shared" si="28" ref="CC9:CC33">$F9*CA$6</f>
        <v>1479.5011808</v>
      </c>
      <c r="CD9" s="33"/>
      <c r="CE9" s="51">
        <f>C9*17.82906/100</f>
        <v>745254.708</v>
      </c>
      <c r="CF9" s="51">
        <f>D9*17.82906/100</f>
        <v>217871.11319999996</v>
      </c>
      <c r="CG9" s="51">
        <f aca="true" t="shared" si="29" ref="CG9:CG33">CE9+CF9</f>
        <v>963125.8211999999</v>
      </c>
      <c r="CH9" s="35">
        <f aca="true" t="shared" si="30" ref="CH9:CH33">$F9*CF$6</f>
        <v>28380.6542892</v>
      </c>
      <c r="CI9" s="33"/>
      <c r="CJ9" s="51">
        <f>C9*3.80984/100</f>
        <v>159251.312</v>
      </c>
      <c r="CK9" s="51">
        <f>D9*3.80984/100</f>
        <v>46556.24479999999</v>
      </c>
      <c r="CL9" s="51">
        <f t="shared" si="11"/>
        <v>205807.5568</v>
      </c>
      <c r="CM9" s="35">
        <f aca="true" t="shared" si="31" ref="CM9:CM33">$F9*CK$6</f>
        <v>6064.5795087999995</v>
      </c>
      <c r="CN9" s="33"/>
      <c r="CO9" s="51">
        <f>C9*0.33714/100</f>
        <v>14092.452</v>
      </c>
      <c r="CP9" s="51">
        <f>D9*0.33714/100</f>
        <v>4119.8508</v>
      </c>
      <c r="CQ9" s="51">
        <f aca="true" t="shared" si="32" ref="CQ9:CQ33">CO9+CP9</f>
        <v>18212.302799999998</v>
      </c>
      <c r="CR9" s="35">
        <f aca="true" t="shared" si="33" ref="CR9:CR33">$F9*CP$6</f>
        <v>536.6661948</v>
      </c>
      <c r="CS9" s="33"/>
      <c r="CT9" s="51">
        <f>C9*0.06138/100</f>
        <v>2565.6839999999997</v>
      </c>
      <c r="CU9" s="51">
        <f>D9*0.06138/100</f>
        <v>750.0636</v>
      </c>
      <c r="CV9" s="51">
        <f t="shared" si="12"/>
        <v>3315.7475999999997</v>
      </c>
      <c r="CW9" s="35">
        <f aca="true" t="shared" si="34" ref="CW9:CW33">$F9*CU$6</f>
        <v>97.7059116</v>
      </c>
      <c r="CX9" s="33"/>
      <c r="CY9" s="51">
        <f>C9*7.38085/100</f>
        <v>308519.53</v>
      </c>
      <c r="CZ9" s="51">
        <f>D9*7.38085/100</f>
        <v>90193.987</v>
      </c>
      <c r="DA9" s="51">
        <f aca="true" t="shared" si="35" ref="DA9:DA33">CY9+CZ9</f>
        <v>398713.517</v>
      </c>
      <c r="DB9" s="35">
        <f aca="true" t="shared" si="36" ref="DB9:DB33">$F9*CZ$6</f>
        <v>11748.984647</v>
      </c>
      <c r="DC9" s="33"/>
      <c r="DD9" s="33">
        <f>C9*0.13629/100</f>
        <v>5696.922</v>
      </c>
      <c r="DE9" s="33">
        <f>D9*0.13629/100</f>
        <v>1665.4638</v>
      </c>
      <c r="DF9" s="51">
        <f>DD9+DE9</f>
        <v>7362.3858</v>
      </c>
      <c r="DG9" s="35">
        <f aca="true" t="shared" si="37" ref="DG9:DG33">$F9*DE$6</f>
        <v>216.9491478</v>
      </c>
      <c r="DH9" s="33"/>
      <c r="DI9" s="51">
        <f>C9*0.00034/100</f>
        <v>14.212</v>
      </c>
      <c r="DJ9" s="51">
        <f>D9*0.00034/100</f>
        <v>4.1548</v>
      </c>
      <c r="DK9" s="51">
        <f t="shared" si="13"/>
        <v>18.366799999999998</v>
      </c>
      <c r="DL9" s="35">
        <f aca="true" t="shared" si="38" ref="DL9:DL33">$F9*DJ$6</f>
        <v>0.5412188</v>
      </c>
      <c r="DM9" s="33"/>
      <c r="DN9" s="33"/>
      <c r="DO9" s="33"/>
      <c r="DP9" s="51"/>
      <c r="DQ9" s="35">
        <f aca="true" t="shared" si="39" ref="DQ9:DQ33">$F9*DO$6</f>
        <v>0</v>
      </c>
    </row>
    <row r="10" spans="1:121" s="53" customFormat="1" ht="12.75">
      <c r="A10" s="52">
        <v>40452</v>
      </c>
      <c r="C10" s="41"/>
      <c r="D10" s="41">
        <v>1159300</v>
      </c>
      <c r="E10" s="41">
        <f t="shared" si="0"/>
        <v>1159300</v>
      </c>
      <c r="F10" s="35">
        <v>159182</v>
      </c>
      <c r="G10" s="51"/>
      <c r="H10" s="51"/>
      <c r="I10" s="51">
        <v>410537</v>
      </c>
      <c r="J10" s="51">
        <f aca="true" t="shared" si="40" ref="J10:J33">H10+I10</f>
        <v>410537</v>
      </c>
      <c r="K10" s="41">
        <v>56370.246159</v>
      </c>
      <c r="L10" s="51"/>
      <c r="M10" s="51"/>
      <c r="N10" s="41">
        <f t="shared" si="14"/>
        <v>748763.46715</v>
      </c>
      <c r="O10" s="51">
        <f t="shared" si="1"/>
        <v>748763.46715</v>
      </c>
      <c r="P10" s="41">
        <f t="shared" si="14"/>
        <v>102811.753841</v>
      </c>
      <c r="Q10" s="51"/>
      <c r="R10" s="65"/>
      <c r="S10" s="65">
        <f aca="true" t="shared" si="41" ref="S10:S33">D10*10.07133/100</f>
        <v>116756.92868999999</v>
      </c>
      <c r="T10" s="65">
        <f t="shared" si="2"/>
        <v>116756.92868999999</v>
      </c>
      <c r="U10" s="35">
        <f t="shared" si="15"/>
        <v>16031.744520600001</v>
      </c>
      <c r="V10" s="51"/>
      <c r="W10" s="65"/>
      <c r="X10" s="65">
        <f aca="true" t="shared" si="42" ref="X10:X33">D10*5.17405/100</f>
        <v>59982.76165</v>
      </c>
      <c r="Y10" s="65">
        <f t="shared" si="3"/>
        <v>59982.76165</v>
      </c>
      <c r="Z10" s="35">
        <f t="shared" si="16"/>
        <v>8236.156271</v>
      </c>
      <c r="AA10" s="51"/>
      <c r="AB10" s="33"/>
      <c r="AC10" s="33">
        <f aca="true" t="shared" si="43" ref="AC10:AC33">D10*0.03903/100</f>
        <v>452.47479</v>
      </c>
      <c r="AD10" s="33">
        <f>AB10+AC10</f>
        <v>452.47479</v>
      </c>
      <c r="AE10" s="35">
        <f t="shared" si="17"/>
        <v>62.1287346</v>
      </c>
      <c r="AF10" s="51"/>
      <c r="AG10" s="65"/>
      <c r="AH10" s="65">
        <f aca="true" t="shared" si="44" ref="AH10:AH33">D10*2.18978/100</f>
        <v>25386.11954</v>
      </c>
      <c r="AI10" s="65">
        <f t="shared" si="4"/>
        <v>25386.11954</v>
      </c>
      <c r="AJ10" s="35">
        <f t="shared" si="18"/>
        <v>3485.7355995999997</v>
      </c>
      <c r="AK10" s="51"/>
      <c r="AL10" s="65"/>
      <c r="AM10" s="65">
        <f aca="true" t="shared" si="45" ref="AM10:AM33">D10*10.6774/100</f>
        <v>123783.09820000001</v>
      </c>
      <c r="AN10" s="65">
        <f t="shared" si="5"/>
        <v>123783.09820000001</v>
      </c>
      <c r="AO10" s="35">
        <f t="shared" si="19"/>
        <v>16996.498868</v>
      </c>
      <c r="AP10" s="51"/>
      <c r="AQ10" s="65"/>
      <c r="AR10" s="65">
        <f aca="true" t="shared" si="46" ref="AR10:AR33">D10*1.9064/100</f>
        <v>22100.8952</v>
      </c>
      <c r="AS10" s="65">
        <f t="shared" si="6"/>
        <v>22100.8952</v>
      </c>
      <c r="AT10" s="35">
        <f t="shared" si="20"/>
        <v>3034.645648</v>
      </c>
      <c r="AU10" s="51"/>
      <c r="AV10" s="51"/>
      <c r="AW10" s="51">
        <f aca="true" t="shared" si="47" ref="AW10:AW33">D10*0.07818/100</f>
        <v>906.34074</v>
      </c>
      <c r="AX10" s="51">
        <f t="shared" si="7"/>
        <v>906.34074</v>
      </c>
      <c r="AY10" s="35">
        <f t="shared" si="21"/>
        <v>124.4484876</v>
      </c>
      <c r="AZ10" s="51"/>
      <c r="BA10" s="33"/>
      <c r="BB10" s="33">
        <f aca="true" t="shared" si="48" ref="BB10:BB33">D10*1.15902/100</f>
        <v>13436.51886</v>
      </c>
      <c r="BC10" s="33">
        <f aca="true" t="shared" si="49" ref="BC10:BC33">BA10+BB10</f>
        <v>13436.51886</v>
      </c>
      <c r="BD10" s="35">
        <f t="shared" si="22"/>
        <v>1844.9512164</v>
      </c>
      <c r="BE10" s="51"/>
      <c r="BF10" s="51"/>
      <c r="BG10" s="51">
        <f aca="true" t="shared" si="50" ref="BG10:BG33">D10*0.99208/100</f>
        <v>11501.18344</v>
      </c>
      <c r="BH10" s="51">
        <f t="shared" si="8"/>
        <v>11501.18344</v>
      </c>
      <c r="BI10" s="35">
        <f t="shared" si="23"/>
        <v>1579.2127856</v>
      </c>
      <c r="BJ10" s="51"/>
      <c r="BK10" s="51"/>
      <c r="BL10" s="51">
        <f aca="true" t="shared" si="51" ref="BL10:BL33">D10*1.20085/100</f>
        <v>13921.45405</v>
      </c>
      <c r="BM10" s="51">
        <f t="shared" si="9"/>
        <v>13921.45405</v>
      </c>
      <c r="BN10" s="35">
        <f t="shared" si="24"/>
        <v>1911.537047</v>
      </c>
      <c r="BO10" s="51"/>
      <c r="BP10" s="51"/>
      <c r="BQ10" s="51">
        <f aca="true" t="shared" si="52" ref="BQ10:BQ33">D10*0.23385/100</f>
        <v>2711.02305</v>
      </c>
      <c r="BR10" s="51">
        <f t="shared" si="10"/>
        <v>2711.02305</v>
      </c>
      <c r="BS10" s="35">
        <f t="shared" si="25"/>
        <v>372.24710699999997</v>
      </c>
      <c r="BT10" s="51"/>
      <c r="BU10" s="33"/>
      <c r="BV10" s="33">
        <f aca="true" t="shared" si="53" ref="BV10:BV33">D10*0.38124/100</f>
        <v>4419.71532</v>
      </c>
      <c r="BW10" s="33">
        <f aca="true" t="shared" si="54" ref="BW10:BW33">BU10+BV10</f>
        <v>4419.71532</v>
      </c>
      <c r="BX10" s="35">
        <f t="shared" si="26"/>
        <v>606.8654568000001</v>
      </c>
      <c r="BY10" s="51"/>
      <c r="BZ10" s="51"/>
      <c r="CA10" s="51">
        <f aca="true" t="shared" si="55" ref="CA10:CA33">D10*0.92944/100</f>
        <v>10774.997920000002</v>
      </c>
      <c r="CB10" s="51">
        <f t="shared" si="27"/>
        <v>10774.997920000002</v>
      </c>
      <c r="CC10" s="35">
        <f t="shared" si="28"/>
        <v>1479.5011808</v>
      </c>
      <c r="CD10" s="51"/>
      <c r="CE10" s="51"/>
      <c r="CF10" s="51">
        <f aca="true" t="shared" si="56" ref="CF10:CF33">D10*17.82906/100</f>
        <v>206692.29257999998</v>
      </c>
      <c r="CG10" s="51">
        <f t="shared" si="29"/>
        <v>206692.29257999998</v>
      </c>
      <c r="CH10" s="35">
        <f t="shared" si="30"/>
        <v>28380.6542892</v>
      </c>
      <c r="CI10" s="51"/>
      <c r="CJ10" s="51"/>
      <c r="CK10" s="51">
        <f aca="true" t="shared" si="57" ref="CK10:CK33">D10*3.80984/100</f>
        <v>44167.47512</v>
      </c>
      <c r="CL10" s="51">
        <f t="shared" si="11"/>
        <v>44167.47512</v>
      </c>
      <c r="CM10" s="35">
        <f t="shared" si="31"/>
        <v>6064.5795087999995</v>
      </c>
      <c r="CN10" s="51"/>
      <c r="CO10" s="51"/>
      <c r="CP10" s="51">
        <f aca="true" t="shared" si="58" ref="CP10:CP33">D10*0.33714/100</f>
        <v>3908.46402</v>
      </c>
      <c r="CQ10" s="51">
        <f t="shared" si="32"/>
        <v>3908.46402</v>
      </c>
      <c r="CR10" s="35">
        <f t="shared" si="33"/>
        <v>536.6661948</v>
      </c>
      <c r="CS10" s="51"/>
      <c r="CT10" s="51"/>
      <c r="CU10" s="51">
        <f aca="true" t="shared" si="59" ref="CU10:CU33">D10*0.06138/100</f>
        <v>711.57834</v>
      </c>
      <c r="CV10" s="51">
        <f t="shared" si="12"/>
        <v>711.57834</v>
      </c>
      <c r="CW10" s="35">
        <f t="shared" si="34"/>
        <v>97.7059116</v>
      </c>
      <c r="CX10" s="51"/>
      <c r="CY10" s="51"/>
      <c r="CZ10" s="51">
        <f aca="true" t="shared" si="60" ref="CZ10:CZ33">D10*7.38085/100</f>
        <v>85566.19404999999</v>
      </c>
      <c r="DA10" s="51">
        <f t="shared" si="35"/>
        <v>85566.19404999999</v>
      </c>
      <c r="DB10" s="35">
        <f t="shared" si="36"/>
        <v>11748.984647</v>
      </c>
      <c r="DC10" s="51"/>
      <c r="DD10" s="33"/>
      <c r="DE10" s="33">
        <f aca="true" t="shared" si="61" ref="DE10:DE33">D10*0.13629/100</f>
        <v>1580.00997</v>
      </c>
      <c r="DF10" s="51">
        <f aca="true" t="shared" si="62" ref="DF10:DF33">DD10+DE10</f>
        <v>1580.00997</v>
      </c>
      <c r="DG10" s="35">
        <f t="shared" si="37"/>
        <v>216.9491478</v>
      </c>
      <c r="DH10" s="51"/>
      <c r="DI10" s="51"/>
      <c r="DJ10" s="51">
        <f aca="true" t="shared" si="63" ref="DJ10:DJ33">D10*0.00034/100</f>
        <v>3.9416200000000003</v>
      </c>
      <c r="DK10" s="51">
        <f t="shared" si="13"/>
        <v>3.9416200000000003</v>
      </c>
      <c r="DL10" s="35">
        <f t="shared" si="38"/>
        <v>0.5412188</v>
      </c>
      <c r="DM10" s="51"/>
      <c r="DN10" s="33"/>
      <c r="DO10" s="33"/>
      <c r="DP10" s="51"/>
      <c r="DQ10" s="35">
        <f t="shared" si="39"/>
        <v>0</v>
      </c>
    </row>
    <row r="11" spans="1:121" ht="12.75">
      <c r="A11" s="19">
        <v>40634</v>
      </c>
      <c r="C11" s="35">
        <v>3335000</v>
      </c>
      <c r="D11" s="35">
        <v>1159300</v>
      </c>
      <c r="E11" s="35">
        <f t="shared" si="0"/>
        <v>4494300</v>
      </c>
      <c r="F11" s="35">
        <v>159182</v>
      </c>
      <c r="H11" s="51">
        <v>1181005</v>
      </c>
      <c r="I11" s="51">
        <v>410537</v>
      </c>
      <c r="J11" s="51">
        <f t="shared" si="40"/>
        <v>1591542</v>
      </c>
      <c r="K11" s="35">
        <v>56370.246159</v>
      </c>
      <c r="M11" s="51">
        <f aca="true" t="shared" si="64" ref="M11:M33">R11+W11+AB11+AG11+AL11+AQ11+AV11+BA11+BF11+BK11+BP11+BU11+BZ11+CE11+CJ11+CO11+CT11+CY11+DD11+DI11+DN11</f>
        <v>2153994.7924999995</v>
      </c>
      <c r="N11" s="41">
        <f t="shared" si="14"/>
        <v>748763.46715</v>
      </c>
      <c r="O11" s="33">
        <f t="shared" si="1"/>
        <v>2902758.2596499994</v>
      </c>
      <c r="P11" s="41">
        <f t="shared" si="14"/>
        <v>102811.753841</v>
      </c>
      <c r="R11" s="65">
        <f aca="true" t="shared" si="65" ref="R11:R33">C11*10.07133/100</f>
        <v>335878.85549999995</v>
      </c>
      <c r="S11" s="65">
        <f t="shared" si="41"/>
        <v>116756.92868999999</v>
      </c>
      <c r="T11" s="20">
        <f t="shared" si="2"/>
        <v>452635.7841899999</v>
      </c>
      <c r="U11" s="35">
        <f t="shared" si="15"/>
        <v>16031.744520600001</v>
      </c>
      <c r="W11" s="65">
        <f aca="true" t="shared" si="66" ref="W11:W33">C11*5.17405/100</f>
        <v>172554.5675</v>
      </c>
      <c r="X11" s="65">
        <f t="shared" si="42"/>
        <v>59982.76165</v>
      </c>
      <c r="Y11" s="20">
        <f t="shared" si="3"/>
        <v>232537.32915</v>
      </c>
      <c r="Z11" s="35">
        <f t="shared" si="16"/>
        <v>8236.156271</v>
      </c>
      <c r="AB11" s="33">
        <f aca="true" t="shared" si="67" ref="AB11:AB33">C11*0.03903/100</f>
        <v>1301.6505</v>
      </c>
      <c r="AC11" s="33">
        <f t="shared" si="43"/>
        <v>452.47479</v>
      </c>
      <c r="AD11" s="33">
        <f>AB11+AC11</f>
        <v>1754.12529</v>
      </c>
      <c r="AE11" s="35">
        <f t="shared" si="17"/>
        <v>62.1287346</v>
      </c>
      <c r="AG11" s="65">
        <f aca="true" t="shared" si="68" ref="AG11:AG33">C11*2.18978/100</f>
        <v>73029.163</v>
      </c>
      <c r="AH11" s="65">
        <f t="shared" si="44"/>
        <v>25386.11954</v>
      </c>
      <c r="AI11" s="20">
        <f t="shared" si="4"/>
        <v>98415.28254</v>
      </c>
      <c r="AJ11" s="35">
        <f t="shared" si="18"/>
        <v>3485.7355995999997</v>
      </c>
      <c r="AL11" s="65">
        <f aca="true" t="shared" si="69" ref="AL11:AL33">C11*10.6774/100</f>
        <v>356091.29</v>
      </c>
      <c r="AM11" s="65">
        <f t="shared" si="45"/>
        <v>123783.09820000001</v>
      </c>
      <c r="AN11" s="20">
        <f t="shared" si="5"/>
        <v>479874.3882</v>
      </c>
      <c r="AO11" s="35">
        <f t="shared" si="19"/>
        <v>16996.498868</v>
      </c>
      <c r="AP11" s="33"/>
      <c r="AQ11" s="65">
        <f aca="true" t="shared" si="70" ref="AQ11:AQ33">C11*1.9064/100</f>
        <v>63578.44</v>
      </c>
      <c r="AR11" s="65">
        <f t="shared" si="46"/>
        <v>22100.8952</v>
      </c>
      <c r="AS11" s="20">
        <f t="shared" si="6"/>
        <v>85679.3352</v>
      </c>
      <c r="AT11" s="35">
        <f t="shared" si="20"/>
        <v>3034.645648</v>
      </c>
      <c r="AU11" s="33"/>
      <c r="AV11" s="51">
        <f aca="true" t="shared" si="71" ref="AV11:AV33">C11*0.07818/100</f>
        <v>2607.303</v>
      </c>
      <c r="AW11" s="51">
        <f t="shared" si="47"/>
        <v>906.34074</v>
      </c>
      <c r="AX11" s="33">
        <f t="shared" si="7"/>
        <v>3513.64374</v>
      </c>
      <c r="AY11" s="35">
        <f t="shared" si="21"/>
        <v>124.4484876</v>
      </c>
      <c r="AZ11" s="33"/>
      <c r="BA11" s="33">
        <f aca="true" t="shared" si="72" ref="BA11:BA33">C11*1.15902/100</f>
        <v>38653.316999999995</v>
      </c>
      <c r="BB11" s="33">
        <f t="shared" si="48"/>
        <v>13436.51886</v>
      </c>
      <c r="BC11" s="33">
        <f t="shared" si="49"/>
        <v>52089.83585999999</v>
      </c>
      <c r="BD11" s="35">
        <f t="shared" si="22"/>
        <v>1844.9512164</v>
      </c>
      <c r="BE11" s="33"/>
      <c r="BF11" s="51">
        <f aca="true" t="shared" si="73" ref="BF11:BF33">C11*0.99208/100</f>
        <v>33085.867999999995</v>
      </c>
      <c r="BG11" s="51">
        <f t="shared" si="50"/>
        <v>11501.18344</v>
      </c>
      <c r="BH11" s="33">
        <f t="shared" si="8"/>
        <v>44587.051439999996</v>
      </c>
      <c r="BI11" s="35">
        <f t="shared" si="23"/>
        <v>1579.2127856</v>
      </c>
      <c r="BJ11" s="33"/>
      <c r="BK11" s="51">
        <f aca="true" t="shared" si="74" ref="BK11:BK33">C11*1.20085/100</f>
        <v>40048.3475</v>
      </c>
      <c r="BL11" s="51">
        <f t="shared" si="51"/>
        <v>13921.45405</v>
      </c>
      <c r="BM11" s="33">
        <f t="shared" si="9"/>
        <v>53969.801550000004</v>
      </c>
      <c r="BN11" s="35">
        <f t="shared" si="24"/>
        <v>1911.537047</v>
      </c>
      <c r="BO11" s="33"/>
      <c r="BP11" s="51">
        <f aca="true" t="shared" si="75" ref="BP11:BP33">C11*0.23385/100</f>
        <v>7798.8975</v>
      </c>
      <c r="BQ11" s="51">
        <f t="shared" si="52"/>
        <v>2711.02305</v>
      </c>
      <c r="BR11" s="33">
        <f t="shared" si="10"/>
        <v>10509.920549999999</v>
      </c>
      <c r="BS11" s="35">
        <f t="shared" si="25"/>
        <v>372.24710699999997</v>
      </c>
      <c r="BT11" s="33"/>
      <c r="BU11" s="33">
        <f aca="true" t="shared" si="76" ref="BU11:BU33">C11*0.38124/100</f>
        <v>12714.354000000001</v>
      </c>
      <c r="BV11" s="33">
        <f t="shared" si="53"/>
        <v>4419.71532</v>
      </c>
      <c r="BW11" s="33">
        <f t="shared" si="54"/>
        <v>17134.069320000002</v>
      </c>
      <c r="BX11" s="35">
        <f t="shared" si="26"/>
        <v>606.8654568000001</v>
      </c>
      <c r="BY11" s="33"/>
      <c r="BZ11" s="51">
        <f aca="true" t="shared" si="77" ref="BZ11:BZ33">C11*0.92944/100</f>
        <v>30996.824000000004</v>
      </c>
      <c r="CA11" s="51">
        <f t="shared" si="55"/>
        <v>10774.997920000002</v>
      </c>
      <c r="CB11" s="33">
        <f t="shared" si="27"/>
        <v>41771.82192</v>
      </c>
      <c r="CC11" s="35">
        <f t="shared" si="28"/>
        <v>1479.5011808</v>
      </c>
      <c r="CD11" s="33"/>
      <c r="CE11" s="51">
        <f aca="true" t="shared" si="78" ref="CE11:CE33">C11*17.82906/100</f>
        <v>594599.151</v>
      </c>
      <c r="CF11" s="51">
        <f t="shared" si="56"/>
        <v>206692.29257999998</v>
      </c>
      <c r="CG11" s="33">
        <f t="shared" si="29"/>
        <v>801291.44358</v>
      </c>
      <c r="CH11" s="35">
        <f t="shared" si="30"/>
        <v>28380.6542892</v>
      </c>
      <c r="CI11" s="33"/>
      <c r="CJ11" s="51">
        <f aca="true" t="shared" si="79" ref="CJ11:CJ33">C11*3.80984/100</f>
        <v>127058.164</v>
      </c>
      <c r="CK11" s="51">
        <f t="shared" si="57"/>
        <v>44167.47512</v>
      </c>
      <c r="CL11" s="33">
        <f t="shared" si="11"/>
        <v>171225.63912</v>
      </c>
      <c r="CM11" s="35">
        <f t="shared" si="31"/>
        <v>6064.5795087999995</v>
      </c>
      <c r="CN11" s="33"/>
      <c r="CO11" s="51">
        <f aca="true" t="shared" si="80" ref="CO11:CO33">C11*0.33714/100</f>
        <v>11243.618999999999</v>
      </c>
      <c r="CP11" s="51">
        <f t="shared" si="58"/>
        <v>3908.46402</v>
      </c>
      <c r="CQ11" s="33">
        <f t="shared" si="32"/>
        <v>15152.083019999998</v>
      </c>
      <c r="CR11" s="35">
        <f t="shared" si="33"/>
        <v>536.6661948</v>
      </c>
      <c r="CS11" s="33"/>
      <c r="CT11" s="51">
        <f aca="true" t="shared" si="81" ref="CT11:CT33">C11*0.06138/100</f>
        <v>2047.023</v>
      </c>
      <c r="CU11" s="51">
        <f t="shared" si="59"/>
        <v>711.57834</v>
      </c>
      <c r="CV11" s="33">
        <f t="shared" si="12"/>
        <v>2758.60134</v>
      </c>
      <c r="CW11" s="35">
        <f t="shared" si="34"/>
        <v>97.7059116</v>
      </c>
      <c r="CX11" s="33"/>
      <c r="CY11" s="51">
        <f aca="true" t="shared" si="82" ref="CY11:CY33">C11*7.38085/100</f>
        <v>246151.3475</v>
      </c>
      <c r="CZ11" s="51">
        <f t="shared" si="60"/>
        <v>85566.19404999999</v>
      </c>
      <c r="DA11" s="33">
        <f t="shared" si="35"/>
        <v>331717.54154999997</v>
      </c>
      <c r="DB11" s="35">
        <f t="shared" si="36"/>
        <v>11748.984647</v>
      </c>
      <c r="DC11" s="33"/>
      <c r="DD11" s="33">
        <f aca="true" t="shared" si="83" ref="DD11:DD33">C11*0.13629/100</f>
        <v>4545.2715</v>
      </c>
      <c r="DE11" s="33">
        <f t="shared" si="61"/>
        <v>1580.00997</v>
      </c>
      <c r="DF11" s="33">
        <f t="shared" si="62"/>
        <v>6125.28147</v>
      </c>
      <c r="DG11" s="35">
        <f t="shared" si="37"/>
        <v>216.9491478</v>
      </c>
      <c r="DH11" s="33"/>
      <c r="DI11" s="51">
        <f aca="true" t="shared" si="84" ref="DI11:DI33">C11*0.00034/100</f>
        <v>11.339</v>
      </c>
      <c r="DJ11" s="51">
        <f t="shared" si="63"/>
        <v>3.9416200000000003</v>
      </c>
      <c r="DK11" s="33">
        <f t="shared" si="13"/>
        <v>15.28062</v>
      </c>
      <c r="DL11" s="35">
        <f t="shared" si="38"/>
        <v>0.5412188</v>
      </c>
      <c r="DM11" s="33"/>
      <c r="DN11" s="33"/>
      <c r="DO11" s="33"/>
      <c r="DP11" s="33"/>
      <c r="DQ11" s="35">
        <f t="shared" si="39"/>
        <v>0</v>
      </c>
    </row>
    <row r="12" spans="1:121" ht="12.75">
      <c r="A12" s="19">
        <v>40817</v>
      </c>
      <c r="D12" s="35">
        <v>1109275</v>
      </c>
      <c r="E12" s="35">
        <f t="shared" si="0"/>
        <v>1109275</v>
      </c>
      <c r="F12" s="35">
        <v>159182</v>
      </c>
      <c r="H12" s="51"/>
      <c r="I12" s="51">
        <v>392821</v>
      </c>
      <c r="J12" s="51">
        <f t="shared" si="40"/>
        <v>392821</v>
      </c>
      <c r="K12" s="35">
        <v>56370.246159</v>
      </c>
      <c r="M12" s="51"/>
      <c r="N12" s="41">
        <f t="shared" si="14"/>
        <v>716453.5452625001</v>
      </c>
      <c r="O12" s="33">
        <f t="shared" si="1"/>
        <v>716453.5452625001</v>
      </c>
      <c r="P12" s="41">
        <f t="shared" si="14"/>
        <v>102811.753841</v>
      </c>
      <c r="R12" s="65"/>
      <c r="S12" s="65">
        <f t="shared" si="41"/>
        <v>111718.7458575</v>
      </c>
      <c r="T12" s="20">
        <f t="shared" si="2"/>
        <v>111718.7458575</v>
      </c>
      <c r="U12" s="35">
        <f t="shared" si="15"/>
        <v>16031.744520600001</v>
      </c>
      <c r="W12" s="65"/>
      <c r="X12" s="65">
        <f t="shared" si="42"/>
        <v>57394.443137500006</v>
      </c>
      <c r="Y12" s="20">
        <f t="shared" si="3"/>
        <v>57394.443137500006</v>
      </c>
      <c r="Z12" s="35">
        <f t="shared" si="16"/>
        <v>8236.156271</v>
      </c>
      <c r="AC12" s="33">
        <f t="shared" si="43"/>
        <v>432.9500325</v>
      </c>
      <c r="AD12" s="33">
        <f aca="true" t="shared" si="85" ref="AD12:AD33">AB12+AC12</f>
        <v>432.9500325</v>
      </c>
      <c r="AE12" s="35">
        <f t="shared" si="17"/>
        <v>62.1287346</v>
      </c>
      <c r="AG12" s="65"/>
      <c r="AH12" s="65">
        <f t="shared" si="44"/>
        <v>24290.682095</v>
      </c>
      <c r="AI12" s="20">
        <f t="shared" si="4"/>
        <v>24290.682095</v>
      </c>
      <c r="AJ12" s="35">
        <f t="shared" si="18"/>
        <v>3485.7355995999997</v>
      </c>
      <c r="AL12" s="65"/>
      <c r="AM12" s="65">
        <f t="shared" si="45"/>
        <v>118441.72885</v>
      </c>
      <c r="AN12" s="20">
        <f t="shared" si="5"/>
        <v>118441.72885</v>
      </c>
      <c r="AO12" s="35">
        <f t="shared" si="19"/>
        <v>16996.498868</v>
      </c>
      <c r="AP12" s="33"/>
      <c r="AQ12" s="65"/>
      <c r="AR12" s="65">
        <f t="shared" si="46"/>
        <v>21147.218600000004</v>
      </c>
      <c r="AS12" s="20">
        <f t="shared" si="6"/>
        <v>21147.218600000004</v>
      </c>
      <c r="AT12" s="35">
        <f t="shared" si="20"/>
        <v>3034.645648</v>
      </c>
      <c r="AU12" s="33"/>
      <c r="AV12" s="51"/>
      <c r="AW12" s="51">
        <f t="shared" si="47"/>
        <v>867.231195</v>
      </c>
      <c r="AX12" s="33">
        <f t="shared" si="7"/>
        <v>867.231195</v>
      </c>
      <c r="AY12" s="35">
        <f t="shared" si="21"/>
        <v>124.4484876</v>
      </c>
      <c r="AZ12" s="33"/>
      <c r="BA12" s="33"/>
      <c r="BB12" s="33">
        <f t="shared" si="48"/>
        <v>12856.719105</v>
      </c>
      <c r="BC12" s="33">
        <f t="shared" si="49"/>
        <v>12856.719105</v>
      </c>
      <c r="BD12" s="35">
        <f t="shared" si="22"/>
        <v>1844.9512164</v>
      </c>
      <c r="BE12" s="33"/>
      <c r="BF12" s="51"/>
      <c r="BG12" s="51">
        <f t="shared" si="50"/>
        <v>11004.895419999999</v>
      </c>
      <c r="BH12" s="33">
        <f t="shared" si="8"/>
        <v>11004.895419999999</v>
      </c>
      <c r="BI12" s="35">
        <f t="shared" si="23"/>
        <v>1579.2127856</v>
      </c>
      <c r="BJ12" s="33"/>
      <c r="BK12" s="51"/>
      <c r="BL12" s="51">
        <f t="shared" si="51"/>
        <v>13320.7288375</v>
      </c>
      <c r="BM12" s="33">
        <f t="shared" si="9"/>
        <v>13320.7288375</v>
      </c>
      <c r="BN12" s="35">
        <f t="shared" si="24"/>
        <v>1911.537047</v>
      </c>
      <c r="BO12" s="33"/>
      <c r="BP12" s="51"/>
      <c r="BQ12" s="51">
        <f t="shared" si="52"/>
        <v>2594.0395875</v>
      </c>
      <c r="BR12" s="33">
        <f t="shared" si="10"/>
        <v>2594.0395875</v>
      </c>
      <c r="BS12" s="35">
        <f t="shared" si="25"/>
        <v>372.24710699999997</v>
      </c>
      <c r="BT12" s="33"/>
      <c r="BU12" s="33"/>
      <c r="BV12" s="33">
        <f t="shared" si="53"/>
        <v>4229.000010000001</v>
      </c>
      <c r="BW12" s="33">
        <f t="shared" si="54"/>
        <v>4229.000010000001</v>
      </c>
      <c r="BX12" s="35">
        <f t="shared" si="26"/>
        <v>606.8654568000001</v>
      </c>
      <c r="BY12" s="33"/>
      <c r="BZ12" s="51"/>
      <c r="CA12" s="51">
        <f t="shared" si="55"/>
        <v>10310.04556</v>
      </c>
      <c r="CB12" s="33">
        <f t="shared" si="27"/>
        <v>10310.04556</v>
      </c>
      <c r="CC12" s="35">
        <f t="shared" si="28"/>
        <v>1479.5011808</v>
      </c>
      <c r="CD12" s="33"/>
      <c r="CE12" s="51"/>
      <c r="CF12" s="51">
        <f t="shared" si="56"/>
        <v>197773.30531499998</v>
      </c>
      <c r="CG12" s="33">
        <f t="shared" si="29"/>
        <v>197773.30531499998</v>
      </c>
      <c r="CH12" s="35">
        <f t="shared" si="30"/>
        <v>28380.6542892</v>
      </c>
      <c r="CI12" s="33"/>
      <c r="CJ12" s="51"/>
      <c r="CK12" s="51">
        <f t="shared" si="57"/>
        <v>42261.60266</v>
      </c>
      <c r="CL12" s="33">
        <f t="shared" si="11"/>
        <v>42261.60266</v>
      </c>
      <c r="CM12" s="35">
        <f t="shared" si="31"/>
        <v>6064.5795087999995</v>
      </c>
      <c r="CN12" s="33"/>
      <c r="CO12" s="51"/>
      <c r="CP12" s="51">
        <f t="shared" si="58"/>
        <v>3739.8097350000003</v>
      </c>
      <c r="CQ12" s="33">
        <f t="shared" si="32"/>
        <v>3739.8097350000003</v>
      </c>
      <c r="CR12" s="35">
        <f t="shared" si="33"/>
        <v>536.6661948</v>
      </c>
      <c r="CS12" s="33"/>
      <c r="CT12" s="51"/>
      <c r="CU12" s="51">
        <f t="shared" si="59"/>
        <v>680.872995</v>
      </c>
      <c r="CV12" s="33">
        <f t="shared" si="12"/>
        <v>680.872995</v>
      </c>
      <c r="CW12" s="35">
        <f t="shared" si="34"/>
        <v>97.7059116</v>
      </c>
      <c r="CX12" s="33"/>
      <c r="CY12" s="51"/>
      <c r="CZ12" s="51">
        <f t="shared" si="60"/>
        <v>81873.9238375</v>
      </c>
      <c r="DA12" s="33">
        <f t="shared" si="35"/>
        <v>81873.9238375</v>
      </c>
      <c r="DB12" s="35">
        <f t="shared" si="36"/>
        <v>11748.984647</v>
      </c>
      <c r="DC12" s="33"/>
      <c r="DD12" s="33"/>
      <c r="DE12" s="33">
        <f t="shared" si="61"/>
        <v>1511.8308974999998</v>
      </c>
      <c r="DF12" s="33">
        <f t="shared" si="62"/>
        <v>1511.8308974999998</v>
      </c>
      <c r="DG12" s="35">
        <f t="shared" si="37"/>
        <v>216.9491478</v>
      </c>
      <c r="DH12" s="33"/>
      <c r="DI12" s="51"/>
      <c r="DJ12" s="51">
        <f t="shared" si="63"/>
        <v>3.771535</v>
      </c>
      <c r="DK12" s="33">
        <f t="shared" si="13"/>
        <v>3.771535</v>
      </c>
      <c r="DL12" s="35">
        <f t="shared" si="38"/>
        <v>0.5412188</v>
      </c>
      <c r="DM12" s="33"/>
      <c r="DN12" s="33"/>
      <c r="DO12" s="33"/>
      <c r="DP12" s="33"/>
      <c r="DQ12" s="35">
        <f t="shared" si="39"/>
        <v>0</v>
      </c>
    </row>
    <row r="13" spans="1:121" ht="12.75">
      <c r="A13" s="19">
        <v>41000</v>
      </c>
      <c r="C13" s="35">
        <v>3435000</v>
      </c>
      <c r="D13" s="35">
        <v>1109275</v>
      </c>
      <c r="E13" s="35">
        <f t="shared" si="0"/>
        <v>4544275</v>
      </c>
      <c r="F13" s="35">
        <v>159182</v>
      </c>
      <c r="H13" s="51">
        <v>1216418</v>
      </c>
      <c r="I13" s="51">
        <v>392821</v>
      </c>
      <c r="J13" s="51">
        <f t="shared" si="40"/>
        <v>1609239</v>
      </c>
      <c r="K13" s="35">
        <v>56370.246159</v>
      </c>
      <c r="M13" s="51">
        <f t="shared" si="64"/>
        <v>2218582.3425</v>
      </c>
      <c r="N13" s="41">
        <f t="shared" si="14"/>
        <v>716453.5452625001</v>
      </c>
      <c r="O13" s="33">
        <f t="shared" si="1"/>
        <v>2935035.8877625</v>
      </c>
      <c r="P13" s="41">
        <f t="shared" si="14"/>
        <v>102811.753841</v>
      </c>
      <c r="R13" s="65">
        <f t="shared" si="65"/>
        <v>345950.18549999996</v>
      </c>
      <c r="S13" s="65">
        <f t="shared" si="41"/>
        <v>111718.7458575</v>
      </c>
      <c r="T13" s="20">
        <f t="shared" si="2"/>
        <v>457668.93135749997</v>
      </c>
      <c r="U13" s="35">
        <f t="shared" si="15"/>
        <v>16031.744520600001</v>
      </c>
      <c r="W13" s="65">
        <f t="shared" si="66"/>
        <v>177728.6175</v>
      </c>
      <c r="X13" s="65">
        <f t="shared" si="42"/>
        <v>57394.443137500006</v>
      </c>
      <c r="Y13" s="20">
        <f t="shared" si="3"/>
        <v>235123.0606375</v>
      </c>
      <c r="Z13" s="35">
        <f t="shared" si="16"/>
        <v>8236.156271</v>
      </c>
      <c r="AB13" s="33">
        <f t="shared" si="67"/>
        <v>1340.6805000000002</v>
      </c>
      <c r="AC13" s="33">
        <f t="shared" si="43"/>
        <v>432.9500325</v>
      </c>
      <c r="AD13" s="33">
        <f t="shared" si="85"/>
        <v>1773.6305325000003</v>
      </c>
      <c r="AE13" s="35">
        <f t="shared" si="17"/>
        <v>62.1287346</v>
      </c>
      <c r="AG13" s="65">
        <f t="shared" si="68"/>
        <v>75218.943</v>
      </c>
      <c r="AH13" s="65">
        <f t="shared" si="44"/>
        <v>24290.682095</v>
      </c>
      <c r="AI13" s="20">
        <f t="shared" si="4"/>
        <v>99509.625095</v>
      </c>
      <c r="AJ13" s="35">
        <f t="shared" si="18"/>
        <v>3485.7355995999997</v>
      </c>
      <c r="AL13" s="65">
        <f t="shared" si="69"/>
        <v>366768.69</v>
      </c>
      <c r="AM13" s="65">
        <f t="shared" si="45"/>
        <v>118441.72885</v>
      </c>
      <c r="AN13" s="20">
        <f t="shared" si="5"/>
        <v>485210.41885</v>
      </c>
      <c r="AO13" s="35">
        <f t="shared" si="19"/>
        <v>16996.498868</v>
      </c>
      <c r="AP13" s="33"/>
      <c r="AQ13" s="65">
        <f t="shared" si="70"/>
        <v>65484.84</v>
      </c>
      <c r="AR13" s="65">
        <f t="shared" si="46"/>
        <v>21147.218600000004</v>
      </c>
      <c r="AS13" s="20">
        <f t="shared" si="6"/>
        <v>86632.0586</v>
      </c>
      <c r="AT13" s="35">
        <f t="shared" si="20"/>
        <v>3034.645648</v>
      </c>
      <c r="AU13" s="33"/>
      <c r="AV13" s="51">
        <f t="shared" si="71"/>
        <v>2685.4829999999997</v>
      </c>
      <c r="AW13" s="51">
        <f t="shared" si="47"/>
        <v>867.231195</v>
      </c>
      <c r="AX13" s="33">
        <f t="shared" si="7"/>
        <v>3552.7141949999996</v>
      </c>
      <c r="AY13" s="35">
        <f t="shared" si="21"/>
        <v>124.4484876</v>
      </c>
      <c r="AZ13" s="33"/>
      <c r="BA13" s="33">
        <f t="shared" si="72"/>
        <v>39812.337</v>
      </c>
      <c r="BB13" s="33">
        <f t="shared" si="48"/>
        <v>12856.719105</v>
      </c>
      <c r="BC13" s="33">
        <f t="shared" si="49"/>
        <v>52669.056104999996</v>
      </c>
      <c r="BD13" s="35">
        <f t="shared" si="22"/>
        <v>1844.9512164</v>
      </c>
      <c r="BE13" s="33"/>
      <c r="BF13" s="51">
        <f t="shared" si="73"/>
        <v>34077.948</v>
      </c>
      <c r="BG13" s="51">
        <f t="shared" si="50"/>
        <v>11004.895419999999</v>
      </c>
      <c r="BH13" s="33">
        <f t="shared" si="8"/>
        <v>45082.84342</v>
      </c>
      <c r="BI13" s="35">
        <f t="shared" si="23"/>
        <v>1579.2127856</v>
      </c>
      <c r="BJ13" s="33"/>
      <c r="BK13" s="51">
        <f t="shared" si="74"/>
        <v>41249.1975</v>
      </c>
      <c r="BL13" s="51">
        <f t="shared" si="51"/>
        <v>13320.7288375</v>
      </c>
      <c r="BM13" s="33">
        <f t="shared" si="9"/>
        <v>54569.9263375</v>
      </c>
      <c r="BN13" s="35">
        <f t="shared" si="24"/>
        <v>1911.537047</v>
      </c>
      <c r="BO13" s="33"/>
      <c r="BP13" s="51">
        <f t="shared" si="75"/>
        <v>8032.7475</v>
      </c>
      <c r="BQ13" s="51">
        <f t="shared" si="52"/>
        <v>2594.0395875</v>
      </c>
      <c r="BR13" s="33">
        <f t="shared" si="10"/>
        <v>10626.7870875</v>
      </c>
      <c r="BS13" s="35">
        <f t="shared" si="25"/>
        <v>372.24710699999997</v>
      </c>
      <c r="BT13" s="33"/>
      <c r="BU13" s="33">
        <f t="shared" si="76"/>
        <v>13095.594000000001</v>
      </c>
      <c r="BV13" s="33">
        <f t="shared" si="53"/>
        <v>4229.000010000001</v>
      </c>
      <c r="BW13" s="33">
        <f t="shared" si="54"/>
        <v>17324.59401</v>
      </c>
      <c r="BX13" s="35">
        <f t="shared" si="26"/>
        <v>606.8654568000001</v>
      </c>
      <c r="BY13" s="33"/>
      <c r="BZ13" s="51">
        <f t="shared" si="77"/>
        <v>31926.264000000003</v>
      </c>
      <c r="CA13" s="51">
        <f t="shared" si="55"/>
        <v>10310.04556</v>
      </c>
      <c r="CB13" s="33">
        <f t="shared" si="27"/>
        <v>42236.30956</v>
      </c>
      <c r="CC13" s="35">
        <f t="shared" si="28"/>
        <v>1479.5011808</v>
      </c>
      <c r="CD13" s="33"/>
      <c r="CE13" s="51">
        <f t="shared" si="78"/>
        <v>612428.2109999999</v>
      </c>
      <c r="CF13" s="51">
        <f t="shared" si="56"/>
        <v>197773.30531499998</v>
      </c>
      <c r="CG13" s="33">
        <f t="shared" si="29"/>
        <v>810201.5163149999</v>
      </c>
      <c r="CH13" s="35">
        <f t="shared" si="30"/>
        <v>28380.6542892</v>
      </c>
      <c r="CI13" s="33"/>
      <c r="CJ13" s="51">
        <f t="shared" si="79"/>
        <v>130868.004</v>
      </c>
      <c r="CK13" s="51">
        <f t="shared" si="57"/>
        <v>42261.60266</v>
      </c>
      <c r="CL13" s="33">
        <f t="shared" si="11"/>
        <v>173129.60666</v>
      </c>
      <c r="CM13" s="35">
        <f t="shared" si="31"/>
        <v>6064.5795087999995</v>
      </c>
      <c r="CN13" s="33"/>
      <c r="CO13" s="51">
        <f t="shared" si="80"/>
        <v>11580.758999999998</v>
      </c>
      <c r="CP13" s="51">
        <f t="shared" si="58"/>
        <v>3739.8097350000003</v>
      </c>
      <c r="CQ13" s="33">
        <f t="shared" si="32"/>
        <v>15320.568734999999</v>
      </c>
      <c r="CR13" s="35">
        <f t="shared" si="33"/>
        <v>536.6661948</v>
      </c>
      <c r="CS13" s="33"/>
      <c r="CT13" s="51">
        <f t="shared" si="81"/>
        <v>2108.403</v>
      </c>
      <c r="CU13" s="51">
        <f t="shared" si="59"/>
        <v>680.872995</v>
      </c>
      <c r="CV13" s="33">
        <f t="shared" si="12"/>
        <v>2789.275995</v>
      </c>
      <c r="CW13" s="35">
        <f t="shared" si="34"/>
        <v>97.7059116</v>
      </c>
      <c r="CX13" s="33"/>
      <c r="CY13" s="51">
        <f t="shared" si="82"/>
        <v>253532.1975</v>
      </c>
      <c r="CZ13" s="51">
        <f t="shared" si="60"/>
        <v>81873.9238375</v>
      </c>
      <c r="DA13" s="33">
        <f t="shared" si="35"/>
        <v>335406.1213375</v>
      </c>
      <c r="DB13" s="35">
        <f t="shared" si="36"/>
        <v>11748.984647</v>
      </c>
      <c r="DC13" s="33"/>
      <c r="DD13" s="33">
        <f t="shared" si="83"/>
        <v>4681.5615</v>
      </c>
      <c r="DE13" s="33">
        <f t="shared" si="61"/>
        <v>1511.8308974999998</v>
      </c>
      <c r="DF13" s="33">
        <f t="shared" si="62"/>
        <v>6193.3923975</v>
      </c>
      <c r="DG13" s="35">
        <f t="shared" si="37"/>
        <v>216.9491478</v>
      </c>
      <c r="DH13" s="33"/>
      <c r="DI13" s="51">
        <f t="shared" si="84"/>
        <v>11.679</v>
      </c>
      <c r="DJ13" s="51">
        <f t="shared" si="63"/>
        <v>3.771535</v>
      </c>
      <c r="DK13" s="33">
        <f t="shared" si="13"/>
        <v>15.450535</v>
      </c>
      <c r="DL13" s="35">
        <f t="shared" si="38"/>
        <v>0.5412188</v>
      </c>
      <c r="DM13" s="33"/>
      <c r="DN13" s="33"/>
      <c r="DO13" s="33"/>
      <c r="DP13" s="33"/>
      <c r="DQ13" s="35">
        <f t="shared" si="39"/>
        <v>0</v>
      </c>
    </row>
    <row r="14" spans="1:121" ht="12.75">
      <c r="A14" s="19">
        <v>41183</v>
      </c>
      <c r="D14" s="35">
        <v>1040575</v>
      </c>
      <c r="E14" s="35">
        <f t="shared" si="0"/>
        <v>1040575</v>
      </c>
      <c r="F14" s="35">
        <v>159182</v>
      </c>
      <c r="H14" s="51"/>
      <c r="I14" s="51">
        <v>368493</v>
      </c>
      <c r="J14" s="51">
        <f t="shared" si="40"/>
        <v>368493</v>
      </c>
      <c r="K14" s="35">
        <v>56370.246159</v>
      </c>
      <c r="M14" s="51"/>
      <c r="N14" s="41">
        <f t="shared" si="14"/>
        <v>672081.8984124999</v>
      </c>
      <c r="O14" s="33">
        <f t="shared" si="1"/>
        <v>672081.8984124999</v>
      </c>
      <c r="P14" s="41">
        <f t="shared" si="14"/>
        <v>102811.753841</v>
      </c>
      <c r="R14" s="65"/>
      <c r="S14" s="65">
        <f t="shared" si="41"/>
        <v>104799.74214749999</v>
      </c>
      <c r="T14" s="20">
        <f t="shared" si="2"/>
        <v>104799.74214749999</v>
      </c>
      <c r="U14" s="35">
        <f t="shared" si="15"/>
        <v>16031.744520600001</v>
      </c>
      <c r="W14" s="65"/>
      <c r="X14" s="65">
        <f t="shared" si="42"/>
        <v>53839.870787500004</v>
      </c>
      <c r="Y14" s="20">
        <f t="shared" si="3"/>
        <v>53839.870787500004</v>
      </c>
      <c r="Z14" s="35">
        <f t="shared" si="16"/>
        <v>8236.156271</v>
      </c>
      <c r="AC14" s="33">
        <f t="shared" si="43"/>
        <v>406.13642250000004</v>
      </c>
      <c r="AD14" s="33">
        <f t="shared" si="85"/>
        <v>406.13642250000004</v>
      </c>
      <c r="AE14" s="35">
        <f t="shared" si="17"/>
        <v>62.1287346</v>
      </c>
      <c r="AG14" s="65"/>
      <c r="AH14" s="65">
        <f t="shared" si="44"/>
        <v>22786.303235</v>
      </c>
      <c r="AI14" s="20">
        <f t="shared" si="4"/>
        <v>22786.303235</v>
      </c>
      <c r="AJ14" s="35">
        <f t="shared" si="18"/>
        <v>3485.7355995999997</v>
      </c>
      <c r="AL14" s="65"/>
      <c r="AM14" s="65">
        <f t="shared" si="45"/>
        <v>111106.35505000001</v>
      </c>
      <c r="AN14" s="20">
        <f t="shared" si="5"/>
        <v>111106.35505000001</v>
      </c>
      <c r="AO14" s="35">
        <f t="shared" si="19"/>
        <v>16996.498868</v>
      </c>
      <c r="AP14" s="33"/>
      <c r="AQ14" s="65"/>
      <c r="AR14" s="65">
        <f t="shared" si="46"/>
        <v>19837.521800000002</v>
      </c>
      <c r="AS14" s="20">
        <f t="shared" si="6"/>
        <v>19837.521800000002</v>
      </c>
      <c r="AT14" s="35">
        <f t="shared" si="20"/>
        <v>3034.645648</v>
      </c>
      <c r="AU14" s="33"/>
      <c r="AV14" s="51"/>
      <c r="AW14" s="51">
        <f t="shared" si="47"/>
        <v>813.521535</v>
      </c>
      <c r="AX14" s="33">
        <f t="shared" si="7"/>
        <v>813.521535</v>
      </c>
      <c r="AY14" s="35">
        <f t="shared" si="21"/>
        <v>124.4484876</v>
      </c>
      <c r="AZ14" s="33"/>
      <c r="BA14" s="33"/>
      <c r="BB14" s="33">
        <f t="shared" si="48"/>
        <v>12060.472365</v>
      </c>
      <c r="BC14" s="33">
        <f t="shared" si="49"/>
        <v>12060.472365</v>
      </c>
      <c r="BD14" s="35">
        <f t="shared" si="22"/>
        <v>1844.9512164</v>
      </c>
      <c r="BE14" s="33"/>
      <c r="BF14" s="51"/>
      <c r="BG14" s="51">
        <f t="shared" si="50"/>
        <v>10323.336459999999</v>
      </c>
      <c r="BH14" s="33">
        <f t="shared" si="8"/>
        <v>10323.336459999999</v>
      </c>
      <c r="BI14" s="35">
        <f t="shared" si="23"/>
        <v>1579.2127856</v>
      </c>
      <c r="BJ14" s="33"/>
      <c r="BK14" s="51"/>
      <c r="BL14" s="51">
        <f t="shared" si="51"/>
        <v>12495.744887500001</v>
      </c>
      <c r="BM14" s="33">
        <f t="shared" si="9"/>
        <v>12495.744887500001</v>
      </c>
      <c r="BN14" s="35">
        <f t="shared" si="24"/>
        <v>1911.537047</v>
      </c>
      <c r="BO14" s="33"/>
      <c r="BP14" s="51"/>
      <c r="BQ14" s="51">
        <f t="shared" si="52"/>
        <v>2433.3846375</v>
      </c>
      <c r="BR14" s="33">
        <f t="shared" si="10"/>
        <v>2433.3846375</v>
      </c>
      <c r="BS14" s="35">
        <f t="shared" si="25"/>
        <v>372.24710699999997</v>
      </c>
      <c r="BT14" s="33"/>
      <c r="BU14" s="33"/>
      <c r="BV14" s="33">
        <f t="shared" si="53"/>
        <v>3967.08813</v>
      </c>
      <c r="BW14" s="33">
        <f t="shared" si="54"/>
        <v>3967.08813</v>
      </c>
      <c r="BX14" s="35">
        <f t="shared" si="26"/>
        <v>606.8654568000001</v>
      </c>
      <c r="BY14" s="33"/>
      <c r="BZ14" s="51"/>
      <c r="CA14" s="51">
        <f t="shared" si="55"/>
        <v>9671.52028</v>
      </c>
      <c r="CB14" s="33">
        <f t="shared" si="27"/>
        <v>9671.52028</v>
      </c>
      <c r="CC14" s="35">
        <f t="shared" si="28"/>
        <v>1479.5011808</v>
      </c>
      <c r="CD14" s="33"/>
      <c r="CE14" s="51"/>
      <c r="CF14" s="51">
        <f t="shared" si="56"/>
        <v>185524.74109499998</v>
      </c>
      <c r="CG14" s="33">
        <f t="shared" si="29"/>
        <v>185524.74109499998</v>
      </c>
      <c r="CH14" s="35">
        <f t="shared" si="30"/>
        <v>28380.6542892</v>
      </c>
      <c r="CI14" s="33"/>
      <c r="CJ14" s="51"/>
      <c r="CK14" s="51">
        <f t="shared" si="57"/>
        <v>39644.24258</v>
      </c>
      <c r="CL14" s="33">
        <f t="shared" si="11"/>
        <v>39644.24258</v>
      </c>
      <c r="CM14" s="35">
        <f t="shared" si="31"/>
        <v>6064.5795087999995</v>
      </c>
      <c r="CN14" s="33"/>
      <c r="CO14" s="51"/>
      <c r="CP14" s="51">
        <f t="shared" si="58"/>
        <v>3508.194555</v>
      </c>
      <c r="CQ14" s="33">
        <f t="shared" si="32"/>
        <v>3508.194555</v>
      </c>
      <c r="CR14" s="35">
        <f t="shared" si="33"/>
        <v>536.6661948</v>
      </c>
      <c r="CS14" s="33"/>
      <c r="CT14" s="51"/>
      <c r="CU14" s="51">
        <f t="shared" si="59"/>
        <v>638.704935</v>
      </c>
      <c r="CV14" s="33">
        <f t="shared" si="12"/>
        <v>638.704935</v>
      </c>
      <c r="CW14" s="35">
        <f t="shared" si="34"/>
        <v>97.7059116</v>
      </c>
      <c r="CX14" s="33"/>
      <c r="CY14" s="51"/>
      <c r="CZ14" s="51">
        <f t="shared" si="60"/>
        <v>76803.2798875</v>
      </c>
      <c r="DA14" s="33">
        <f t="shared" si="35"/>
        <v>76803.2798875</v>
      </c>
      <c r="DB14" s="35">
        <f t="shared" si="36"/>
        <v>11748.984647</v>
      </c>
      <c r="DC14" s="33"/>
      <c r="DD14" s="33"/>
      <c r="DE14" s="33">
        <f t="shared" si="61"/>
        <v>1418.1996675</v>
      </c>
      <c r="DF14" s="33">
        <f t="shared" si="62"/>
        <v>1418.1996675</v>
      </c>
      <c r="DG14" s="35">
        <f t="shared" si="37"/>
        <v>216.9491478</v>
      </c>
      <c r="DH14" s="33"/>
      <c r="DI14" s="51"/>
      <c r="DJ14" s="51">
        <f t="shared" si="63"/>
        <v>3.537955</v>
      </c>
      <c r="DK14" s="33">
        <f t="shared" si="13"/>
        <v>3.537955</v>
      </c>
      <c r="DL14" s="35">
        <f t="shared" si="38"/>
        <v>0.5412188</v>
      </c>
      <c r="DM14" s="33"/>
      <c r="DN14" s="33"/>
      <c r="DO14" s="33"/>
      <c r="DP14" s="33"/>
      <c r="DQ14" s="35">
        <f t="shared" si="39"/>
        <v>0</v>
      </c>
    </row>
    <row r="15" spans="1:121" ht="12.75">
      <c r="A15" s="19">
        <v>41365</v>
      </c>
      <c r="B15" t="s">
        <v>32</v>
      </c>
      <c r="C15" s="35">
        <v>3570000</v>
      </c>
      <c r="D15" s="35">
        <v>1040575</v>
      </c>
      <c r="E15" s="35">
        <f t="shared" si="0"/>
        <v>4610575</v>
      </c>
      <c r="F15" s="35">
        <v>159182</v>
      </c>
      <c r="H15" s="51">
        <v>1264224</v>
      </c>
      <c r="I15" s="51">
        <v>368493</v>
      </c>
      <c r="J15" s="51">
        <f t="shared" si="40"/>
        <v>1632717</v>
      </c>
      <c r="K15" s="35">
        <v>56370.246159</v>
      </c>
      <c r="M15" s="51">
        <f t="shared" si="64"/>
        <v>2305775.534999999</v>
      </c>
      <c r="N15" s="41">
        <f t="shared" si="14"/>
        <v>672081.8984124999</v>
      </c>
      <c r="O15" s="33">
        <f t="shared" si="1"/>
        <v>2977857.4334124993</v>
      </c>
      <c r="P15" s="41">
        <f t="shared" si="14"/>
        <v>102811.753841</v>
      </c>
      <c r="R15" s="65">
        <f t="shared" si="65"/>
        <v>359546.481</v>
      </c>
      <c r="S15" s="65">
        <f t="shared" si="41"/>
        <v>104799.74214749999</v>
      </c>
      <c r="T15" s="20">
        <f t="shared" si="2"/>
        <v>464346.2231475</v>
      </c>
      <c r="U15" s="35">
        <f t="shared" si="15"/>
        <v>16031.744520600001</v>
      </c>
      <c r="W15" s="65">
        <f t="shared" si="66"/>
        <v>184713.585</v>
      </c>
      <c r="X15" s="65">
        <f t="shared" si="42"/>
        <v>53839.870787500004</v>
      </c>
      <c r="Y15" s="20">
        <f t="shared" si="3"/>
        <v>238553.4557875</v>
      </c>
      <c r="Z15" s="35">
        <f t="shared" si="16"/>
        <v>8236.156271</v>
      </c>
      <c r="AB15" s="33">
        <f t="shared" si="67"/>
        <v>1393.371</v>
      </c>
      <c r="AC15" s="33">
        <f t="shared" si="43"/>
        <v>406.13642250000004</v>
      </c>
      <c r="AD15" s="33">
        <f t="shared" si="85"/>
        <v>1799.5074225</v>
      </c>
      <c r="AE15" s="35">
        <f t="shared" si="17"/>
        <v>62.1287346</v>
      </c>
      <c r="AG15" s="65">
        <f t="shared" si="68"/>
        <v>78175.146</v>
      </c>
      <c r="AH15" s="65">
        <f t="shared" si="44"/>
        <v>22786.303235</v>
      </c>
      <c r="AI15" s="20">
        <f t="shared" si="4"/>
        <v>100961.449235</v>
      </c>
      <c r="AJ15" s="35">
        <f t="shared" si="18"/>
        <v>3485.7355995999997</v>
      </c>
      <c r="AL15" s="65">
        <f t="shared" si="69"/>
        <v>381183.18</v>
      </c>
      <c r="AM15" s="65">
        <f t="shared" si="45"/>
        <v>111106.35505000001</v>
      </c>
      <c r="AN15" s="20">
        <f t="shared" si="5"/>
        <v>492289.53505</v>
      </c>
      <c r="AO15" s="35">
        <f t="shared" si="19"/>
        <v>16996.498868</v>
      </c>
      <c r="AP15" s="33"/>
      <c r="AQ15" s="65">
        <f t="shared" si="70"/>
        <v>68058.48</v>
      </c>
      <c r="AR15" s="65">
        <f t="shared" si="46"/>
        <v>19837.521800000002</v>
      </c>
      <c r="AS15" s="20">
        <f t="shared" si="6"/>
        <v>87896.0018</v>
      </c>
      <c r="AT15" s="35">
        <f t="shared" si="20"/>
        <v>3034.645648</v>
      </c>
      <c r="AU15" s="33"/>
      <c r="AV15" s="51">
        <f t="shared" si="71"/>
        <v>2791.026</v>
      </c>
      <c r="AW15" s="51">
        <f t="shared" si="47"/>
        <v>813.521535</v>
      </c>
      <c r="AX15" s="33">
        <f t="shared" si="7"/>
        <v>3604.5475349999997</v>
      </c>
      <c r="AY15" s="35">
        <f t="shared" si="21"/>
        <v>124.4484876</v>
      </c>
      <c r="AZ15" s="33"/>
      <c r="BA15" s="33">
        <f t="shared" si="72"/>
        <v>41377.013999999996</v>
      </c>
      <c r="BB15" s="33">
        <f t="shared" si="48"/>
        <v>12060.472365</v>
      </c>
      <c r="BC15" s="33">
        <f t="shared" si="49"/>
        <v>53437.486365</v>
      </c>
      <c r="BD15" s="35">
        <f t="shared" si="22"/>
        <v>1844.9512164</v>
      </c>
      <c r="BE15" s="33"/>
      <c r="BF15" s="51">
        <f t="shared" si="73"/>
        <v>35417.256</v>
      </c>
      <c r="BG15" s="51">
        <f t="shared" si="50"/>
        <v>10323.336459999999</v>
      </c>
      <c r="BH15" s="33">
        <f t="shared" si="8"/>
        <v>45740.59246</v>
      </c>
      <c r="BI15" s="35">
        <f t="shared" si="23"/>
        <v>1579.2127856</v>
      </c>
      <c r="BJ15" s="33"/>
      <c r="BK15" s="51">
        <f t="shared" si="74"/>
        <v>42870.345</v>
      </c>
      <c r="BL15" s="51">
        <f t="shared" si="51"/>
        <v>12495.744887500001</v>
      </c>
      <c r="BM15" s="33">
        <f t="shared" si="9"/>
        <v>55366.0898875</v>
      </c>
      <c r="BN15" s="35">
        <f t="shared" si="24"/>
        <v>1911.537047</v>
      </c>
      <c r="BO15" s="33"/>
      <c r="BP15" s="51">
        <f t="shared" si="75"/>
        <v>8348.445</v>
      </c>
      <c r="BQ15" s="51">
        <f t="shared" si="52"/>
        <v>2433.3846375</v>
      </c>
      <c r="BR15" s="33">
        <f t="shared" si="10"/>
        <v>10781.829637499999</v>
      </c>
      <c r="BS15" s="35">
        <f t="shared" si="25"/>
        <v>372.24710699999997</v>
      </c>
      <c r="BT15" s="33"/>
      <c r="BU15" s="33">
        <f t="shared" si="76"/>
        <v>13610.268</v>
      </c>
      <c r="BV15" s="33">
        <f t="shared" si="53"/>
        <v>3967.08813</v>
      </c>
      <c r="BW15" s="33">
        <f t="shared" si="54"/>
        <v>17577.35613</v>
      </c>
      <c r="BX15" s="35">
        <f t="shared" si="26"/>
        <v>606.8654568000001</v>
      </c>
      <c r="BY15" s="33"/>
      <c r="BZ15" s="51">
        <f t="shared" si="77"/>
        <v>33181.008</v>
      </c>
      <c r="CA15" s="51">
        <f t="shared" si="55"/>
        <v>9671.52028</v>
      </c>
      <c r="CB15" s="33">
        <f t="shared" si="27"/>
        <v>42852.52828</v>
      </c>
      <c r="CC15" s="35">
        <f t="shared" si="28"/>
        <v>1479.5011808</v>
      </c>
      <c r="CD15" s="33"/>
      <c r="CE15" s="51">
        <f t="shared" si="78"/>
        <v>636497.4419999999</v>
      </c>
      <c r="CF15" s="51">
        <f t="shared" si="56"/>
        <v>185524.74109499998</v>
      </c>
      <c r="CG15" s="33">
        <f t="shared" si="29"/>
        <v>822022.1830949999</v>
      </c>
      <c r="CH15" s="35">
        <f t="shared" si="30"/>
        <v>28380.6542892</v>
      </c>
      <c r="CI15" s="33"/>
      <c r="CJ15" s="51">
        <f t="shared" si="79"/>
        <v>136011.288</v>
      </c>
      <c r="CK15" s="51">
        <f t="shared" si="57"/>
        <v>39644.24258</v>
      </c>
      <c r="CL15" s="33">
        <f t="shared" si="11"/>
        <v>175655.53058</v>
      </c>
      <c r="CM15" s="35">
        <f t="shared" si="31"/>
        <v>6064.5795087999995</v>
      </c>
      <c r="CN15" s="33"/>
      <c r="CO15" s="51">
        <f t="shared" si="80"/>
        <v>12035.898000000001</v>
      </c>
      <c r="CP15" s="51">
        <f t="shared" si="58"/>
        <v>3508.194555</v>
      </c>
      <c r="CQ15" s="33">
        <f t="shared" si="32"/>
        <v>15544.092555000001</v>
      </c>
      <c r="CR15" s="35">
        <f t="shared" si="33"/>
        <v>536.6661948</v>
      </c>
      <c r="CS15" s="33"/>
      <c r="CT15" s="51">
        <f t="shared" si="81"/>
        <v>2191.2659999999996</v>
      </c>
      <c r="CU15" s="51">
        <f t="shared" si="59"/>
        <v>638.704935</v>
      </c>
      <c r="CV15" s="33">
        <f t="shared" si="12"/>
        <v>2829.9709349999994</v>
      </c>
      <c r="CW15" s="35">
        <f t="shared" si="34"/>
        <v>97.7059116</v>
      </c>
      <c r="CX15" s="33"/>
      <c r="CY15" s="51">
        <f t="shared" si="82"/>
        <v>263496.345</v>
      </c>
      <c r="CZ15" s="51">
        <f t="shared" si="60"/>
        <v>76803.2798875</v>
      </c>
      <c r="DA15" s="33">
        <f t="shared" si="35"/>
        <v>340299.62488749996</v>
      </c>
      <c r="DB15" s="35">
        <f t="shared" si="36"/>
        <v>11748.984647</v>
      </c>
      <c r="DC15" s="33"/>
      <c r="DD15" s="33">
        <f t="shared" si="83"/>
        <v>4865.553</v>
      </c>
      <c r="DE15" s="33">
        <f t="shared" si="61"/>
        <v>1418.1996675</v>
      </c>
      <c r="DF15" s="33">
        <f t="shared" si="62"/>
        <v>6283.7526675</v>
      </c>
      <c r="DG15" s="35">
        <f t="shared" si="37"/>
        <v>216.9491478</v>
      </c>
      <c r="DH15" s="33"/>
      <c r="DI15" s="51">
        <f t="shared" si="84"/>
        <v>12.138000000000002</v>
      </c>
      <c r="DJ15" s="51">
        <f t="shared" si="63"/>
        <v>3.537955</v>
      </c>
      <c r="DK15" s="33">
        <f t="shared" si="13"/>
        <v>15.675955000000002</v>
      </c>
      <c r="DL15" s="35">
        <f t="shared" si="38"/>
        <v>0.5412188</v>
      </c>
      <c r="DM15" s="33"/>
      <c r="DN15" s="33"/>
      <c r="DO15" s="33"/>
      <c r="DP15" s="33"/>
      <c r="DQ15" s="35">
        <f t="shared" si="39"/>
        <v>0</v>
      </c>
    </row>
    <row r="16" spans="1:121" ht="12.75">
      <c r="A16" s="19">
        <v>41548</v>
      </c>
      <c r="D16" s="35">
        <v>951325</v>
      </c>
      <c r="E16" s="35">
        <f t="shared" si="0"/>
        <v>951325</v>
      </c>
      <c r="F16" s="35">
        <v>159182</v>
      </c>
      <c r="H16" s="51"/>
      <c r="I16" s="51">
        <v>336887</v>
      </c>
      <c r="J16" s="51">
        <f t="shared" si="40"/>
        <v>336887</v>
      </c>
      <c r="K16" s="35">
        <v>56370.246159</v>
      </c>
      <c r="M16" s="51"/>
      <c r="N16" s="41">
        <f t="shared" si="14"/>
        <v>614437.5100375</v>
      </c>
      <c r="O16" s="33">
        <f t="shared" si="1"/>
        <v>614437.5100375</v>
      </c>
      <c r="P16" s="41">
        <f t="shared" si="14"/>
        <v>102811.753841</v>
      </c>
      <c r="R16" s="65"/>
      <c r="S16" s="65">
        <f t="shared" si="41"/>
        <v>95811.0801225</v>
      </c>
      <c r="T16" s="20">
        <f t="shared" si="2"/>
        <v>95811.0801225</v>
      </c>
      <c r="U16" s="35">
        <f t="shared" si="15"/>
        <v>16031.744520600001</v>
      </c>
      <c r="W16" s="65"/>
      <c r="X16" s="65">
        <f t="shared" si="42"/>
        <v>49222.0311625</v>
      </c>
      <c r="Y16" s="20">
        <f t="shared" si="3"/>
        <v>49222.0311625</v>
      </c>
      <c r="Z16" s="35">
        <f t="shared" si="16"/>
        <v>8236.156271</v>
      </c>
      <c r="AC16" s="33">
        <f t="shared" si="43"/>
        <v>371.3021475</v>
      </c>
      <c r="AD16" s="33">
        <f t="shared" si="85"/>
        <v>371.3021475</v>
      </c>
      <c r="AE16" s="35">
        <f t="shared" si="17"/>
        <v>62.1287346</v>
      </c>
      <c r="AG16" s="65"/>
      <c r="AH16" s="65">
        <f t="shared" si="44"/>
        <v>20831.924585</v>
      </c>
      <c r="AI16" s="20">
        <f t="shared" si="4"/>
        <v>20831.924585</v>
      </c>
      <c r="AJ16" s="35">
        <f t="shared" si="18"/>
        <v>3485.7355995999997</v>
      </c>
      <c r="AL16" s="65"/>
      <c r="AM16" s="65">
        <f t="shared" si="45"/>
        <v>101576.77554999999</v>
      </c>
      <c r="AN16" s="20">
        <f t="shared" si="5"/>
        <v>101576.77554999999</v>
      </c>
      <c r="AO16" s="35">
        <f t="shared" si="19"/>
        <v>16996.498868</v>
      </c>
      <c r="AP16" s="33"/>
      <c r="AQ16" s="65"/>
      <c r="AR16" s="65">
        <f t="shared" si="46"/>
        <v>18136.0598</v>
      </c>
      <c r="AS16" s="20">
        <f t="shared" si="6"/>
        <v>18136.0598</v>
      </c>
      <c r="AT16" s="35">
        <f t="shared" si="20"/>
        <v>3034.645648</v>
      </c>
      <c r="AU16" s="33"/>
      <c r="AV16" s="51"/>
      <c r="AW16" s="51">
        <f t="shared" si="47"/>
        <v>743.7458849999999</v>
      </c>
      <c r="AX16" s="33">
        <f t="shared" si="7"/>
        <v>743.7458849999999</v>
      </c>
      <c r="AY16" s="35">
        <f t="shared" si="21"/>
        <v>124.4484876</v>
      </c>
      <c r="AZ16" s="33"/>
      <c r="BA16" s="33"/>
      <c r="BB16" s="33">
        <f t="shared" si="48"/>
        <v>11026.047015</v>
      </c>
      <c r="BC16" s="33">
        <f t="shared" si="49"/>
        <v>11026.047015</v>
      </c>
      <c r="BD16" s="35">
        <f t="shared" si="22"/>
        <v>1844.9512164</v>
      </c>
      <c r="BE16" s="33"/>
      <c r="BF16" s="51"/>
      <c r="BG16" s="51">
        <f t="shared" si="50"/>
        <v>9437.90506</v>
      </c>
      <c r="BH16" s="33">
        <f t="shared" si="8"/>
        <v>9437.90506</v>
      </c>
      <c r="BI16" s="35">
        <f t="shared" si="23"/>
        <v>1579.2127856</v>
      </c>
      <c r="BJ16" s="33"/>
      <c r="BK16" s="51"/>
      <c r="BL16" s="51">
        <f t="shared" si="51"/>
        <v>11423.9862625</v>
      </c>
      <c r="BM16" s="33">
        <f t="shared" si="9"/>
        <v>11423.9862625</v>
      </c>
      <c r="BN16" s="35">
        <f t="shared" si="24"/>
        <v>1911.537047</v>
      </c>
      <c r="BO16" s="33"/>
      <c r="BP16" s="51"/>
      <c r="BQ16" s="51">
        <f t="shared" si="52"/>
        <v>2224.6735125</v>
      </c>
      <c r="BR16" s="33">
        <f t="shared" si="10"/>
        <v>2224.6735125</v>
      </c>
      <c r="BS16" s="35">
        <f t="shared" si="25"/>
        <v>372.24710699999997</v>
      </c>
      <c r="BT16" s="33"/>
      <c r="BU16" s="33"/>
      <c r="BV16" s="33">
        <f t="shared" si="53"/>
        <v>3626.83143</v>
      </c>
      <c r="BW16" s="33">
        <f t="shared" si="54"/>
        <v>3626.83143</v>
      </c>
      <c r="BX16" s="35">
        <f t="shared" si="26"/>
        <v>606.8654568000001</v>
      </c>
      <c r="BY16" s="33"/>
      <c r="BZ16" s="51"/>
      <c r="CA16" s="51">
        <f t="shared" si="55"/>
        <v>8841.99508</v>
      </c>
      <c r="CB16" s="33">
        <f t="shared" si="27"/>
        <v>8841.99508</v>
      </c>
      <c r="CC16" s="35">
        <f t="shared" si="28"/>
        <v>1479.5011808</v>
      </c>
      <c r="CD16" s="33"/>
      <c r="CE16" s="51"/>
      <c r="CF16" s="51">
        <f t="shared" si="56"/>
        <v>169612.305045</v>
      </c>
      <c r="CG16" s="33">
        <f t="shared" si="29"/>
        <v>169612.305045</v>
      </c>
      <c r="CH16" s="35">
        <f t="shared" si="30"/>
        <v>28380.6542892</v>
      </c>
      <c r="CI16" s="33"/>
      <c r="CJ16" s="51"/>
      <c r="CK16" s="51">
        <f t="shared" si="57"/>
        <v>36243.96038</v>
      </c>
      <c r="CL16" s="33">
        <f t="shared" si="11"/>
        <v>36243.96038</v>
      </c>
      <c r="CM16" s="35">
        <f t="shared" si="31"/>
        <v>6064.5795087999995</v>
      </c>
      <c r="CN16" s="33"/>
      <c r="CO16" s="51"/>
      <c r="CP16" s="51">
        <f t="shared" si="58"/>
        <v>3207.2971049999996</v>
      </c>
      <c r="CQ16" s="33">
        <f t="shared" si="32"/>
        <v>3207.2971049999996</v>
      </c>
      <c r="CR16" s="35">
        <f t="shared" si="33"/>
        <v>536.6661948</v>
      </c>
      <c r="CS16" s="33"/>
      <c r="CT16" s="51"/>
      <c r="CU16" s="51">
        <f t="shared" si="59"/>
        <v>583.923285</v>
      </c>
      <c r="CV16" s="33">
        <f t="shared" si="12"/>
        <v>583.923285</v>
      </c>
      <c r="CW16" s="35">
        <f t="shared" si="34"/>
        <v>97.7059116</v>
      </c>
      <c r="CX16" s="33"/>
      <c r="CY16" s="51"/>
      <c r="CZ16" s="51">
        <f t="shared" si="60"/>
        <v>70215.8712625</v>
      </c>
      <c r="DA16" s="33">
        <f t="shared" si="35"/>
        <v>70215.8712625</v>
      </c>
      <c r="DB16" s="35">
        <f t="shared" si="36"/>
        <v>11748.984647</v>
      </c>
      <c r="DC16" s="33"/>
      <c r="DD16" s="33"/>
      <c r="DE16" s="33">
        <f t="shared" si="61"/>
        <v>1296.5608425</v>
      </c>
      <c r="DF16" s="33">
        <f t="shared" si="62"/>
        <v>1296.5608425</v>
      </c>
      <c r="DG16" s="35">
        <f t="shared" si="37"/>
        <v>216.9491478</v>
      </c>
      <c r="DH16" s="33"/>
      <c r="DI16" s="51"/>
      <c r="DJ16" s="51">
        <f t="shared" si="63"/>
        <v>3.2345050000000004</v>
      </c>
      <c r="DK16" s="33">
        <f t="shared" si="13"/>
        <v>3.2345050000000004</v>
      </c>
      <c r="DL16" s="35">
        <f t="shared" si="38"/>
        <v>0.5412188</v>
      </c>
      <c r="DM16" s="33"/>
      <c r="DN16" s="33"/>
      <c r="DO16" s="33"/>
      <c r="DP16" s="33"/>
      <c r="DQ16" s="35">
        <f t="shared" si="39"/>
        <v>0</v>
      </c>
    </row>
    <row r="17" spans="1:121" ht="12.75">
      <c r="A17" s="19">
        <v>41730</v>
      </c>
      <c r="C17" s="35">
        <v>3750000</v>
      </c>
      <c r="D17" s="35">
        <v>951325</v>
      </c>
      <c r="E17" s="35">
        <f t="shared" si="0"/>
        <v>4701325</v>
      </c>
      <c r="F17" s="35">
        <v>159182</v>
      </c>
      <c r="H17" s="51">
        <v>1327967</v>
      </c>
      <c r="I17" s="51">
        <v>336887</v>
      </c>
      <c r="J17" s="51">
        <f t="shared" si="40"/>
        <v>1664854</v>
      </c>
      <c r="K17" s="35">
        <v>56370.246159</v>
      </c>
      <c r="M17" s="51">
        <f t="shared" si="64"/>
        <v>2422033.125</v>
      </c>
      <c r="N17" s="41">
        <f t="shared" si="14"/>
        <v>614437.5100375</v>
      </c>
      <c r="O17" s="33">
        <f t="shared" si="1"/>
        <v>3036470.6350375</v>
      </c>
      <c r="P17" s="41">
        <f t="shared" si="14"/>
        <v>102811.753841</v>
      </c>
      <c r="R17" s="65">
        <f t="shared" si="65"/>
        <v>377674.875</v>
      </c>
      <c r="S17" s="65">
        <f t="shared" si="41"/>
        <v>95811.0801225</v>
      </c>
      <c r="T17" s="20">
        <f t="shared" si="2"/>
        <v>473485.9551225</v>
      </c>
      <c r="U17" s="35">
        <f t="shared" si="15"/>
        <v>16031.744520600001</v>
      </c>
      <c r="W17" s="65">
        <f t="shared" si="66"/>
        <v>194026.875</v>
      </c>
      <c r="X17" s="65">
        <f t="shared" si="42"/>
        <v>49222.0311625</v>
      </c>
      <c r="Y17" s="20">
        <f t="shared" si="3"/>
        <v>243248.9061625</v>
      </c>
      <c r="Z17" s="35">
        <f t="shared" si="16"/>
        <v>8236.156271</v>
      </c>
      <c r="AB17" s="33">
        <f t="shared" si="67"/>
        <v>1463.625</v>
      </c>
      <c r="AC17" s="33">
        <f t="shared" si="43"/>
        <v>371.3021475</v>
      </c>
      <c r="AD17" s="33">
        <f t="shared" si="85"/>
        <v>1834.9271475</v>
      </c>
      <c r="AE17" s="35">
        <f t="shared" si="17"/>
        <v>62.1287346</v>
      </c>
      <c r="AG17" s="65">
        <f t="shared" si="68"/>
        <v>82116.74999999999</v>
      </c>
      <c r="AH17" s="65">
        <f t="shared" si="44"/>
        <v>20831.924585</v>
      </c>
      <c r="AI17" s="20">
        <f t="shared" si="4"/>
        <v>102948.67458499999</v>
      </c>
      <c r="AJ17" s="35">
        <f t="shared" si="18"/>
        <v>3485.7355995999997</v>
      </c>
      <c r="AL17" s="65">
        <f t="shared" si="69"/>
        <v>400402.5</v>
      </c>
      <c r="AM17" s="65">
        <f t="shared" si="45"/>
        <v>101576.77554999999</v>
      </c>
      <c r="AN17" s="20">
        <f t="shared" si="5"/>
        <v>501979.27555</v>
      </c>
      <c r="AO17" s="35">
        <f t="shared" si="19"/>
        <v>16996.498868</v>
      </c>
      <c r="AP17" s="33"/>
      <c r="AQ17" s="65">
        <f t="shared" si="70"/>
        <v>71490</v>
      </c>
      <c r="AR17" s="65">
        <f t="shared" si="46"/>
        <v>18136.0598</v>
      </c>
      <c r="AS17" s="20">
        <f t="shared" si="6"/>
        <v>89626.0598</v>
      </c>
      <c r="AT17" s="35">
        <f t="shared" si="20"/>
        <v>3034.645648</v>
      </c>
      <c r="AU17" s="33"/>
      <c r="AV17" s="51">
        <f t="shared" si="71"/>
        <v>2931.75</v>
      </c>
      <c r="AW17" s="51">
        <f t="shared" si="47"/>
        <v>743.7458849999999</v>
      </c>
      <c r="AX17" s="33">
        <f t="shared" si="7"/>
        <v>3675.495885</v>
      </c>
      <c r="AY17" s="35">
        <f t="shared" si="21"/>
        <v>124.4484876</v>
      </c>
      <c r="AZ17" s="33"/>
      <c r="BA17" s="33">
        <f t="shared" si="72"/>
        <v>43463.25</v>
      </c>
      <c r="BB17" s="33">
        <f t="shared" si="48"/>
        <v>11026.047015</v>
      </c>
      <c r="BC17" s="33">
        <f t="shared" si="49"/>
        <v>54489.297015000004</v>
      </c>
      <c r="BD17" s="35">
        <f t="shared" si="22"/>
        <v>1844.9512164</v>
      </c>
      <c r="BE17" s="33"/>
      <c r="BF17" s="51">
        <f t="shared" si="73"/>
        <v>37203</v>
      </c>
      <c r="BG17" s="51">
        <f t="shared" si="50"/>
        <v>9437.90506</v>
      </c>
      <c r="BH17" s="33">
        <f t="shared" si="8"/>
        <v>46640.90506</v>
      </c>
      <c r="BI17" s="35">
        <f t="shared" si="23"/>
        <v>1579.2127856</v>
      </c>
      <c r="BJ17" s="33"/>
      <c r="BK17" s="51">
        <f t="shared" si="74"/>
        <v>45031.875</v>
      </c>
      <c r="BL17" s="51">
        <f t="shared" si="51"/>
        <v>11423.9862625</v>
      </c>
      <c r="BM17" s="33">
        <f t="shared" si="9"/>
        <v>56455.8612625</v>
      </c>
      <c r="BN17" s="35">
        <f t="shared" si="24"/>
        <v>1911.537047</v>
      </c>
      <c r="BO17" s="33"/>
      <c r="BP17" s="51">
        <f t="shared" si="75"/>
        <v>8769.375</v>
      </c>
      <c r="BQ17" s="51">
        <f t="shared" si="52"/>
        <v>2224.6735125</v>
      </c>
      <c r="BR17" s="33">
        <f t="shared" si="10"/>
        <v>10994.0485125</v>
      </c>
      <c r="BS17" s="35">
        <f t="shared" si="25"/>
        <v>372.24710699999997</v>
      </c>
      <c r="BT17" s="33"/>
      <c r="BU17" s="33">
        <f t="shared" si="76"/>
        <v>14296.5</v>
      </c>
      <c r="BV17" s="33">
        <f t="shared" si="53"/>
        <v>3626.83143</v>
      </c>
      <c r="BW17" s="33">
        <f t="shared" si="54"/>
        <v>17923.33143</v>
      </c>
      <c r="BX17" s="35">
        <f t="shared" si="26"/>
        <v>606.8654568000001</v>
      </c>
      <c r="BY17" s="33"/>
      <c r="BZ17" s="51">
        <f t="shared" si="77"/>
        <v>34854</v>
      </c>
      <c r="CA17" s="51">
        <f t="shared" si="55"/>
        <v>8841.99508</v>
      </c>
      <c r="CB17" s="33">
        <f t="shared" si="27"/>
        <v>43695.99508</v>
      </c>
      <c r="CC17" s="35">
        <f t="shared" si="28"/>
        <v>1479.5011808</v>
      </c>
      <c r="CD17" s="33"/>
      <c r="CE17" s="51">
        <f t="shared" si="78"/>
        <v>668589.7499999999</v>
      </c>
      <c r="CF17" s="51">
        <f t="shared" si="56"/>
        <v>169612.305045</v>
      </c>
      <c r="CG17" s="33">
        <f t="shared" si="29"/>
        <v>838202.0550449998</v>
      </c>
      <c r="CH17" s="35">
        <f t="shared" si="30"/>
        <v>28380.6542892</v>
      </c>
      <c r="CI17" s="33"/>
      <c r="CJ17" s="51">
        <f t="shared" si="79"/>
        <v>142869</v>
      </c>
      <c r="CK17" s="51">
        <f t="shared" si="57"/>
        <v>36243.96038</v>
      </c>
      <c r="CL17" s="33">
        <f t="shared" si="11"/>
        <v>179112.96038</v>
      </c>
      <c r="CM17" s="35">
        <f t="shared" si="31"/>
        <v>6064.5795087999995</v>
      </c>
      <c r="CN17" s="33"/>
      <c r="CO17" s="51">
        <f t="shared" si="80"/>
        <v>12642.75</v>
      </c>
      <c r="CP17" s="51">
        <f t="shared" si="58"/>
        <v>3207.2971049999996</v>
      </c>
      <c r="CQ17" s="33">
        <f t="shared" si="32"/>
        <v>15850.047105</v>
      </c>
      <c r="CR17" s="35">
        <f t="shared" si="33"/>
        <v>536.6661948</v>
      </c>
      <c r="CS17" s="33"/>
      <c r="CT17" s="51">
        <f t="shared" si="81"/>
        <v>2301.75</v>
      </c>
      <c r="CU17" s="51">
        <f t="shared" si="59"/>
        <v>583.923285</v>
      </c>
      <c r="CV17" s="33">
        <f t="shared" si="12"/>
        <v>2885.673285</v>
      </c>
      <c r="CW17" s="35">
        <f t="shared" si="34"/>
        <v>97.7059116</v>
      </c>
      <c r="CX17" s="33"/>
      <c r="CY17" s="51">
        <f t="shared" si="82"/>
        <v>276781.875</v>
      </c>
      <c r="CZ17" s="51">
        <f t="shared" si="60"/>
        <v>70215.8712625</v>
      </c>
      <c r="DA17" s="33">
        <f t="shared" si="35"/>
        <v>346997.7462625</v>
      </c>
      <c r="DB17" s="35">
        <f t="shared" si="36"/>
        <v>11748.984647</v>
      </c>
      <c r="DC17" s="33"/>
      <c r="DD17" s="33">
        <f t="shared" si="83"/>
        <v>5110.875</v>
      </c>
      <c r="DE17" s="33">
        <f t="shared" si="61"/>
        <v>1296.5608425</v>
      </c>
      <c r="DF17" s="33">
        <f t="shared" si="62"/>
        <v>6407.4358425</v>
      </c>
      <c r="DG17" s="35">
        <f t="shared" si="37"/>
        <v>216.9491478</v>
      </c>
      <c r="DH17" s="33"/>
      <c r="DI17" s="51">
        <f t="shared" si="84"/>
        <v>12.75</v>
      </c>
      <c r="DJ17" s="51">
        <f t="shared" si="63"/>
        <v>3.2345050000000004</v>
      </c>
      <c r="DK17" s="33">
        <f t="shared" si="13"/>
        <v>15.984505</v>
      </c>
      <c r="DL17" s="35">
        <f t="shared" si="38"/>
        <v>0.5412188</v>
      </c>
      <c r="DM17" s="33"/>
      <c r="DN17" s="33"/>
      <c r="DO17" s="33"/>
      <c r="DP17" s="33"/>
      <c r="DQ17" s="35">
        <f t="shared" si="39"/>
        <v>0</v>
      </c>
    </row>
    <row r="18" spans="1:121" ht="12.75">
      <c r="A18" s="19">
        <v>41913</v>
      </c>
      <c r="D18" s="35">
        <v>857575</v>
      </c>
      <c r="E18" s="35">
        <f t="shared" si="0"/>
        <v>857575</v>
      </c>
      <c r="F18" s="35">
        <v>159182</v>
      </c>
      <c r="H18" s="51"/>
      <c r="I18" s="51">
        <v>303688</v>
      </c>
      <c r="J18" s="51">
        <f t="shared" si="40"/>
        <v>303688</v>
      </c>
      <c r="K18" s="35">
        <v>56370.246159</v>
      </c>
      <c r="M18" s="51"/>
      <c r="N18" s="41">
        <f t="shared" si="14"/>
        <v>553886.6819125</v>
      </c>
      <c r="O18" s="33">
        <f t="shared" si="1"/>
        <v>553886.6819125</v>
      </c>
      <c r="P18" s="41">
        <f t="shared" si="14"/>
        <v>102811.753841</v>
      </c>
      <c r="R18" s="65"/>
      <c r="S18" s="65">
        <f t="shared" si="41"/>
        <v>86369.2082475</v>
      </c>
      <c r="T18" s="20">
        <f t="shared" si="2"/>
        <v>86369.2082475</v>
      </c>
      <c r="U18" s="35">
        <f t="shared" si="15"/>
        <v>16031.744520600001</v>
      </c>
      <c r="W18" s="65"/>
      <c r="X18" s="65">
        <f t="shared" si="42"/>
        <v>44371.3592875</v>
      </c>
      <c r="Y18" s="20">
        <f t="shared" si="3"/>
        <v>44371.3592875</v>
      </c>
      <c r="Z18" s="35">
        <f t="shared" si="16"/>
        <v>8236.156271</v>
      </c>
      <c r="AC18" s="33">
        <f t="shared" si="43"/>
        <v>334.7115225</v>
      </c>
      <c r="AD18" s="33">
        <f t="shared" si="85"/>
        <v>334.7115225</v>
      </c>
      <c r="AE18" s="35">
        <f t="shared" si="17"/>
        <v>62.1287346</v>
      </c>
      <c r="AG18" s="65"/>
      <c r="AH18" s="65">
        <f t="shared" si="44"/>
        <v>18779.005835</v>
      </c>
      <c r="AI18" s="20">
        <f t="shared" si="4"/>
        <v>18779.005835</v>
      </c>
      <c r="AJ18" s="35">
        <f t="shared" si="18"/>
        <v>3485.7355995999997</v>
      </c>
      <c r="AL18" s="65"/>
      <c r="AM18" s="65">
        <f t="shared" si="45"/>
        <v>91566.71304999999</v>
      </c>
      <c r="AN18" s="20">
        <f t="shared" si="5"/>
        <v>91566.71304999999</v>
      </c>
      <c r="AO18" s="35">
        <f t="shared" si="19"/>
        <v>16996.498868</v>
      </c>
      <c r="AP18" s="33"/>
      <c r="AQ18" s="65"/>
      <c r="AR18" s="65">
        <f t="shared" si="46"/>
        <v>16348.809799999999</v>
      </c>
      <c r="AS18" s="20">
        <f t="shared" si="6"/>
        <v>16348.809799999999</v>
      </c>
      <c r="AT18" s="35">
        <f t="shared" si="20"/>
        <v>3034.645648</v>
      </c>
      <c r="AU18" s="33"/>
      <c r="AV18" s="51"/>
      <c r="AW18" s="51">
        <f t="shared" si="47"/>
        <v>670.452135</v>
      </c>
      <c r="AX18" s="33">
        <f t="shared" si="7"/>
        <v>670.452135</v>
      </c>
      <c r="AY18" s="35">
        <f t="shared" si="21"/>
        <v>124.4484876</v>
      </c>
      <c r="AZ18" s="33"/>
      <c r="BA18" s="33"/>
      <c r="BB18" s="33">
        <f t="shared" si="48"/>
        <v>9939.465764999999</v>
      </c>
      <c r="BC18" s="33">
        <f t="shared" si="49"/>
        <v>9939.465764999999</v>
      </c>
      <c r="BD18" s="35">
        <f t="shared" si="22"/>
        <v>1844.9512164</v>
      </c>
      <c r="BE18" s="33"/>
      <c r="BF18" s="51"/>
      <c r="BG18" s="51">
        <f t="shared" si="50"/>
        <v>8507.83006</v>
      </c>
      <c r="BH18" s="33">
        <f t="shared" si="8"/>
        <v>8507.83006</v>
      </c>
      <c r="BI18" s="35">
        <f t="shared" si="23"/>
        <v>1579.2127856</v>
      </c>
      <c r="BJ18" s="33"/>
      <c r="BK18" s="51"/>
      <c r="BL18" s="51">
        <f t="shared" si="51"/>
        <v>10298.1893875</v>
      </c>
      <c r="BM18" s="33">
        <f t="shared" si="9"/>
        <v>10298.1893875</v>
      </c>
      <c r="BN18" s="35">
        <f t="shared" si="24"/>
        <v>1911.537047</v>
      </c>
      <c r="BO18" s="33"/>
      <c r="BP18" s="51"/>
      <c r="BQ18" s="51">
        <f t="shared" si="52"/>
        <v>2005.4391375</v>
      </c>
      <c r="BR18" s="33">
        <f t="shared" si="10"/>
        <v>2005.4391375</v>
      </c>
      <c r="BS18" s="35">
        <f t="shared" si="25"/>
        <v>372.24710699999997</v>
      </c>
      <c r="BT18" s="33"/>
      <c r="BU18" s="33"/>
      <c r="BV18" s="33">
        <f t="shared" si="53"/>
        <v>3269.4189300000003</v>
      </c>
      <c r="BW18" s="33">
        <f t="shared" si="54"/>
        <v>3269.4189300000003</v>
      </c>
      <c r="BX18" s="35">
        <f t="shared" si="26"/>
        <v>606.8654568000001</v>
      </c>
      <c r="BY18" s="33"/>
      <c r="BZ18" s="51"/>
      <c r="CA18" s="51">
        <f t="shared" si="55"/>
        <v>7970.64508</v>
      </c>
      <c r="CB18" s="33">
        <f t="shared" si="27"/>
        <v>7970.64508</v>
      </c>
      <c r="CC18" s="35">
        <f t="shared" si="28"/>
        <v>1479.5011808</v>
      </c>
      <c r="CD18" s="33"/>
      <c r="CE18" s="51"/>
      <c r="CF18" s="51">
        <f t="shared" si="56"/>
        <v>152897.561295</v>
      </c>
      <c r="CG18" s="33">
        <f t="shared" si="29"/>
        <v>152897.561295</v>
      </c>
      <c r="CH18" s="35">
        <f t="shared" si="30"/>
        <v>28380.6542892</v>
      </c>
      <c r="CI18" s="33"/>
      <c r="CJ18" s="51"/>
      <c r="CK18" s="51">
        <f t="shared" si="57"/>
        <v>32672.23538</v>
      </c>
      <c r="CL18" s="33">
        <f t="shared" si="11"/>
        <v>32672.23538</v>
      </c>
      <c r="CM18" s="35">
        <f t="shared" si="31"/>
        <v>6064.5795087999995</v>
      </c>
      <c r="CN18" s="33"/>
      <c r="CO18" s="51"/>
      <c r="CP18" s="51">
        <f t="shared" si="58"/>
        <v>2891.2283549999997</v>
      </c>
      <c r="CQ18" s="33">
        <f t="shared" si="32"/>
        <v>2891.2283549999997</v>
      </c>
      <c r="CR18" s="35">
        <f t="shared" si="33"/>
        <v>536.6661948</v>
      </c>
      <c r="CS18" s="33"/>
      <c r="CT18" s="51"/>
      <c r="CU18" s="51">
        <f t="shared" si="59"/>
        <v>526.3795349999999</v>
      </c>
      <c r="CV18" s="33">
        <f t="shared" si="12"/>
        <v>526.3795349999999</v>
      </c>
      <c r="CW18" s="35">
        <f t="shared" si="34"/>
        <v>97.7059116</v>
      </c>
      <c r="CX18" s="33"/>
      <c r="CY18" s="51"/>
      <c r="CZ18" s="51">
        <f t="shared" si="60"/>
        <v>63296.3243875</v>
      </c>
      <c r="DA18" s="33">
        <f t="shared" si="35"/>
        <v>63296.3243875</v>
      </c>
      <c r="DB18" s="35">
        <f t="shared" si="36"/>
        <v>11748.984647</v>
      </c>
      <c r="DC18" s="33"/>
      <c r="DD18" s="33"/>
      <c r="DE18" s="33">
        <f t="shared" si="61"/>
        <v>1168.7889675</v>
      </c>
      <c r="DF18" s="33">
        <f t="shared" si="62"/>
        <v>1168.7889675</v>
      </c>
      <c r="DG18" s="35">
        <f t="shared" si="37"/>
        <v>216.9491478</v>
      </c>
      <c r="DH18" s="33"/>
      <c r="DI18" s="51"/>
      <c r="DJ18" s="51">
        <f t="shared" si="63"/>
        <v>2.9157550000000003</v>
      </c>
      <c r="DK18" s="33">
        <f t="shared" si="13"/>
        <v>2.9157550000000003</v>
      </c>
      <c r="DL18" s="35">
        <f t="shared" si="38"/>
        <v>0.5412188</v>
      </c>
      <c r="DM18" s="33"/>
      <c r="DN18" s="33"/>
      <c r="DO18" s="33"/>
      <c r="DP18" s="33"/>
      <c r="DQ18" s="35">
        <f t="shared" si="39"/>
        <v>0</v>
      </c>
    </row>
    <row r="19" spans="1:121" ht="12.75">
      <c r="A19" s="19">
        <v>42095</v>
      </c>
      <c r="C19" s="35">
        <v>3935000</v>
      </c>
      <c r="D19" s="35">
        <v>857575</v>
      </c>
      <c r="E19" s="35">
        <f t="shared" si="0"/>
        <v>4792575</v>
      </c>
      <c r="F19" s="35">
        <v>159182</v>
      </c>
      <c r="H19" s="51">
        <v>1393480</v>
      </c>
      <c r="I19" s="51">
        <v>303688</v>
      </c>
      <c r="J19" s="51">
        <f t="shared" si="40"/>
        <v>1697168</v>
      </c>
      <c r="K19" s="35">
        <v>56370.246159</v>
      </c>
      <c r="M19" s="51">
        <f t="shared" si="64"/>
        <v>2541520.0925</v>
      </c>
      <c r="N19" s="41">
        <f t="shared" si="14"/>
        <v>553886.6819125</v>
      </c>
      <c r="O19" s="33">
        <f t="shared" si="1"/>
        <v>3095406.7744124997</v>
      </c>
      <c r="P19" s="41">
        <f t="shared" si="14"/>
        <v>102811.753841</v>
      </c>
      <c r="R19" s="65">
        <f t="shared" si="65"/>
        <v>396306.8355</v>
      </c>
      <c r="S19" s="65">
        <f t="shared" si="41"/>
        <v>86369.2082475</v>
      </c>
      <c r="T19" s="20">
        <f t="shared" si="2"/>
        <v>482676.0437475</v>
      </c>
      <c r="U19" s="35">
        <f t="shared" si="15"/>
        <v>16031.744520600001</v>
      </c>
      <c r="W19" s="65">
        <f t="shared" si="66"/>
        <v>203598.8675</v>
      </c>
      <c r="X19" s="65">
        <f t="shared" si="42"/>
        <v>44371.3592875</v>
      </c>
      <c r="Y19" s="20">
        <f t="shared" si="3"/>
        <v>247970.2267875</v>
      </c>
      <c r="Z19" s="35">
        <f t="shared" si="16"/>
        <v>8236.156271</v>
      </c>
      <c r="AB19" s="33">
        <f t="shared" si="67"/>
        <v>1535.8305000000003</v>
      </c>
      <c r="AC19" s="33">
        <f t="shared" si="43"/>
        <v>334.7115225</v>
      </c>
      <c r="AD19" s="33">
        <f t="shared" si="85"/>
        <v>1870.5420225000003</v>
      </c>
      <c r="AE19" s="35">
        <f t="shared" si="17"/>
        <v>62.1287346</v>
      </c>
      <c r="AG19" s="65">
        <f t="shared" si="68"/>
        <v>86167.843</v>
      </c>
      <c r="AH19" s="65">
        <f t="shared" si="44"/>
        <v>18779.005835</v>
      </c>
      <c r="AI19" s="20">
        <f t="shared" si="4"/>
        <v>104946.848835</v>
      </c>
      <c r="AJ19" s="35">
        <f t="shared" si="18"/>
        <v>3485.7355995999997</v>
      </c>
      <c r="AL19" s="65">
        <f t="shared" si="69"/>
        <v>420155.69</v>
      </c>
      <c r="AM19" s="65">
        <f t="shared" si="45"/>
        <v>91566.71304999999</v>
      </c>
      <c r="AN19" s="20">
        <f t="shared" si="5"/>
        <v>511722.40304999996</v>
      </c>
      <c r="AO19" s="35">
        <f t="shared" si="19"/>
        <v>16996.498868</v>
      </c>
      <c r="AP19" s="33"/>
      <c r="AQ19" s="65">
        <f t="shared" si="70"/>
        <v>75016.84</v>
      </c>
      <c r="AR19" s="65">
        <f t="shared" si="46"/>
        <v>16348.809799999999</v>
      </c>
      <c r="AS19" s="20">
        <f t="shared" si="6"/>
        <v>91365.6498</v>
      </c>
      <c r="AT19" s="35">
        <f t="shared" si="20"/>
        <v>3034.645648</v>
      </c>
      <c r="AU19" s="33"/>
      <c r="AV19" s="51">
        <f t="shared" si="71"/>
        <v>3076.383</v>
      </c>
      <c r="AW19" s="51">
        <f t="shared" si="47"/>
        <v>670.452135</v>
      </c>
      <c r="AX19" s="33">
        <f t="shared" si="7"/>
        <v>3746.835135</v>
      </c>
      <c r="AY19" s="35">
        <f t="shared" si="21"/>
        <v>124.4484876</v>
      </c>
      <c r="AZ19" s="33"/>
      <c r="BA19" s="33">
        <f t="shared" si="72"/>
        <v>45607.437000000005</v>
      </c>
      <c r="BB19" s="33">
        <f t="shared" si="48"/>
        <v>9939.465764999999</v>
      </c>
      <c r="BC19" s="33">
        <f t="shared" si="49"/>
        <v>55546.902765000006</v>
      </c>
      <c r="BD19" s="35">
        <f t="shared" si="22"/>
        <v>1844.9512164</v>
      </c>
      <c r="BE19" s="33"/>
      <c r="BF19" s="51">
        <f t="shared" si="73"/>
        <v>39038.348</v>
      </c>
      <c r="BG19" s="51">
        <f t="shared" si="50"/>
        <v>8507.83006</v>
      </c>
      <c r="BH19" s="33">
        <f t="shared" si="8"/>
        <v>47546.17806</v>
      </c>
      <c r="BI19" s="35">
        <f t="shared" si="23"/>
        <v>1579.2127856</v>
      </c>
      <c r="BJ19" s="33"/>
      <c r="BK19" s="51">
        <f t="shared" si="74"/>
        <v>47253.4475</v>
      </c>
      <c r="BL19" s="51">
        <f t="shared" si="51"/>
        <v>10298.1893875</v>
      </c>
      <c r="BM19" s="33">
        <f t="shared" si="9"/>
        <v>57551.636887500004</v>
      </c>
      <c r="BN19" s="35">
        <f t="shared" si="24"/>
        <v>1911.537047</v>
      </c>
      <c r="BO19" s="33"/>
      <c r="BP19" s="51">
        <f t="shared" si="75"/>
        <v>9201.9975</v>
      </c>
      <c r="BQ19" s="51">
        <f t="shared" si="52"/>
        <v>2005.4391375</v>
      </c>
      <c r="BR19" s="33">
        <f t="shared" si="10"/>
        <v>11207.436637499999</v>
      </c>
      <c r="BS19" s="35">
        <f t="shared" si="25"/>
        <v>372.24710699999997</v>
      </c>
      <c r="BT19" s="33"/>
      <c r="BU19" s="33">
        <f t="shared" si="76"/>
        <v>15001.794000000002</v>
      </c>
      <c r="BV19" s="33">
        <f t="shared" si="53"/>
        <v>3269.4189300000003</v>
      </c>
      <c r="BW19" s="33">
        <f t="shared" si="54"/>
        <v>18271.21293</v>
      </c>
      <c r="BX19" s="35">
        <f t="shared" si="26"/>
        <v>606.8654568000001</v>
      </c>
      <c r="BY19" s="33"/>
      <c r="BZ19" s="51">
        <f t="shared" si="77"/>
        <v>36573.46400000001</v>
      </c>
      <c r="CA19" s="51">
        <f t="shared" si="55"/>
        <v>7970.64508</v>
      </c>
      <c r="CB19" s="33">
        <f t="shared" si="27"/>
        <v>44544.10908000001</v>
      </c>
      <c r="CC19" s="35">
        <f t="shared" si="28"/>
        <v>1479.5011808</v>
      </c>
      <c r="CD19" s="33"/>
      <c r="CE19" s="51">
        <f t="shared" si="78"/>
        <v>701573.5109999999</v>
      </c>
      <c r="CF19" s="51">
        <f t="shared" si="56"/>
        <v>152897.561295</v>
      </c>
      <c r="CG19" s="33">
        <f t="shared" si="29"/>
        <v>854471.072295</v>
      </c>
      <c r="CH19" s="35">
        <f t="shared" si="30"/>
        <v>28380.6542892</v>
      </c>
      <c r="CI19" s="33"/>
      <c r="CJ19" s="51">
        <f t="shared" si="79"/>
        <v>149917.204</v>
      </c>
      <c r="CK19" s="51">
        <f t="shared" si="57"/>
        <v>32672.23538</v>
      </c>
      <c r="CL19" s="33">
        <f t="shared" si="11"/>
        <v>182589.43938</v>
      </c>
      <c r="CM19" s="35">
        <f t="shared" si="31"/>
        <v>6064.5795087999995</v>
      </c>
      <c r="CN19" s="33"/>
      <c r="CO19" s="51">
        <f t="shared" si="80"/>
        <v>13266.458999999999</v>
      </c>
      <c r="CP19" s="51">
        <f t="shared" si="58"/>
        <v>2891.2283549999997</v>
      </c>
      <c r="CQ19" s="33">
        <f t="shared" si="32"/>
        <v>16157.687354999998</v>
      </c>
      <c r="CR19" s="35">
        <f t="shared" si="33"/>
        <v>536.6661948</v>
      </c>
      <c r="CS19" s="33"/>
      <c r="CT19" s="51">
        <f t="shared" si="81"/>
        <v>2415.303</v>
      </c>
      <c r="CU19" s="51">
        <f t="shared" si="59"/>
        <v>526.3795349999999</v>
      </c>
      <c r="CV19" s="33">
        <f t="shared" si="12"/>
        <v>2941.682535</v>
      </c>
      <c r="CW19" s="35">
        <f t="shared" si="34"/>
        <v>97.7059116</v>
      </c>
      <c r="CX19" s="33"/>
      <c r="CY19" s="51">
        <f t="shared" si="82"/>
        <v>290436.4475</v>
      </c>
      <c r="CZ19" s="51">
        <f t="shared" si="60"/>
        <v>63296.3243875</v>
      </c>
      <c r="DA19" s="33">
        <f t="shared" si="35"/>
        <v>353732.7718875</v>
      </c>
      <c r="DB19" s="35">
        <f t="shared" si="36"/>
        <v>11748.984647</v>
      </c>
      <c r="DC19" s="33"/>
      <c r="DD19" s="33">
        <f t="shared" si="83"/>
        <v>5363.0115000000005</v>
      </c>
      <c r="DE19" s="33">
        <f t="shared" si="61"/>
        <v>1168.7889675</v>
      </c>
      <c r="DF19" s="33">
        <f t="shared" si="62"/>
        <v>6531.8004675</v>
      </c>
      <c r="DG19" s="35">
        <f t="shared" si="37"/>
        <v>216.9491478</v>
      </c>
      <c r="DH19" s="33"/>
      <c r="DI19" s="51">
        <f t="shared" si="84"/>
        <v>13.379000000000001</v>
      </c>
      <c r="DJ19" s="51">
        <f t="shared" si="63"/>
        <v>2.9157550000000003</v>
      </c>
      <c r="DK19" s="33">
        <f t="shared" si="13"/>
        <v>16.294755000000002</v>
      </c>
      <c r="DL19" s="35">
        <f t="shared" si="38"/>
        <v>0.5412188</v>
      </c>
      <c r="DM19" s="33"/>
      <c r="DN19" s="33"/>
      <c r="DO19" s="33"/>
      <c r="DP19" s="33"/>
      <c r="DQ19" s="35">
        <f t="shared" si="39"/>
        <v>0</v>
      </c>
    </row>
    <row r="20" spans="1:121" ht="12.75">
      <c r="A20" s="19">
        <v>42278</v>
      </c>
      <c r="D20" s="35">
        <v>759200</v>
      </c>
      <c r="E20" s="35">
        <f t="shared" si="0"/>
        <v>759200</v>
      </c>
      <c r="F20" s="35">
        <v>159182</v>
      </c>
      <c r="H20" s="51"/>
      <c r="I20" s="51">
        <v>268851</v>
      </c>
      <c r="J20" s="51">
        <f t="shared" si="40"/>
        <v>268851</v>
      </c>
      <c r="K20" s="35">
        <v>56370.246159</v>
      </c>
      <c r="M20" s="51"/>
      <c r="N20" s="41">
        <f t="shared" si="14"/>
        <v>490348.67960000003</v>
      </c>
      <c r="O20" s="33">
        <f t="shared" si="1"/>
        <v>490348.67960000003</v>
      </c>
      <c r="P20" s="41">
        <f t="shared" si="14"/>
        <v>102811.753841</v>
      </c>
      <c r="R20" s="65"/>
      <c r="S20" s="65">
        <f t="shared" si="41"/>
        <v>76461.53736</v>
      </c>
      <c r="T20" s="20">
        <f t="shared" si="2"/>
        <v>76461.53736</v>
      </c>
      <c r="U20" s="35">
        <f t="shared" si="15"/>
        <v>16031.744520600001</v>
      </c>
      <c r="W20" s="65"/>
      <c r="X20" s="65">
        <f t="shared" si="42"/>
        <v>39281.3876</v>
      </c>
      <c r="Y20" s="20">
        <f t="shared" si="3"/>
        <v>39281.3876</v>
      </c>
      <c r="Z20" s="35">
        <f t="shared" si="16"/>
        <v>8236.156271</v>
      </c>
      <c r="AC20" s="33">
        <f t="shared" si="43"/>
        <v>296.31576</v>
      </c>
      <c r="AD20" s="33">
        <f t="shared" si="85"/>
        <v>296.31576</v>
      </c>
      <c r="AE20" s="35">
        <f t="shared" si="17"/>
        <v>62.1287346</v>
      </c>
      <c r="AG20" s="65"/>
      <c r="AH20" s="65">
        <f t="shared" si="44"/>
        <v>16624.809759999996</v>
      </c>
      <c r="AI20" s="20">
        <f t="shared" si="4"/>
        <v>16624.809759999996</v>
      </c>
      <c r="AJ20" s="35">
        <f t="shared" si="18"/>
        <v>3485.7355995999997</v>
      </c>
      <c r="AL20" s="65"/>
      <c r="AM20" s="65">
        <f t="shared" si="45"/>
        <v>81062.8208</v>
      </c>
      <c r="AN20" s="20">
        <f t="shared" si="5"/>
        <v>81062.8208</v>
      </c>
      <c r="AO20" s="35">
        <f t="shared" si="19"/>
        <v>16996.498868</v>
      </c>
      <c r="AP20" s="33"/>
      <c r="AQ20" s="65"/>
      <c r="AR20" s="65">
        <f t="shared" si="46"/>
        <v>14473.3888</v>
      </c>
      <c r="AS20" s="20">
        <f t="shared" si="6"/>
        <v>14473.3888</v>
      </c>
      <c r="AT20" s="35">
        <f t="shared" si="20"/>
        <v>3034.645648</v>
      </c>
      <c r="AU20" s="33"/>
      <c r="AV20" s="51"/>
      <c r="AW20" s="51">
        <f t="shared" si="47"/>
        <v>593.54256</v>
      </c>
      <c r="AX20" s="33">
        <f t="shared" si="7"/>
        <v>593.54256</v>
      </c>
      <c r="AY20" s="35">
        <f t="shared" si="21"/>
        <v>124.4484876</v>
      </c>
      <c r="AZ20" s="33"/>
      <c r="BA20" s="33"/>
      <c r="BB20" s="33">
        <f t="shared" si="48"/>
        <v>8799.27984</v>
      </c>
      <c r="BC20" s="33">
        <f t="shared" si="49"/>
        <v>8799.27984</v>
      </c>
      <c r="BD20" s="35">
        <f t="shared" si="22"/>
        <v>1844.9512164</v>
      </c>
      <c r="BE20" s="33"/>
      <c r="BF20" s="51"/>
      <c r="BG20" s="51">
        <f t="shared" si="50"/>
        <v>7531.871359999999</v>
      </c>
      <c r="BH20" s="33">
        <f t="shared" si="8"/>
        <v>7531.871359999999</v>
      </c>
      <c r="BI20" s="35">
        <f t="shared" si="23"/>
        <v>1579.2127856</v>
      </c>
      <c r="BJ20" s="33"/>
      <c r="BK20" s="51"/>
      <c r="BL20" s="51">
        <f t="shared" si="51"/>
        <v>9116.8532</v>
      </c>
      <c r="BM20" s="33">
        <f t="shared" si="9"/>
        <v>9116.8532</v>
      </c>
      <c r="BN20" s="35">
        <f t="shared" si="24"/>
        <v>1911.537047</v>
      </c>
      <c r="BO20" s="33"/>
      <c r="BP20" s="51"/>
      <c r="BQ20" s="51">
        <f t="shared" si="52"/>
        <v>1775.3892</v>
      </c>
      <c r="BR20" s="33">
        <f t="shared" si="10"/>
        <v>1775.3892</v>
      </c>
      <c r="BS20" s="35">
        <f t="shared" si="25"/>
        <v>372.24710699999997</v>
      </c>
      <c r="BT20" s="33"/>
      <c r="BU20" s="33"/>
      <c r="BV20" s="33">
        <f t="shared" si="53"/>
        <v>2894.37408</v>
      </c>
      <c r="BW20" s="33">
        <f t="shared" si="54"/>
        <v>2894.37408</v>
      </c>
      <c r="BX20" s="35">
        <f t="shared" si="26"/>
        <v>606.8654568000001</v>
      </c>
      <c r="BY20" s="33"/>
      <c r="BZ20" s="51"/>
      <c r="CA20" s="51">
        <f t="shared" si="55"/>
        <v>7056.30848</v>
      </c>
      <c r="CB20" s="33">
        <f t="shared" si="27"/>
        <v>7056.30848</v>
      </c>
      <c r="CC20" s="35">
        <f t="shared" si="28"/>
        <v>1479.5011808</v>
      </c>
      <c r="CD20" s="33"/>
      <c r="CE20" s="51"/>
      <c r="CF20" s="51">
        <f t="shared" si="56"/>
        <v>135358.22351999997</v>
      </c>
      <c r="CG20" s="33">
        <f t="shared" si="29"/>
        <v>135358.22351999997</v>
      </c>
      <c r="CH20" s="35">
        <f t="shared" si="30"/>
        <v>28380.6542892</v>
      </c>
      <c r="CI20" s="33"/>
      <c r="CJ20" s="51"/>
      <c r="CK20" s="51">
        <f t="shared" si="57"/>
        <v>28924.30528</v>
      </c>
      <c r="CL20" s="33">
        <f t="shared" si="11"/>
        <v>28924.30528</v>
      </c>
      <c r="CM20" s="35">
        <f t="shared" si="31"/>
        <v>6064.5795087999995</v>
      </c>
      <c r="CN20" s="33"/>
      <c r="CO20" s="51"/>
      <c r="CP20" s="51">
        <f t="shared" si="58"/>
        <v>2559.56688</v>
      </c>
      <c r="CQ20" s="33">
        <f t="shared" si="32"/>
        <v>2559.56688</v>
      </c>
      <c r="CR20" s="35">
        <f t="shared" si="33"/>
        <v>536.6661948</v>
      </c>
      <c r="CS20" s="33"/>
      <c r="CT20" s="51"/>
      <c r="CU20" s="51">
        <f t="shared" si="59"/>
        <v>465.99695999999994</v>
      </c>
      <c r="CV20" s="33">
        <f t="shared" si="12"/>
        <v>465.99695999999994</v>
      </c>
      <c r="CW20" s="35">
        <f t="shared" si="34"/>
        <v>97.7059116</v>
      </c>
      <c r="CX20" s="33"/>
      <c r="CY20" s="51"/>
      <c r="CZ20" s="51">
        <f t="shared" si="60"/>
        <v>56035.413199999995</v>
      </c>
      <c r="DA20" s="33">
        <f t="shared" si="35"/>
        <v>56035.413199999995</v>
      </c>
      <c r="DB20" s="35">
        <f t="shared" si="36"/>
        <v>11748.984647</v>
      </c>
      <c r="DC20" s="33"/>
      <c r="DD20" s="33"/>
      <c r="DE20" s="33">
        <f t="shared" si="61"/>
        <v>1034.71368</v>
      </c>
      <c r="DF20" s="33">
        <f t="shared" si="62"/>
        <v>1034.71368</v>
      </c>
      <c r="DG20" s="35">
        <f t="shared" si="37"/>
        <v>216.9491478</v>
      </c>
      <c r="DH20" s="33"/>
      <c r="DI20" s="51"/>
      <c r="DJ20" s="51">
        <f t="shared" si="63"/>
        <v>2.5812800000000005</v>
      </c>
      <c r="DK20" s="33">
        <f t="shared" si="13"/>
        <v>2.5812800000000005</v>
      </c>
      <c r="DL20" s="35">
        <f t="shared" si="38"/>
        <v>0.5412188</v>
      </c>
      <c r="DM20" s="33"/>
      <c r="DN20" s="33"/>
      <c r="DO20" s="33"/>
      <c r="DP20" s="33"/>
      <c r="DQ20" s="35">
        <f t="shared" si="39"/>
        <v>0</v>
      </c>
    </row>
    <row r="21" spans="1:121" ht="12.75">
      <c r="A21" s="19">
        <v>42461</v>
      </c>
      <c r="C21" s="35">
        <v>4135000</v>
      </c>
      <c r="D21" s="35">
        <v>759200</v>
      </c>
      <c r="E21" s="35">
        <f t="shared" si="0"/>
        <v>4894200</v>
      </c>
      <c r="F21" s="35">
        <v>159182</v>
      </c>
      <c r="H21" s="51">
        <v>1464305</v>
      </c>
      <c r="I21" s="51">
        <v>268851</v>
      </c>
      <c r="J21" s="51">
        <f t="shared" si="40"/>
        <v>1733156</v>
      </c>
      <c r="K21" s="35">
        <v>56370.246159</v>
      </c>
      <c r="M21" s="51">
        <f t="shared" si="64"/>
        <v>2670695.1925</v>
      </c>
      <c r="N21" s="41">
        <f t="shared" si="14"/>
        <v>490348.67960000003</v>
      </c>
      <c r="O21" s="33">
        <f t="shared" si="1"/>
        <v>3161043.8721</v>
      </c>
      <c r="P21" s="41">
        <f t="shared" si="14"/>
        <v>102811.753841</v>
      </c>
      <c r="R21" s="65">
        <f t="shared" si="65"/>
        <v>416449.49549999996</v>
      </c>
      <c r="S21" s="65">
        <f t="shared" si="41"/>
        <v>76461.53736</v>
      </c>
      <c r="T21" s="20">
        <f t="shared" si="2"/>
        <v>492911.03286</v>
      </c>
      <c r="U21" s="35">
        <f t="shared" si="15"/>
        <v>16031.744520600001</v>
      </c>
      <c r="W21" s="65">
        <f t="shared" si="66"/>
        <v>213946.9675</v>
      </c>
      <c r="X21" s="65">
        <f t="shared" si="42"/>
        <v>39281.3876</v>
      </c>
      <c r="Y21" s="20">
        <f t="shared" si="3"/>
        <v>253228.3551</v>
      </c>
      <c r="Z21" s="35">
        <f t="shared" si="16"/>
        <v>8236.156271</v>
      </c>
      <c r="AB21" s="33">
        <f t="shared" si="67"/>
        <v>1613.8905000000002</v>
      </c>
      <c r="AC21" s="33">
        <f t="shared" si="43"/>
        <v>296.31576</v>
      </c>
      <c r="AD21" s="33">
        <f t="shared" si="85"/>
        <v>1910.2062600000002</v>
      </c>
      <c r="AE21" s="35">
        <f t="shared" si="17"/>
        <v>62.1287346</v>
      </c>
      <c r="AG21" s="65">
        <f t="shared" si="68"/>
        <v>90547.40299999999</v>
      </c>
      <c r="AH21" s="65">
        <f t="shared" si="44"/>
        <v>16624.809759999996</v>
      </c>
      <c r="AI21" s="20">
        <f t="shared" si="4"/>
        <v>107172.21276</v>
      </c>
      <c r="AJ21" s="35">
        <f t="shared" si="18"/>
        <v>3485.7355995999997</v>
      </c>
      <c r="AL21" s="65">
        <f t="shared" si="69"/>
        <v>441510.49</v>
      </c>
      <c r="AM21" s="65">
        <f t="shared" si="45"/>
        <v>81062.8208</v>
      </c>
      <c r="AN21" s="20">
        <f t="shared" si="5"/>
        <v>522573.3108</v>
      </c>
      <c r="AO21" s="35">
        <f t="shared" si="19"/>
        <v>16996.498868</v>
      </c>
      <c r="AP21" s="33"/>
      <c r="AQ21" s="65">
        <f t="shared" si="70"/>
        <v>78829.64</v>
      </c>
      <c r="AR21" s="65">
        <f t="shared" si="46"/>
        <v>14473.3888</v>
      </c>
      <c r="AS21" s="20">
        <f t="shared" si="6"/>
        <v>93303.0288</v>
      </c>
      <c r="AT21" s="35">
        <f t="shared" si="20"/>
        <v>3034.645648</v>
      </c>
      <c r="AU21" s="33"/>
      <c r="AV21" s="51">
        <f t="shared" si="71"/>
        <v>3232.743</v>
      </c>
      <c r="AW21" s="51">
        <f t="shared" si="47"/>
        <v>593.54256</v>
      </c>
      <c r="AX21" s="33">
        <f t="shared" si="7"/>
        <v>3826.28556</v>
      </c>
      <c r="AY21" s="35">
        <f t="shared" si="21"/>
        <v>124.4484876</v>
      </c>
      <c r="AZ21" s="33"/>
      <c r="BA21" s="33">
        <f t="shared" si="72"/>
        <v>47925.477</v>
      </c>
      <c r="BB21" s="33">
        <f t="shared" si="48"/>
        <v>8799.27984</v>
      </c>
      <c r="BC21" s="33">
        <f t="shared" si="49"/>
        <v>56724.75684</v>
      </c>
      <c r="BD21" s="35">
        <f t="shared" si="22"/>
        <v>1844.9512164</v>
      </c>
      <c r="BE21" s="33"/>
      <c r="BF21" s="51">
        <f t="shared" si="73"/>
        <v>41022.508</v>
      </c>
      <c r="BG21" s="51">
        <f t="shared" si="50"/>
        <v>7531.871359999999</v>
      </c>
      <c r="BH21" s="33">
        <f t="shared" si="8"/>
        <v>48554.37936</v>
      </c>
      <c r="BI21" s="35">
        <f t="shared" si="23"/>
        <v>1579.2127856</v>
      </c>
      <c r="BJ21" s="33"/>
      <c r="BK21" s="51">
        <f t="shared" si="74"/>
        <v>49655.1475</v>
      </c>
      <c r="BL21" s="51">
        <f t="shared" si="51"/>
        <v>9116.8532</v>
      </c>
      <c r="BM21" s="33">
        <f t="shared" si="9"/>
        <v>58772.0007</v>
      </c>
      <c r="BN21" s="35">
        <f t="shared" si="24"/>
        <v>1911.537047</v>
      </c>
      <c r="BO21" s="33"/>
      <c r="BP21" s="51">
        <f t="shared" si="75"/>
        <v>9669.6975</v>
      </c>
      <c r="BQ21" s="51">
        <f t="shared" si="52"/>
        <v>1775.3892</v>
      </c>
      <c r="BR21" s="33">
        <f t="shared" si="10"/>
        <v>11445.0867</v>
      </c>
      <c r="BS21" s="35">
        <f t="shared" si="25"/>
        <v>372.24710699999997</v>
      </c>
      <c r="BT21" s="33"/>
      <c r="BU21" s="33">
        <f t="shared" si="76"/>
        <v>15764.274000000001</v>
      </c>
      <c r="BV21" s="33">
        <f t="shared" si="53"/>
        <v>2894.37408</v>
      </c>
      <c r="BW21" s="33">
        <f t="shared" si="54"/>
        <v>18658.648080000003</v>
      </c>
      <c r="BX21" s="35">
        <f t="shared" si="26"/>
        <v>606.8654568000001</v>
      </c>
      <c r="BY21" s="33"/>
      <c r="BZ21" s="51">
        <f t="shared" si="77"/>
        <v>38432.344000000005</v>
      </c>
      <c r="CA21" s="51">
        <f t="shared" si="55"/>
        <v>7056.30848</v>
      </c>
      <c r="CB21" s="33">
        <f t="shared" si="27"/>
        <v>45488.652480000004</v>
      </c>
      <c r="CC21" s="35">
        <f t="shared" si="28"/>
        <v>1479.5011808</v>
      </c>
      <c r="CD21" s="33"/>
      <c r="CE21" s="51">
        <f t="shared" si="78"/>
        <v>737231.6309999999</v>
      </c>
      <c r="CF21" s="51">
        <f t="shared" si="56"/>
        <v>135358.22351999997</v>
      </c>
      <c r="CG21" s="33">
        <f t="shared" si="29"/>
        <v>872589.8545199999</v>
      </c>
      <c r="CH21" s="35">
        <f t="shared" si="30"/>
        <v>28380.6542892</v>
      </c>
      <c r="CI21" s="33"/>
      <c r="CJ21" s="51">
        <f t="shared" si="79"/>
        <v>157536.884</v>
      </c>
      <c r="CK21" s="51">
        <f t="shared" si="57"/>
        <v>28924.30528</v>
      </c>
      <c r="CL21" s="33">
        <f t="shared" si="11"/>
        <v>186461.18928</v>
      </c>
      <c r="CM21" s="35">
        <f t="shared" si="31"/>
        <v>6064.5795087999995</v>
      </c>
      <c r="CN21" s="33"/>
      <c r="CO21" s="51">
        <f t="shared" si="80"/>
        <v>13940.739</v>
      </c>
      <c r="CP21" s="51">
        <f t="shared" si="58"/>
        <v>2559.56688</v>
      </c>
      <c r="CQ21" s="33">
        <f t="shared" si="32"/>
        <v>16500.30588</v>
      </c>
      <c r="CR21" s="35">
        <f t="shared" si="33"/>
        <v>536.6661948</v>
      </c>
      <c r="CS21" s="33"/>
      <c r="CT21" s="51">
        <f t="shared" si="81"/>
        <v>2538.063</v>
      </c>
      <c r="CU21" s="51">
        <f t="shared" si="59"/>
        <v>465.99695999999994</v>
      </c>
      <c r="CV21" s="33">
        <f t="shared" si="12"/>
        <v>3004.05996</v>
      </c>
      <c r="CW21" s="35">
        <f t="shared" si="34"/>
        <v>97.7059116</v>
      </c>
      <c r="CX21" s="33"/>
      <c r="CY21" s="51">
        <f t="shared" si="82"/>
        <v>305198.1475</v>
      </c>
      <c r="CZ21" s="51">
        <f t="shared" si="60"/>
        <v>56035.413199999995</v>
      </c>
      <c r="DA21" s="33">
        <f t="shared" si="35"/>
        <v>361233.56070000003</v>
      </c>
      <c r="DB21" s="35">
        <f t="shared" si="36"/>
        <v>11748.984647</v>
      </c>
      <c r="DC21" s="33"/>
      <c r="DD21" s="33">
        <f t="shared" si="83"/>
        <v>5635.5915</v>
      </c>
      <c r="DE21" s="33">
        <f t="shared" si="61"/>
        <v>1034.71368</v>
      </c>
      <c r="DF21" s="33">
        <f t="shared" si="62"/>
        <v>6670.30518</v>
      </c>
      <c r="DG21" s="35">
        <f t="shared" si="37"/>
        <v>216.9491478</v>
      </c>
      <c r="DH21" s="33"/>
      <c r="DI21" s="51">
        <f t="shared" si="84"/>
        <v>14.059000000000001</v>
      </c>
      <c r="DJ21" s="51">
        <f t="shared" si="63"/>
        <v>2.5812800000000005</v>
      </c>
      <c r="DK21" s="33">
        <f t="shared" si="13"/>
        <v>16.64028</v>
      </c>
      <c r="DL21" s="35">
        <f t="shared" si="38"/>
        <v>0.5412188</v>
      </c>
      <c r="DM21" s="33"/>
      <c r="DN21" s="33"/>
      <c r="DO21" s="33"/>
      <c r="DP21" s="33"/>
      <c r="DQ21" s="35">
        <f t="shared" si="39"/>
        <v>0</v>
      </c>
    </row>
    <row r="22" spans="1:121" ht="12.75">
      <c r="A22" s="19">
        <v>42644</v>
      </c>
      <c r="D22" s="35">
        <v>655825</v>
      </c>
      <c r="E22" s="35">
        <f t="shared" si="0"/>
        <v>655825</v>
      </c>
      <c r="F22" s="35">
        <v>159182</v>
      </c>
      <c r="H22" s="51"/>
      <c r="I22" s="51">
        <v>232244</v>
      </c>
      <c r="J22" s="51">
        <f t="shared" si="40"/>
        <v>232244</v>
      </c>
      <c r="K22" s="35">
        <v>56370.246159</v>
      </c>
      <c r="M22" s="51"/>
      <c r="N22" s="41">
        <f t="shared" si="14"/>
        <v>423581.2997875</v>
      </c>
      <c r="O22" s="33">
        <f t="shared" si="1"/>
        <v>423581.2997875</v>
      </c>
      <c r="P22" s="41">
        <f t="shared" si="14"/>
        <v>102811.753841</v>
      </c>
      <c r="R22" s="65"/>
      <c r="S22" s="65">
        <f t="shared" si="41"/>
        <v>66050.2999725</v>
      </c>
      <c r="T22" s="20">
        <f t="shared" si="2"/>
        <v>66050.2999725</v>
      </c>
      <c r="U22" s="35">
        <f t="shared" si="15"/>
        <v>16031.744520600001</v>
      </c>
      <c r="W22" s="65"/>
      <c r="X22" s="65">
        <f t="shared" si="42"/>
        <v>33932.7134125</v>
      </c>
      <c r="Y22" s="20">
        <f t="shared" si="3"/>
        <v>33932.7134125</v>
      </c>
      <c r="Z22" s="35">
        <f t="shared" si="16"/>
        <v>8236.156271</v>
      </c>
      <c r="AC22" s="33">
        <f t="shared" si="43"/>
        <v>255.9684975</v>
      </c>
      <c r="AD22" s="33">
        <f t="shared" si="85"/>
        <v>255.9684975</v>
      </c>
      <c r="AE22" s="35">
        <f t="shared" si="17"/>
        <v>62.1287346</v>
      </c>
      <c r="AG22" s="65"/>
      <c r="AH22" s="65">
        <f t="shared" si="44"/>
        <v>14361.124684999999</v>
      </c>
      <c r="AI22" s="20">
        <f t="shared" si="4"/>
        <v>14361.124684999999</v>
      </c>
      <c r="AJ22" s="35">
        <f t="shared" si="18"/>
        <v>3485.7355995999997</v>
      </c>
      <c r="AL22" s="65"/>
      <c r="AM22" s="65">
        <f t="shared" si="45"/>
        <v>70025.05855</v>
      </c>
      <c r="AN22" s="20">
        <f t="shared" si="5"/>
        <v>70025.05855</v>
      </c>
      <c r="AO22" s="35">
        <f t="shared" si="19"/>
        <v>16996.498868</v>
      </c>
      <c r="AP22" s="33"/>
      <c r="AQ22" s="65"/>
      <c r="AR22" s="65">
        <f t="shared" si="46"/>
        <v>12502.6478</v>
      </c>
      <c r="AS22" s="20">
        <f t="shared" si="6"/>
        <v>12502.6478</v>
      </c>
      <c r="AT22" s="35">
        <f t="shared" si="20"/>
        <v>3034.645648</v>
      </c>
      <c r="AU22" s="33"/>
      <c r="AV22" s="51"/>
      <c r="AW22" s="51">
        <f t="shared" si="47"/>
        <v>512.7239850000001</v>
      </c>
      <c r="AX22" s="33">
        <f t="shared" si="7"/>
        <v>512.7239850000001</v>
      </c>
      <c r="AY22" s="35">
        <f t="shared" si="21"/>
        <v>124.4484876</v>
      </c>
      <c r="AZ22" s="33"/>
      <c r="BA22" s="33"/>
      <c r="BB22" s="33">
        <f t="shared" si="48"/>
        <v>7601.142914999999</v>
      </c>
      <c r="BC22" s="33">
        <f t="shared" si="49"/>
        <v>7601.142914999999</v>
      </c>
      <c r="BD22" s="35">
        <f t="shared" si="22"/>
        <v>1844.9512164</v>
      </c>
      <c r="BE22" s="33"/>
      <c r="BF22" s="51"/>
      <c r="BG22" s="51">
        <f t="shared" si="50"/>
        <v>6506.308659999999</v>
      </c>
      <c r="BH22" s="33">
        <f t="shared" si="8"/>
        <v>6506.308659999999</v>
      </c>
      <c r="BI22" s="35">
        <f t="shared" si="23"/>
        <v>1579.2127856</v>
      </c>
      <c r="BJ22" s="33"/>
      <c r="BK22" s="51"/>
      <c r="BL22" s="51">
        <f t="shared" si="51"/>
        <v>7875.474512499999</v>
      </c>
      <c r="BM22" s="33">
        <f t="shared" si="9"/>
        <v>7875.474512499999</v>
      </c>
      <c r="BN22" s="35">
        <f t="shared" si="24"/>
        <v>1911.537047</v>
      </c>
      <c r="BO22" s="33"/>
      <c r="BP22" s="51"/>
      <c r="BQ22" s="51">
        <f t="shared" si="52"/>
        <v>1533.6467624999998</v>
      </c>
      <c r="BR22" s="33">
        <f t="shared" si="10"/>
        <v>1533.6467624999998</v>
      </c>
      <c r="BS22" s="35">
        <f t="shared" si="25"/>
        <v>372.24710699999997</v>
      </c>
      <c r="BT22" s="33"/>
      <c r="BU22" s="33"/>
      <c r="BV22" s="33">
        <f t="shared" si="53"/>
        <v>2500.2672300000004</v>
      </c>
      <c r="BW22" s="33">
        <f t="shared" si="54"/>
        <v>2500.2672300000004</v>
      </c>
      <c r="BX22" s="35">
        <f t="shared" si="26"/>
        <v>606.8654568000001</v>
      </c>
      <c r="BY22" s="33"/>
      <c r="BZ22" s="51"/>
      <c r="CA22" s="51">
        <f t="shared" si="55"/>
        <v>6095.49988</v>
      </c>
      <c r="CB22" s="33">
        <f t="shared" si="27"/>
        <v>6095.49988</v>
      </c>
      <c r="CC22" s="35">
        <f t="shared" si="28"/>
        <v>1479.5011808</v>
      </c>
      <c r="CD22" s="33"/>
      <c r="CE22" s="51"/>
      <c r="CF22" s="51">
        <f t="shared" si="56"/>
        <v>116927.432745</v>
      </c>
      <c r="CG22" s="33">
        <f t="shared" si="29"/>
        <v>116927.432745</v>
      </c>
      <c r="CH22" s="35">
        <f t="shared" si="30"/>
        <v>28380.6542892</v>
      </c>
      <c r="CI22" s="33"/>
      <c r="CJ22" s="51"/>
      <c r="CK22" s="51">
        <f t="shared" si="57"/>
        <v>24985.88318</v>
      </c>
      <c r="CL22" s="33">
        <f t="shared" si="11"/>
        <v>24985.88318</v>
      </c>
      <c r="CM22" s="35">
        <f t="shared" si="31"/>
        <v>6064.5795087999995</v>
      </c>
      <c r="CN22" s="33"/>
      <c r="CO22" s="51"/>
      <c r="CP22" s="51">
        <f t="shared" si="58"/>
        <v>2211.048405</v>
      </c>
      <c r="CQ22" s="33">
        <f t="shared" si="32"/>
        <v>2211.048405</v>
      </c>
      <c r="CR22" s="35">
        <f t="shared" si="33"/>
        <v>536.6661948</v>
      </c>
      <c r="CS22" s="33"/>
      <c r="CT22" s="51"/>
      <c r="CU22" s="51">
        <f t="shared" si="59"/>
        <v>402.54538499999995</v>
      </c>
      <c r="CV22" s="33">
        <f t="shared" si="12"/>
        <v>402.54538499999995</v>
      </c>
      <c r="CW22" s="35">
        <f t="shared" si="34"/>
        <v>97.7059116</v>
      </c>
      <c r="CX22" s="33"/>
      <c r="CY22" s="51"/>
      <c r="CZ22" s="51">
        <f t="shared" si="60"/>
        <v>48405.4595125</v>
      </c>
      <c r="DA22" s="33">
        <f t="shared" si="35"/>
        <v>48405.4595125</v>
      </c>
      <c r="DB22" s="35">
        <f t="shared" si="36"/>
        <v>11748.984647</v>
      </c>
      <c r="DC22" s="33"/>
      <c r="DD22" s="33"/>
      <c r="DE22" s="33">
        <f t="shared" si="61"/>
        <v>893.8238924999999</v>
      </c>
      <c r="DF22" s="33">
        <f t="shared" si="62"/>
        <v>893.8238924999999</v>
      </c>
      <c r="DG22" s="35">
        <f t="shared" si="37"/>
        <v>216.9491478</v>
      </c>
      <c r="DH22" s="33"/>
      <c r="DI22" s="51"/>
      <c r="DJ22" s="51">
        <f t="shared" si="63"/>
        <v>2.2298050000000003</v>
      </c>
      <c r="DK22" s="33">
        <f t="shared" si="13"/>
        <v>2.2298050000000003</v>
      </c>
      <c r="DL22" s="35">
        <f t="shared" si="38"/>
        <v>0.5412188</v>
      </c>
      <c r="DM22" s="33"/>
      <c r="DN22" s="33"/>
      <c r="DO22" s="33"/>
      <c r="DP22" s="33"/>
      <c r="DQ22" s="35">
        <f t="shared" si="39"/>
        <v>0</v>
      </c>
    </row>
    <row r="23" spans="1:121" ht="12.75">
      <c r="A23" s="19">
        <v>42826</v>
      </c>
      <c r="C23" s="35">
        <v>4340000</v>
      </c>
      <c r="D23" s="35">
        <v>655825</v>
      </c>
      <c r="E23" s="35">
        <f t="shared" si="0"/>
        <v>4995825</v>
      </c>
      <c r="F23" s="35">
        <v>159182</v>
      </c>
      <c r="H23" s="51">
        <v>1536900</v>
      </c>
      <c r="I23" s="51">
        <v>232244</v>
      </c>
      <c r="J23" s="51">
        <f t="shared" si="40"/>
        <v>1769144</v>
      </c>
      <c r="K23" s="35">
        <v>56370.246159</v>
      </c>
      <c r="M23" s="51">
        <f t="shared" si="64"/>
        <v>2803099.6700000004</v>
      </c>
      <c r="N23" s="41">
        <f t="shared" si="14"/>
        <v>423581.2997875</v>
      </c>
      <c r="O23" s="33">
        <f t="shared" si="1"/>
        <v>3226680.9697875003</v>
      </c>
      <c r="P23" s="41">
        <f t="shared" si="14"/>
        <v>102811.753841</v>
      </c>
      <c r="R23" s="65">
        <f t="shared" si="65"/>
        <v>437095.72199999995</v>
      </c>
      <c r="S23" s="65">
        <f t="shared" si="41"/>
        <v>66050.2999725</v>
      </c>
      <c r="T23" s="20">
        <f t="shared" si="2"/>
        <v>503146.02197249996</v>
      </c>
      <c r="U23" s="35">
        <f t="shared" si="15"/>
        <v>16031.744520600001</v>
      </c>
      <c r="W23" s="65">
        <f t="shared" si="66"/>
        <v>224553.77</v>
      </c>
      <c r="X23" s="65">
        <f t="shared" si="42"/>
        <v>33932.7134125</v>
      </c>
      <c r="Y23" s="20">
        <f t="shared" si="3"/>
        <v>258486.4834125</v>
      </c>
      <c r="Z23" s="35">
        <f t="shared" si="16"/>
        <v>8236.156271</v>
      </c>
      <c r="AB23" s="33">
        <f t="shared" si="67"/>
        <v>1693.902</v>
      </c>
      <c r="AC23" s="33">
        <f t="shared" si="43"/>
        <v>255.9684975</v>
      </c>
      <c r="AD23" s="33">
        <f t="shared" si="85"/>
        <v>1949.8704975</v>
      </c>
      <c r="AE23" s="35">
        <f t="shared" si="17"/>
        <v>62.1287346</v>
      </c>
      <c r="AG23" s="65">
        <f t="shared" si="68"/>
        <v>95036.45199999999</v>
      </c>
      <c r="AH23" s="65">
        <f t="shared" si="44"/>
        <v>14361.124684999999</v>
      </c>
      <c r="AI23" s="20">
        <f t="shared" si="4"/>
        <v>109397.57668499999</v>
      </c>
      <c r="AJ23" s="35">
        <f t="shared" si="18"/>
        <v>3485.7355995999997</v>
      </c>
      <c r="AL23" s="65">
        <f t="shared" si="69"/>
        <v>463399.16</v>
      </c>
      <c r="AM23" s="65">
        <f t="shared" si="45"/>
        <v>70025.05855</v>
      </c>
      <c r="AN23" s="20">
        <f t="shared" si="5"/>
        <v>533424.21855</v>
      </c>
      <c r="AO23" s="35">
        <f t="shared" si="19"/>
        <v>16996.498868</v>
      </c>
      <c r="AP23" s="33"/>
      <c r="AQ23" s="65">
        <f t="shared" si="70"/>
        <v>82737.76</v>
      </c>
      <c r="AR23" s="65">
        <f t="shared" si="46"/>
        <v>12502.6478</v>
      </c>
      <c r="AS23" s="20">
        <f t="shared" si="6"/>
        <v>95240.4078</v>
      </c>
      <c r="AT23" s="35">
        <f t="shared" si="20"/>
        <v>3034.645648</v>
      </c>
      <c r="AU23" s="33"/>
      <c r="AV23" s="51">
        <f t="shared" si="71"/>
        <v>3393.012</v>
      </c>
      <c r="AW23" s="51">
        <f t="shared" si="47"/>
        <v>512.7239850000001</v>
      </c>
      <c r="AX23" s="33">
        <f t="shared" si="7"/>
        <v>3905.7359850000003</v>
      </c>
      <c r="AY23" s="35">
        <f t="shared" si="21"/>
        <v>124.4484876</v>
      </c>
      <c r="AZ23" s="33"/>
      <c r="BA23" s="33">
        <f t="shared" si="72"/>
        <v>50301.468</v>
      </c>
      <c r="BB23" s="33">
        <f t="shared" si="48"/>
        <v>7601.142914999999</v>
      </c>
      <c r="BC23" s="33">
        <f t="shared" si="49"/>
        <v>57902.610915</v>
      </c>
      <c r="BD23" s="35">
        <f t="shared" si="22"/>
        <v>1844.9512164</v>
      </c>
      <c r="BE23" s="33"/>
      <c r="BF23" s="51">
        <f t="shared" si="73"/>
        <v>43056.272000000004</v>
      </c>
      <c r="BG23" s="51">
        <f t="shared" si="50"/>
        <v>6506.308659999999</v>
      </c>
      <c r="BH23" s="33">
        <f t="shared" si="8"/>
        <v>49562.58066000001</v>
      </c>
      <c r="BI23" s="35">
        <f t="shared" si="23"/>
        <v>1579.2127856</v>
      </c>
      <c r="BJ23" s="33"/>
      <c r="BK23" s="51">
        <f t="shared" si="74"/>
        <v>52116.89</v>
      </c>
      <c r="BL23" s="51">
        <f t="shared" si="51"/>
        <v>7875.474512499999</v>
      </c>
      <c r="BM23" s="33">
        <f t="shared" si="9"/>
        <v>59992.3645125</v>
      </c>
      <c r="BN23" s="35">
        <f t="shared" si="24"/>
        <v>1911.537047</v>
      </c>
      <c r="BO23" s="33"/>
      <c r="BP23" s="51">
        <f t="shared" si="75"/>
        <v>10149.09</v>
      </c>
      <c r="BQ23" s="51">
        <f t="shared" si="52"/>
        <v>1533.6467624999998</v>
      </c>
      <c r="BR23" s="33">
        <f t="shared" si="10"/>
        <v>11682.7367625</v>
      </c>
      <c r="BS23" s="35">
        <f t="shared" si="25"/>
        <v>372.24710699999997</v>
      </c>
      <c r="BT23" s="33"/>
      <c r="BU23" s="33">
        <f t="shared" si="76"/>
        <v>16545.816000000003</v>
      </c>
      <c r="BV23" s="33">
        <f t="shared" si="53"/>
        <v>2500.2672300000004</v>
      </c>
      <c r="BW23" s="33">
        <f t="shared" si="54"/>
        <v>19046.083230000004</v>
      </c>
      <c r="BX23" s="35">
        <f t="shared" si="26"/>
        <v>606.8654568000001</v>
      </c>
      <c r="BY23" s="33"/>
      <c r="BZ23" s="51">
        <f t="shared" si="77"/>
        <v>40337.696</v>
      </c>
      <c r="CA23" s="51">
        <f t="shared" si="55"/>
        <v>6095.49988</v>
      </c>
      <c r="CB23" s="33">
        <f t="shared" si="27"/>
        <v>46433.19588000001</v>
      </c>
      <c r="CC23" s="35">
        <f t="shared" si="28"/>
        <v>1479.5011808</v>
      </c>
      <c r="CD23" s="33"/>
      <c r="CE23" s="51">
        <f t="shared" si="78"/>
        <v>773781.2039999999</v>
      </c>
      <c r="CF23" s="51">
        <f t="shared" si="56"/>
        <v>116927.432745</v>
      </c>
      <c r="CG23" s="33">
        <f t="shared" si="29"/>
        <v>890708.6367449999</v>
      </c>
      <c r="CH23" s="35">
        <f t="shared" si="30"/>
        <v>28380.6542892</v>
      </c>
      <c r="CI23" s="33"/>
      <c r="CJ23" s="51">
        <f t="shared" si="79"/>
        <v>165347.05599999998</v>
      </c>
      <c r="CK23" s="51">
        <f t="shared" si="57"/>
        <v>24985.88318</v>
      </c>
      <c r="CL23" s="33">
        <f t="shared" si="11"/>
        <v>190332.93918</v>
      </c>
      <c r="CM23" s="35">
        <f t="shared" si="31"/>
        <v>6064.5795087999995</v>
      </c>
      <c r="CN23" s="33"/>
      <c r="CO23" s="51">
        <f t="shared" si="80"/>
        <v>14631.876</v>
      </c>
      <c r="CP23" s="51">
        <f t="shared" si="58"/>
        <v>2211.048405</v>
      </c>
      <c r="CQ23" s="33">
        <f t="shared" si="32"/>
        <v>16842.924405</v>
      </c>
      <c r="CR23" s="35">
        <f t="shared" si="33"/>
        <v>536.6661948</v>
      </c>
      <c r="CS23" s="33"/>
      <c r="CT23" s="51">
        <f t="shared" si="81"/>
        <v>2663.8920000000003</v>
      </c>
      <c r="CU23" s="51">
        <f t="shared" si="59"/>
        <v>402.54538499999995</v>
      </c>
      <c r="CV23" s="33">
        <f t="shared" si="12"/>
        <v>3066.437385</v>
      </c>
      <c r="CW23" s="35">
        <f t="shared" si="34"/>
        <v>97.7059116</v>
      </c>
      <c r="CX23" s="33"/>
      <c r="CY23" s="51">
        <f t="shared" si="82"/>
        <v>320328.89</v>
      </c>
      <c r="CZ23" s="51">
        <f t="shared" si="60"/>
        <v>48405.4595125</v>
      </c>
      <c r="DA23" s="33">
        <f t="shared" si="35"/>
        <v>368734.3495125</v>
      </c>
      <c r="DB23" s="35">
        <f t="shared" si="36"/>
        <v>11748.984647</v>
      </c>
      <c r="DC23" s="33"/>
      <c r="DD23" s="33">
        <f t="shared" si="83"/>
        <v>5914.986</v>
      </c>
      <c r="DE23" s="33">
        <f t="shared" si="61"/>
        <v>893.8238924999999</v>
      </c>
      <c r="DF23" s="33">
        <f t="shared" si="62"/>
        <v>6808.8098924999995</v>
      </c>
      <c r="DG23" s="35">
        <f t="shared" si="37"/>
        <v>216.9491478</v>
      </c>
      <c r="DH23" s="33"/>
      <c r="DI23" s="51">
        <f t="shared" si="84"/>
        <v>14.756000000000002</v>
      </c>
      <c r="DJ23" s="51">
        <f t="shared" si="63"/>
        <v>2.2298050000000003</v>
      </c>
      <c r="DK23" s="33">
        <f t="shared" si="13"/>
        <v>16.985805000000003</v>
      </c>
      <c r="DL23" s="35">
        <f t="shared" si="38"/>
        <v>0.5412188</v>
      </c>
      <c r="DM23" s="33"/>
      <c r="DN23" s="33"/>
      <c r="DO23" s="33"/>
      <c r="DP23" s="33"/>
      <c r="DQ23" s="35">
        <f t="shared" si="39"/>
        <v>0</v>
      </c>
    </row>
    <row r="24" spans="1:121" ht="12.75">
      <c r="A24" s="19">
        <v>43009</v>
      </c>
      <c r="B24" s="27"/>
      <c r="D24" s="35">
        <v>547325</v>
      </c>
      <c r="E24" s="35">
        <f t="shared" si="0"/>
        <v>547325</v>
      </c>
      <c r="F24" s="35">
        <v>159182</v>
      </c>
      <c r="H24" s="51"/>
      <c r="I24" s="51">
        <v>193821</v>
      </c>
      <c r="J24" s="51">
        <f t="shared" si="40"/>
        <v>193821</v>
      </c>
      <c r="K24" s="35">
        <v>56370.246159</v>
      </c>
      <c r="M24" s="51"/>
      <c r="N24" s="41">
        <f t="shared" si="14"/>
        <v>353503.8080374999</v>
      </c>
      <c r="O24" s="33">
        <f t="shared" si="1"/>
        <v>353503.8080374999</v>
      </c>
      <c r="P24" s="41">
        <f t="shared" si="14"/>
        <v>102811.753841</v>
      </c>
      <c r="R24" s="65"/>
      <c r="S24" s="65">
        <f t="shared" si="41"/>
        <v>55122.90692249999</v>
      </c>
      <c r="T24" s="20">
        <f t="shared" si="2"/>
        <v>55122.90692249999</v>
      </c>
      <c r="U24" s="35">
        <f t="shared" si="15"/>
        <v>16031.744520600001</v>
      </c>
      <c r="W24" s="65"/>
      <c r="X24" s="65">
        <f t="shared" si="42"/>
        <v>28318.869162500003</v>
      </c>
      <c r="Y24" s="20">
        <f t="shared" si="3"/>
        <v>28318.869162500003</v>
      </c>
      <c r="Z24" s="35">
        <f t="shared" si="16"/>
        <v>8236.156271</v>
      </c>
      <c r="AC24" s="33">
        <f t="shared" si="43"/>
        <v>213.6209475</v>
      </c>
      <c r="AD24" s="33">
        <f t="shared" si="85"/>
        <v>213.6209475</v>
      </c>
      <c r="AE24" s="35">
        <f t="shared" si="17"/>
        <v>62.1287346</v>
      </c>
      <c r="AG24" s="65"/>
      <c r="AH24" s="65">
        <f t="shared" si="44"/>
        <v>11985.213385</v>
      </c>
      <c r="AI24" s="20">
        <f t="shared" si="4"/>
        <v>11985.213385</v>
      </c>
      <c r="AJ24" s="35">
        <f t="shared" si="18"/>
        <v>3485.7355995999997</v>
      </c>
      <c r="AL24" s="65"/>
      <c r="AM24" s="65">
        <f t="shared" si="45"/>
        <v>58440.07955</v>
      </c>
      <c r="AN24" s="20">
        <f t="shared" si="5"/>
        <v>58440.07955</v>
      </c>
      <c r="AO24" s="35">
        <f t="shared" si="19"/>
        <v>16996.498868</v>
      </c>
      <c r="AP24" s="33"/>
      <c r="AQ24" s="65"/>
      <c r="AR24" s="65">
        <f t="shared" si="46"/>
        <v>10434.2038</v>
      </c>
      <c r="AS24" s="20">
        <f t="shared" si="6"/>
        <v>10434.2038</v>
      </c>
      <c r="AT24" s="35">
        <f t="shared" si="20"/>
        <v>3034.645648</v>
      </c>
      <c r="AU24" s="33"/>
      <c r="AV24" s="51"/>
      <c r="AW24" s="51">
        <f t="shared" si="47"/>
        <v>427.89868499999994</v>
      </c>
      <c r="AX24" s="33">
        <f t="shared" si="7"/>
        <v>427.89868499999994</v>
      </c>
      <c r="AY24" s="35">
        <f t="shared" si="21"/>
        <v>124.4484876</v>
      </c>
      <c r="AZ24" s="33"/>
      <c r="BA24" s="33"/>
      <c r="BB24" s="33">
        <f t="shared" si="48"/>
        <v>6343.606215</v>
      </c>
      <c r="BC24" s="33">
        <f t="shared" si="49"/>
        <v>6343.606215</v>
      </c>
      <c r="BD24" s="35">
        <f t="shared" si="22"/>
        <v>1844.9512164</v>
      </c>
      <c r="BE24" s="33"/>
      <c r="BF24" s="51"/>
      <c r="BG24" s="51">
        <f t="shared" si="50"/>
        <v>5429.90186</v>
      </c>
      <c r="BH24" s="33">
        <f t="shared" si="8"/>
        <v>5429.90186</v>
      </c>
      <c r="BI24" s="35">
        <f t="shared" si="23"/>
        <v>1579.2127856</v>
      </c>
      <c r="BJ24" s="33"/>
      <c r="BK24" s="51"/>
      <c r="BL24" s="51">
        <f t="shared" si="51"/>
        <v>6572.552262499999</v>
      </c>
      <c r="BM24" s="33">
        <f t="shared" si="9"/>
        <v>6572.552262499999</v>
      </c>
      <c r="BN24" s="35">
        <f t="shared" si="24"/>
        <v>1911.537047</v>
      </c>
      <c r="BO24" s="33"/>
      <c r="BP24" s="51"/>
      <c r="BQ24" s="51">
        <f t="shared" si="52"/>
        <v>1279.9195124999999</v>
      </c>
      <c r="BR24" s="33">
        <f t="shared" si="10"/>
        <v>1279.9195124999999</v>
      </c>
      <c r="BS24" s="35">
        <f t="shared" si="25"/>
        <v>372.24710699999997</v>
      </c>
      <c r="BT24" s="33"/>
      <c r="BU24" s="33"/>
      <c r="BV24" s="33">
        <f t="shared" si="53"/>
        <v>2086.62183</v>
      </c>
      <c r="BW24" s="33">
        <f t="shared" si="54"/>
        <v>2086.62183</v>
      </c>
      <c r="BX24" s="35">
        <f t="shared" si="26"/>
        <v>606.8654568000001</v>
      </c>
      <c r="BY24" s="33"/>
      <c r="BZ24" s="51"/>
      <c r="CA24" s="51">
        <f t="shared" si="55"/>
        <v>5087.05748</v>
      </c>
      <c r="CB24" s="33">
        <f t="shared" si="27"/>
        <v>5087.05748</v>
      </c>
      <c r="CC24" s="35">
        <f t="shared" si="28"/>
        <v>1479.5011808</v>
      </c>
      <c r="CD24" s="33"/>
      <c r="CE24" s="51"/>
      <c r="CF24" s="51">
        <f t="shared" si="56"/>
        <v>97582.902645</v>
      </c>
      <c r="CG24" s="33">
        <f t="shared" si="29"/>
        <v>97582.902645</v>
      </c>
      <c r="CH24" s="35">
        <f t="shared" si="30"/>
        <v>28380.6542892</v>
      </c>
      <c r="CI24" s="33"/>
      <c r="CJ24" s="51"/>
      <c r="CK24" s="51">
        <f t="shared" si="57"/>
        <v>20852.206779999997</v>
      </c>
      <c r="CL24" s="33">
        <f t="shared" si="11"/>
        <v>20852.206779999997</v>
      </c>
      <c r="CM24" s="35">
        <f t="shared" si="31"/>
        <v>6064.5795087999995</v>
      </c>
      <c r="CN24" s="33"/>
      <c r="CO24" s="51"/>
      <c r="CP24" s="51">
        <f t="shared" si="58"/>
        <v>1845.251505</v>
      </c>
      <c r="CQ24" s="33">
        <f t="shared" si="32"/>
        <v>1845.251505</v>
      </c>
      <c r="CR24" s="35">
        <f t="shared" si="33"/>
        <v>536.6661948</v>
      </c>
      <c r="CS24" s="33"/>
      <c r="CT24" s="51"/>
      <c r="CU24" s="51">
        <f t="shared" si="59"/>
        <v>335.948085</v>
      </c>
      <c r="CV24" s="33">
        <f t="shared" si="12"/>
        <v>335.948085</v>
      </c>
      <c r="CW24" s="35">
        <f t="shared" si="34"/>
        <v>97.7059116</v>
      </c>
      <c r="CX24" s="33"/>
      <c r="CY24" s="51"/>
      <c r="CZ24" s="51">
        <f t="shared" si="60"/>
        <v>40397.2372625</v>
      </c>
      <c r="DA24" s="33">
        <f t="shared" si="35"/>
        <v>40397.2372625</v>
      </c>
      <c r="DB24" s="35">
        <f t="shared" si="36"/>
        <v>11748.984647</v>
      </c>
      <c r="DC24" s="33"/>
      <c r="DD24" s="33"/>
      <c r="DE24" s="33">
        <f t="shared" si="61"/>
        <v>745.9492425</v>
      </c>
      <c r="DF24" s="33">
        <f t="shared" si="62"/>
        <v>745.9492425</v>
      </c>
      <c r="DG24" s="35">
        <f t="shared" si="37"/>
        <v>216.9491478</v>
      </c>
      <c r="DH24" s="33"/>
      <c r="DI24" s="51"/>
      <c r="DJ24" s="51">
        <f t="shared" si="63"/>
        <v>1.8609050000000003</v>
      </c>
      <c r="DK24" s="33">
        <f t="shared" si="13"/>
        <v>1.8609050000000003</v>
      </c>
      <c r="DL24" s="35">
        <f t="shared" si="38"/>
        <v>0.5412188</v>
      </c>
      <c r="DM24" s="33"/>
      <c r="DN24" s="33"/>
      <c r="DO24" s="33"/>
      <c r="DP24" s="33"/>
      <c r="DQ24" s="35">
        <f t="shared" si="39"/>
        <v>0</v>
      </c>
    </row>
    <row r="25" spans="1:121" ht="12.75">
      <c r="A25" s="19">
        <v>43191</v>
      </c>
      <c r="C25" s="35">
        <v>4560000</v>
      </c>
      <c r="D25" s="35">
        <v>547325</v>
      </c>
      <c r="E25" s="35">
        <f t="shared" si="0"/>
        <v>5107325</v>
      </c>
      <c r="F25" s="35">
        <v>159182</v>
      </c>
      <c r="H25" s="51">
        <v>1614808</v>
      </c>
      <c r="I25" s="51">
        <v>193821</v>
      </c>
      <c r="J25" s="51">
        <f t="shared" si="40"/>
        <v>1808629</v>
      </c>
      <c r="K25" s="35">
        <v>56370.246159</v>
      </c>
      <c r="M25" s="51">
        <f t="shared" si="64"/>
        <v>2945192.28</v>
      </c>
      <c r="N25" s="41">
        <f t="shared" si="14"/>
        <v>353503.8080374999</v>
      </c>
      <c r="O25" s="33">
        <f t="shared" si="1"/>
        <v>3298696.0880374997</v>
      </c>
      <c r="P25" s="41">
        <f t="shared" si="14"/>
        <v>102811.753841</v>
      </c>
      <c r="R25" s="65">
        <f t="shared" si="65"/>
        <v>459252.648</v>
      </c>
      <c r="S25" s="65">
        <f t="shared" si="41"/>
        <v>55122.90692249999</v>
      </c>
      <c r="T25" s="20">
        <f t="shared" si="2"/>
        <v>514375.5549225</v>
      </c>
      <c r="U25" s="35">
        <f t="shared" si="15"/>
        <v>16031.744520600001</v>
      </c>
      <c r="W25" s="65">
        <f t="shared" si="66"/>
        <v>235936.68</v>
      </c>
      <c r="X25" s="65">
        <f t="shared" si="42"/>
        <v>28318.869162500003</v>
      </c>
      <c r="Y25" s="20">
        <f t="shared" si="3"/>
        <v>264255.5491625</v>
      </c>
      <c r="Z25" s="35">
        <f t="shared" si="16"/>
        <v>8236.156271</v>
      </c>
      <c r="AB25" s="33">
        <f t="shared" si="67"/>
        <v>1779.7680000000003</v>
      </c>
      <c r="AC25" s="33">
        <f t="shared" si="43"/>
        <v>213.6209475</v>
      </c>
      <c r="AD25" s="33">
        <f t="shared" si="85"/>
        <v>1993.3889475000003</v>
      </c>
      <c r="AE25" s="35">
        <f t="shared" si="17"/>
        <v>62.1287346</v>
      </c>
      <c r="AG25" s="65">
        <f t="shared" si="68"/>
        <v>99853.968</v>
      </c>
      <c r="AH25" s="65">
        <f t="shared" si="44"/>
        <v>11985.213385</v>
      </c>
      <c r="AI25" s="20">
        <f t="shared" si="4"/>
        <v>111839.18138499999</v>
      </c>
      <c r="AJ25" s="35">
        <f t="shared" si="18"/>
        <v>3485.7355995999997</v>
      </c>
      <c r="AL25" s="65">
        <f t="shared" si="69"/>
        <v>486889.44</v>
      </c>
      <c r="AM25" s="65">
        <f t="shared" si="45"/>
        <v>58440.07955</v>
      </c>
      <c r="AN25" s="20">
        <f t="shared" si="5"/>
        <v>545329.51955</v>
      </c>
      <c r="AO25" s="35">
        <f t="shared" si="19"/>
        <v>16996.498868</v>
      </c>
      <c r="AP25" s="33"/>
      <c r="AQ25" s="65">
        <f t="shared" si="70"/>
        <v>86931.84</v>
      </c>
      <c r="AR25" s="65">
        <f t="shared" si="46"/>
        <v>10434.2038</v>
      </c>
      <c r="AS25" s="20">
        <f t="shared" si="6"/>
        <v>97366.0438</v>
      </c>
      <c r="AT25" s="35">
        <f t="shared" si="20"/>
        <v>3034.645648</v>
      </c>
      <c r="AU25" s="33"/>
      <c r="AV25" s="51">
        <f t="shared" si="71"/>
        <v>3565.008</v>
      </c>
      <c r="AW25" s="51">
        <f t="shared" si="47"/>
        <v>427.89868499999994</v>
      </c>
      <c r="AX25" s="33">
        <f t="shared" si="7"/>
        <v>3992.906685</v>
      </c>
      <c r="AY25" s="35">
        <f t="shared" si="21"/>
        <v>124.4484876</v>
      </c>
      <c r="AZ25" s="33"/>
      <c r="BA25" s="33">
        <f t="shared" si="72"/>
        <v>52851.312000000005</v>
      </c>
      <c r="BB25" s="33">
        <f t="shared" si="48"/>
        <v>6343.606215</v>
      </c>
      <c r="BC25" s="33">
        <f t="shared" si="49"/>
        <v>59194.918215000005</v>
      </c>
      <c r="BD25" s="35">
        <f t="shared" si="22"/>
        <v>1844.9512164</v>
      </c>
      <c r="BE25" s="33"/>
      <c r="BF25" s="51">
        <f t="shared" si="73"/>
        <v>45238.848</v>
      </c>
      <c r="BG25" s="51">
        <f t="shared" si="50"/>
        <v>5429.90186</v>
      </c>
      <c r="BH25" s="33">
        <f t="shared" si="8"/>
        <v>50668.749859999996</v>
      </c>
      <c r="BI25" s="35">
        <f t="shared" si="23"/>
        <v>1579.2127856</v>
      </c>
      <c r="BJ25" s="33"/>
      <c r="BK25" s="51">
        <f t="shared" si="74"/>
        <v>54758.76</v>
      </c>
      <c r="BL25" s="51">
        <f t="shared" si="51"/>
        <v>6572.552262499999</v>
      </c>
      <c r="BM25" s="33">
        <f t="shared" si="9"/>
        <v>61331.3122625</v>
      </c>
      <c r="BN25" s="35">
        <f t="shared" si="24"/>
        <v>1911.537047</v>
      </c>
      <c r="BO25" s="33"/>
      <c r="BP25" s="51">
        <f t="shared" si="75"/>
        <v>10663.56</v>
      </c>
      <c r="BQ25" s="51">
        <f t="shared" si="52"/>
        <v>1279.9195124999999</v>
      </c>
      <c r="BR25" s="33">
        <f t="shared" si="10"/>
        <v>11943.4795125</v>
      </c>
      <c r="BS25" s="35">
        <f t="shared" si="25"/>
        <v>372.24710699999997</v>
      </c>
      <c r="BT25" s="33"/>
      <c r="BU25" s="33">
        <f t="shared" si="76"/>
        <v>17384.544</v>
      </c>
      <c r="BV25" s="33">
        <f t="shared" si="53"/>
        <v>2086.62183</v>
      </c>
      <c r="BW25" s="33">
        <f t="shared" si="54"/>
        <v>19471.16583</v>
      </c>
      <c r="BX25" s="35">
        <f t="shared" si="26"/>
        <v>606.8654568000001</v>
      </c>
      <c r="BY25" s="33"/>
      <c r="BZ25" s="51">
        <f t="shared" si="77"/>
        <v>42382.46400000001</v>
      </c>
      <c r="CA25" s="51">
        <f t="shared" si="55"/>
        <v>5087.05748</v>
      </c>
      <c r="CB25" s="33">
        <f t="shared" si="27"/>
        <v>47469.52148000001</v>
      </c>
      <c r="CC25" s="35">
        <f t="shared" si="28"/>
        <v>1479.5011808</v>
      </c>
      <c r="CD25" s="33"/>
      <c r="CE25" s="51">
        <f t="shared" si="78"/>
        <v>813005.1359999999</v>
      </c>
      <c r="CF25" s="51">
        <f t="shared" si="56"/>
        <v>97582.902645</v>
      </c>
      <c r="CG25" s="33">
        <f t="shared" si="29"/>
        <v>910588.038645</v>
      </c>
      <c r="CH25" s="35">
        <f t="shared" si="30"/>
        <v>28380.6542892</v>
      </c>
      <c r="CI25" s="33"/>
      <c r="CJ25" s="51">
        <f t="shared" si="79"/>
        <v>173728.704</v>
      </c>
      <c r="CK25" s="51">
        <f t="shared" si="57"/>
        <v>20852.206779999997</v>
      </c>
      <c r="CL25" s="33">
        <f t="shared" si="11"/>
        <v>194580.91078</v>
      </c>
      <c r="CM25" s="35">
        <f t="shared" si="31"/>
        <v>6064.5795087999995</v>
      </c>
      <c r="CN25" s="33"/>
      <c r="CO25" s="51">
        <f t="shared" si="80"/>
        <v>15373.583999999999</v>
      </c>
      <c r="CP25" s="51">
        <f t="shared" si="58"/>
        <v>1845.251505</v>
      </c>
      <c r="CQ25" s="33">
        <f t="shared" si="32"/>
        <v>17218.835505</v>
      </c>
      <c r="CR25" s="35">
        <f t="shared" si="33"/>
        <v>536.6661948</v>
      </c>
      <c r="CS25" s="33"/>
      <c r="CT25" s="51">
        <f t="shared" si="81"/>
        <v>2798.928</v>
      </c>
      <c r="CU25" s="51">
        <f t="shared" si="59"/>
        <v>335.948085</v>
      </c>
      <c r="CV25" s="33">
        <f t="shared" si="12"/>
        <v>3134.876085</v>
      </c>
      <c r="CW25" s="35">
        <f t="shared" si="34"/>
        <v>97.7059116</v>
      </c>
      <c r="CX25" s="33"/>
      <c r="CY25" s="51">
        <f t="shared" si="82"/>
        <v>336566.76</v>
      </c>
      <c r="CZ25" s="51">
        <f t="shared" si="60"/>
        <v>40397.2372625</v>
      </c>
      <c r="DA25" s="33">
        <f t="shared" si="35"/>
        <v>376963.9972625</v>
      </c>
      <c r="DB25" s="35">
        <f t="shared" si="36"/>
        <v>11748.984647</v>
      </c>
      <c r="DC25" s="33"/>
      <c r="DD25" s="33">
        <f t="shared" si="83"/>
        <v>6214.8240000000005</v>
      </c>
      <c r="DE25" s="33">
        <f t="shared" si="61"/>
        <v>745.9492425</v>
      </c>
      <c r="DF25" s="33">
        <f t="shared" si="62"/>
        <v>6960.7732425</v>
      </c>
      <c r="DG25" s="35">
        <f t="shared" si="37"/>
        <v>216.9491478</v>
      </c>
      <c r="DH25" s="33"/>
      <c r="DI25" s="51">
        <f t="shared" si="84"/>
        <v>15.504000000000001</v>
      </c>
      <c r="DJ25" s="51">
        <f t="shared" si="63"/>
        <v>1.8609050000000003</v>
      </c>
      <c r="DK25" s="33">
        <f t="shared" si="13"/>
        <v>17.364905</v>
      </c>
      <c r="DL25" s="35">
        <f t="shared" si="38"/>
        <v>0.5412188</v>
      </c>
      <c r="DM25" s="33"/>
      <c r="DN25" s="33"/>
      <c r="DO25" s="33"/>
      <c r="DP25" s="33"/>
      <c r="DQ25" s="35">
        <f t="shared" si="39"/>
        <v>0</v>
      </c>
    </row>
    <row r="26" spans="1:121" ht="12.75">
      <c r="A26" s="19">
        <v>43374</v>
      </c>
      <c r="D26" s="35">
        <v>433325</v>
      </c>
      <c r="E26" s="35">
        <f t="shared" si="0"/>
        <v>433325</v>
      </c>
      <c r="F26" s="35">
        <v>159182</v>
      </c>
      <c r="H26" s="51"/>
      <c r="I26" s="51">
        <v>153451</v>
      </c>
      <c r="J26" s="51">
        <f t="shared" si="40"/>
        <v>153451</v>
      </c>
      <c r="K26" s="35">
        <v>56370.246159</v>
      </c>
      <c r="M26" s="51"/>
      <c r="N26" s="41">
        <f t="shared" si="14"/>
        <v>279874.0010375</v>
      </c>
      <c r="O26" s="33">
        <f t="shared" si="1"/>
        <v>279874.0010375</v>
      </c>
      <c r="P26" s="41">
        <f t="shared" si="14"/>
        <v>102811.753841</v>
      </c>
      <c r="R26" s="65"/>
      <c r="S26" s="65">
        <f t="shared" si="41"/>
        <v>43641.590722500005</v>
      </c>
      <c r="T26" s="20">
        <f t="shared" si="2"/>
        <v>43641.590722500005</v>
      </c>
      <c r="U26" s="35">
        <f t="shared" si="15"/>
        <v>16031.744520600001</v>
      </c>
      <c r="W26" s="65"/>
      <c r="X26" s="65">
        <f t="shared" si="42"/>
        <v>22420.4521625</v>
      </c>
      <c r="Y26" s="20">
        <f t="shared" si="3"/>
        <v>22420.4521625</v>
      </c>
      <c r="Z26" s="35">
        <f t="shared" si="16"/>
        <v>8236.156271</v>
      </c>
      <c r="AC26" s="33">
        <f t="shared" si="43"/>
        <v>169.12674750000002</v>
      </c>
      <c r="AD26" s="33">
        <f t="shared" si="85"/>
        <v>169.12674750000002</v>
      </c>
      <c r="AE26" s="35">
        <f t="shared" si="17"/>
        <v>62.1287346</v>
      </c>
      <c r="AG26" s="65"/>
      <c r="AH26" s="65">
        <f t="shared" si="44"/>
        <v>9488.864184999999</v>
      </c>
      <c r="AI26" s="20">
        <f t="shared" si="4"/>
        <v>9488.864184999999</v>
      </c>
      <c r="AJ26" s="35">
        <f t="shared" si="18"/>
        <v>3485.7355995999997</v>
      </c>
      <c r="AL26" s="65"/>
      <c r="AM26" s="65">
        <f t="shared" si="45"/>
        <v>46267.843550000005</v>
      </c>
      <c r="AN26" s="20">
        <f t="shared" si="5"/>
        <v>46267.843550000005</v>
      </c>
      <c r="AO26" s="35">
        <f t="shared" si="19"/>
        <v>16996.498868</v>
      </c>
      <c r="AP26" s="33"/>
      <c r="AQ26" s="65"/>
      <c r="AR26" s="65">
        <f t="shared" si="46"/>
        <v>8260.9078</v>
      </c>
      <c r="AS26" s="20">
        <f t="shared" si="6"/>
        <v>8260.9078</v>
      </c>
      <c r="AT26" s="35">
        <f t="shared" si="20"/>
        <v>3034.645648</v>
      </c>
      <c r="AU26" s="33"/>
      <c r="AV26" s="51"/>
      <c r="AW26" s="51">
        <f t="shared" si="47"/>
        <v>338.773485</v>
      </c>
      <c r="AX26" s="33">
        <f t="shared" si="7"/>
        <v>338.773485</v>
      </c>
      <c r="AY26" s="35">
        <f t="shared" si="21"/>
        <v>124.4484876</v>
      </c>
      <c r="AZ26" s="33"/>
      <c r="BA26" s="33"/>
      <c r="BB26" s="33">
        <f t="shared" si="48"/>
        <v>5022.323415</v>
      </c>
      <c r="BC26" s="33">
        <f t="shared" si="49"/>
        <v>5022.323415</v>
      </c>
      <c r="BD26" s="35">
        <f t="shared" si="22"/>
        <v>1844.9512164</v>
      </c>
      <c r="BE26" s="33"/>
      <c r="BF26" s="51"/>
      <c r="BG26" s="51">
        <f t="shared" si="50"/>
        <v>4298.93066</v>
      </c>
      <c r="BH26" s="33">
        <f t="shared" si="8"/>
        <v>4298.93066</v>
      </c>
      <c r="BI26" s="35">
        <f t="shared" si="23"/>
        <v>1579.2127856</v>
      </c>
      <c r="BJ26" s="33"/>
      <c r="BK26" s="51"/>
      <c r="BL26" s="51">
        <f t="shared" si="51"/>
        <v>5203.5832625</v>
      </c>
      <c r="BM26" s="33">
        <f t="shared" si="9"/>
        <v>5203.5832625</v>
      </c>
      <c r="BN26" s="35">
        <f t="shared" si="24"/>
        <v>1911.537047</v>
      </c>
      <c r="BO26" s="33"/>
      <c r="BP26" s="51"/>
      <c r="BQ26" s="51">
        <f t="shared" si="52"/>
        <v>1013.3305125</v>
      </c>
      <c r="BR26" s="33">
        <f t="shared" si="10"/>
        <v>1013.3305125</v>
      </c>
      <c r="BS26" s="35">
        <f t="shared" si="25"/>
        <v>372.24710699999997</v>
      </c>
      <c r="BT26" s="33"/>
      <c r="BU26" s="33"/>
      <c r="BV26" s="33">
        <f t="shared" si="53"/>
        <v>1652.0082300000001</v>
      </c>
      <c r="BW26" s="33">
        <f t="shared" si="54"/>
        <v>1652.0082300000001</v>
      </c>
      <c r="BX26" s="35">
        <f t="shared" si="26"/>
        <v>606.8654568000001</v>
      </c>
      <c r="BY26" s="33"/>
      <c r="BZ26" s="51"/>
      <c r="CA26" s="51">
        <f t="shared" si="55"/>
        <v>4027.4958800000004</v>
      </c>
      <c r="CB26" s="33">
        <f t="shared" si="27"/>
        <v>4027.4958800000004</v>
      </c>
      <c r="CC26" s="35">
        <f t="shared" si="28"/>
        <v>1479.5011808</v>
      </c>
      <c r="CD26" s="33"/>
      <c r="CE26" s="51"/>
      <c r="CF26" s="51">
        <f t="shared" si="56"/>
        <v>77257.774245</v>
      </c>
      <c r="CG26" s="33">
        <f t="shared" si="29"/>
        <v>77257.774245</v>
      </c>
      <c r="CH26" s="35">
        <f t="shared" si="30"/>
        <v>28380.6542892</v>
      </c>
      <c r="CI26" s="33"/>
      <c r="CJ26" s="51"/>
      <c r="CK26" s="51">
        <f t="shared" si="57"/>
        <v>16508.98918</v>
      </c>
      <c r="CL26" s="33">
        <f t="shared" si="11"/>
        <v>16508.98918</v>
      </c>
      <c r="CM26" s="35">
        <f t="shared" si="31"/>
        <v>6064.5795087999995</v>
      </c>
      <c r="CN26" s="33"/>
      <c r="CO26" s="51"/>
      <c r="CP26" s="51">
        <f t="shared" si="58"/>
        <v>1460.911905</v>
      </c>
      <c r="CQ26" s="33">
        <f t="shared" si="32"/>
        <v>1460.911905</v>
      </c>
      <c r="CR26" s="35">
        <f t="shared" si="33"/>
        <v>536.6661948</v>
      </c>
      <c r="CS26" s="33"/>
      <c r="CT26" s="51"/>
      <c r="CU26" s="51">
        <f t="shared" si="59"/>
        <v>265.974885</v>
      </c>
      <c r="CV26" s="33">
        <f t="shared" si="12"/>
        <v>265.974885</v>
      </c>
      <c r="CW26" s="35">
        <f t="shared" si="34"/>
        <v>97.7059116</v>
      </c>
      <c r="CX26" s="33"/>
      <c r="CY26" s="51"/>
      <c r="CZ26" s="51">
        <f t="shared" si="60"/>
        <v>31983.0682625</v>
      </c>
      <c r="DA26" s="33">
        <f t="shared" si="35"/>
        <v>31983.0682625</v>
      </c>
      <c r="DB26" s="35">
        <f t="shared" si="36"/>
        <v>11748.984647</v>
      </c>
      <c r="DC26" s="33"/>
      <c r="DD26" s="33"/>
      <c r="DE26" s="33">
        <f t="shared" si="61"/>
        <v>590.5786425</v>
      </c>
      <c r="DF26" s="33">
        <f t="shared" si="62"/>
        <v>590.5786425</v>
      </c>
      <c r="DG26" s="35">
        <f t="shared" si="37"/>
        <v>216.9491478</v>
      </c>
      <c r="DH26" s="33"/>
      <c r="DI26" s="51"/>
      <c r="DJ26" s="51">
        <f t="shared" si="63"/>
        <v>1.473305</v>
      </c>
      <c r="DK26" s="33">
        <f t="shared" si="13"/>
        <v>1.473305</v>
      </c>
      <c r="DL26" s="35">
        <f t="shared" si="38"/>
        <v>0.5412188</v>
      </c>
      <c r="DM26" s="33"/>
      <c r="DN26" s="33"/>
      <c r="DO26" s="33"/>
      <c r="DP26" s="33"/>
      <c r="DQ26" s="35">
        <f t="shared" si="39"/>
        <v>0</v>
      </c>
    </row>
    <row r="27" spans="1:121" ht="12.75">
      <c r="A27" s="19">
        <v>43556</v>
      </c>
      <c r="C27" s="35">
        <v>4785000</v>
      </c>
      <c r="D27" s="35">
        <v>433325</v>
      </c>
      <c r="E27" s="35">
        <f t="shared" si="0"/>
        <v>5218325</v>
      </c>
      <c r="F27" s="35">
        <v>159182</v>
      </c>
      <c r="H27" s="51">
        <v>1694486</v>
      </c>
      <c r="I27" s="51">
        <v>153451</v>
      </c>
      <c r="J27" s="51">
        <f t="shared" si="40"/>
        <v>1847937</v>
      </c>
      <c r="K27" s="35">
        <v>56370.246159</v>
      </c>
      <c r="M27" s="51">
        <f t="shared" si="64"/>
        <v>3090514.2674999996</v>
      </c>
      <c r="N27" s="41">
        <f t="shared" si="14"/>
        <v>279874.0010375</v>
      </c>
      <c r="O27" s="33">
        <f t="shared" si="1"/>
        <v>3370388.2685374995</v>
      </c>
      <c r="P27" s="41">
        <f t="shared" si="14"/>
        <v>102811.753841</v>
      </c>
      <c r="R27" s="65">
        <f t="shared" si="65"/>
        <v>481913.1405</v>
      </c>
      <c r="S27" s="65">
        <f t="shared" si="41"/>
        <v>43641.590722500005</v>
      </c>
      <c r="T27" s="20">
        <f t="shared" si="2"/>
        <v>525554.7312225</v>
      </c>
      <c r="U27" s="35">
        <f t="shared" si="15"/>
        <v>16031.744520600001</v>
      </c>
      <c r="W27" s="65">
        <f t="shared" si="66"/>
        <v>247578.2925</v>
      </c>
      <c r="X27" s="65">
        <f t="shared" si="42"/>
        <v>22420.4521625</v>
      </c>
      <c r="Y27" s="20">
        <f t="shared" si="3"/>
        <v>269998.7446625</v>
      </c>
      <c r="Z27" s="35">
        <f t="shared" si="16"/>
        <v>8236.156271</v>
      </c>
      <c r="AB27" s="33">
        <f t="shared" si="67"/>
        <v>1867.5855000000001</v>
      </c>
      <c r="AC27" s="33">
        <f t="shared" si="43"/>
        <v>169.12674750000002</v>
      </c>
      <c r="AD27" s="33">
        <f t="shared" si="85"/>
        <v>2036.7122475</v>
      </c>
      <c r="AE27" s="35">
        <f t="shared" si="17"/>
        <v>62.1287346</v>
      </c>
      <c r="AG27" s="65">
        <f t="shared" si="68"/>
        <v>104780.97299999998</v>
      </c>
      <c r="AH27" s="65">
        <f t="shared" si="44"/>
        <v>9488.864184999999</v>
      </c>
      <c r="AI27" s="20">
        <f t="shared" si="4"/>
        <v>114269.83718499998</v>
      </c>
      <c r="AJ27" s="35">
        <f t="shared" si="18"/>
        <v>3485.7355995999997</v>
      </c>
      <c r="AL27" s="65">
        <f t="shared" si="69"/>
        <v>510913.59</v>
      </c>
      <c r="AM27" s="65">
        <f t="shared" si="45"/>
        <v>46267.843550000005</v>
      </c>
      <c r="AN27" s="20">
        <f t="shared" si="5"/>
        <v>557181.4335500001</v>
      </c>
      <c r="AO27" s="35">
        <f t="shared" si="19"/>
        <v>16996.498868</v>
      </c>
      <c r="AP27" s="33"/>
      <c r="AQ27" s="65">
        <f t="shared" si="70"/>
        <v>91221.24</v>
      </c>
      <c r="AR27" s="65">
        <f t="shared" si="46"/>
        <v>8260.9078</v>
      </c>
      <c r="AS27" s="20">
        <f t="shared" si="6"/>
        <v>99482.1478</v>
      </c>
      <c r="AT27" s="35">
        <f t="shared" si="20"/>
        <v>3034.645648</v>
      </c>
      <c r="AU27" s="33"/>
      <c r="AV27" s="51">
        <f t="shared" si="71"/>
        <v>3740.913</v>
      </c>
      <c r="AW27" s="51">
        <f t="shared" si="47"/>
        <v>338.773485</v>
      </c>
      <c r="AX27" s="33">
        <f t="shared" si="7"/>
        <v>4079.686485</v>
      </c>
      <c r="AY27" s="35">
        <f t="shared" si="21"/>
        <v>124.4484876</v>
      </c>
      <c r="AZ27" s="33"/>
      <c r="BA27" s="33">
        <f t="shared" si="72"/>
        <v>55459.10699999999</v>
      </c>
      <c r="BB27" s="33">
        <f t="shared" si="48"/>
        <v>5022.323415</v>
      </c>
      <c r="BC27" s="33">
        <f t="shared" si="49"/>
        <v>60481.43041499999</v>
      </c>
      <c r="BD27" s="35">
        <f t="shared" si="22"/>
        <v>1844.9512164</v>
      </c>
      <c r="BE27" s="33"/>
      <c r="BF27" s="51">
        <f t="shared" si="73"/>
        <v>47471.028</v>
      </c>
      <c r="BG27" s="51">
        <f t="shared" si="50"/>
        <v>4298.93066</v>
      </c>
      <c r="BH27" s="33">
        <f t="shared" si="8"/>
        <v>51769.95866</v>
      </c>
      <c r="BI27" s="35">
        <f t="shared" si="23"/>
        <v>1579.2127856</v>
      </c>
      <c r="BJ27" s="33"/>
      <c r="BK27" s="51">
        <f t="shared" si="74"/>
        <v>57460.6725</v>
      </c>
      <c r="BL27" s="51">
        <f t="shared" si="51"/>
        <v>5203.5832625</v>
      </c>
      <c r="BM27" s="33">
        <f t="shared" si="9"/>
        <v>62664.255762500004</v>
      </c>
      <c r="BN27" s="35">
        <f t="shared" si="24"/>
        <v>1911.537047</v>
      </c>
      <c r="BO27" s="33"/>
      <c r="BP27" s="51">
        <f t="shared" si="75"/>
        <v>11189.7225</v>
      </c>
      <c r="BQ27" s="51">
        <f t="shared" si="52"/>
        <v>1013.3305125</v>
      </c>
      <c r="BR27" s="33">
        <f t="shared" si="10"/>
        <v>12203.0530125</v>
      </c>
      <c r="BS27" s="35">
        <f t="shared" si="25"/>
        <v>372.24710699999997</v>
      </c>
      <c r="BT27" s="33"/>
      <c r="BU27" s="33">
        <f t="shared" si="76"/>
        <v>18242.334000000003</v>
      </c>
      <c r="BV27" s="33">
        <f t="shared" si="53"/>
        <v>1652.0082300000001</v>
      </c>
      <c r="BW27" s="33">
        <f t="shared" si="54"/>
        <v>19894.342230000002</v>
      </c>
      <c r="BX27" s="35">
        <f t="shared" si="26"/>
        <v>606.8654568000001</v>
      </c>
      <c r="BY27" s="33"/>
      <c r="BZ27" s="51">
        <f t="shared" si="77"/>
        <v>44473.704000000005</v>
      </c>
      <c r="CA27" s="51">
        <f t="shared" si="55"/>
        <v>4027.4958800000004</v>
      </c>
      <c r="CB27" s="33">
        <f t="shared" si="27"/>
        <v>48501.19988000001</v>
      </c>
      <c r="CC27" s="35">
        <f t="shared" si="28"/>
        <v>1479.5011808</v>
      </c>
      <c r="CD27" s="33"/>
      <c r="CE27" s="51">
        <f t="shared" si="78"/>
        <v>853120.521</v>
      </c>
      <c r="CF27" s="51">
        <f t="shared" si="56"/>
        <v>77257.774245</v>
      </c>
      <c r="CG27" s="33">
        <f t="shared" si="29"/>
        <v>930378.2952449999</v>
      </c>
      <c r="CH27" s="35">
        <f t="shared" si="30"/>
        <v>28380.6542892</v>
      </c>
      <c r="CI27" s="33"/>
      <c r="CJ27" s="51">
        <f t="shared" si="79"/>
        <v>182300.84399999998</v>
      </c>
      <c r="CK27" s="51">
        <f t="shared" si="57"/>
        <v>16508.98918</v>
      </c>
      <c r="CL27" s="33">
        <f t="shared" si="11"/>
        <v>198809.83318</v>
      </c>
      <c r="CM27" s="35">
        <f t="shared" si="31"/>
        <v>6064.5795087999995</v>
      </c>
      <c r="CN27" s="33"/>
      <c r="CO27" s="51">
        <f t="shared" si="80"/>
        <v>16132.149</v>
      </c>
      <c r="CP27" s="51">
        <f t="shared" si="58"/>
        <v>1460.911905</v>
      </c>
      <c r="CQ27" s="33">
        <f t="shared" si="32"/>
        <v>17593.060905</v>
      </c>
      <c r="CR27" s="35">
        <f t="shared" si="33"/>
        <v>536.6661948</v>
      </c>
      <c r="CS27" s="33"/>
      <c r="CT27" s="51">
        <f t="shared" si="81"/>
        <v>2937.033</v>
      </c>
      <c r="CU27" s="51">
        <f t="shared" si="59"/>
        <v>265.974885</v>
      </c>
      <c r="CV27" s="33">
        <f t="shared" si="12"/>
        <v>3203.007885</v>
      </c>
      <c r="CW27" s="35">
        <f t="shared" si="34"/>
        <v>97.7059116</v>
      </c>
      <c r="CX27" s="33"/>
      <c r="CY27" s="51">
        <f t="shared" si="82"/>
        <v>353173.6725</v>
      </c>
      <c r="CZ27" s="51">
        <f t="shared" si="60"/>
        <v>31983.0682625</v>
      </c>
      <c r="DA27" s="33">
        <f t="shared" si="35"/>
        <v>385156.7407625</v>
      </c>
      <c r="DB27" s="35">
        <f t="shared" si="36"/>
        <v>11748.984647</v>
      </c>
      <c r="DC27" s="33"/>
      <c r="DD27" s="33">
        <f t="shared" si="83"/>
        <v>6521.476500000001</v>
      </c>
      <c r="DE27" s="33">
        <f t="shared" si="61"/>
        <v>590.5786425</v>
      </c>
      <c r="DF27" s="33">
        <f t="shared" si="62"/>
        <v>7112.0551425</v>
      </c>
      <c r="DG27" s="35">
        <f t="shared" si="37"/>
        <v>216.9491478</v>
      </c>
      <c r="DH27" s="33"/>
      <c r="DI27" s="51">
        <f t="shared" si="84"/>
        <v>16.269000000000002</v>
      </c>
      <c r="DJ27" s="51">
        <f t="shared" si="63"/>
        <v>1.473305</v>
      </c>
      <c r="DK27" s="33">
        <f t="shared" si="13"/>
        <v>17.742305</v>
      </c>
      <c r="DL27" s="35">
        <f t="shared" si="38"/>
        <v>0.5412188</v>
      </c>
      <c r="DM27" s="33"/>
      <c r="DN27" s="33"/>
      <c r="DO27" s="33"/>
      <c r="DP27" s="33"/>
      <c r="DQ27" s="35">
        <f t="shared" si="39"/>
        <v>0</v>
      </c>
    </row>
    <row r="28" spans="1:121" ht="12.75">
      <c r="A28" s="19">
        <v>43739</v>
      </c>
      <c r="D28" s="35">
        <v>313700</v>
      </c>
      <c r="E28" s="35">
        <f t="shared" si="0"/>
        <v>313700</v>
      </c>
      <c r="F28" s="35">
        <v>159182</v>
      </c>
      <c r="H28" s="51"/>
      <c r="I28" s="51">
        <v>111089</v>
      </c>
      <c r="J28" s="51">
        <f t="shared" si="40"/>
        <v>111089</v>
      </c>
      <c r="K28" s="35">
        <v>56370.246159</v>
      </c>
      <c r="M28" s="51"/>
      <c r="N28" s="41">
        <f t="shared" si="14"/>
        <v>202611.14435000005</v>
      </c>
      <c r="O28" s="33">
        <f t="shared" si="1"/>
        <v>202611.14435000005</v>
      </c>
      <c r="P28" s="41">
        <f t="shared" si="14"/>
        <v>102811.753841</v>
      </c>
      <c r="R28" s="65"/>
      <c r="S28" s="65">
        <f t="shared" si="41"/>
        <v>31593.76221</v>
      </c>
      <c r="T28" s="20">
        <f t="shared" si="2"/>
        <v>31593.76221</v>
      </c>
      <c r="U28" s="35">
        <f t="shared" si="15"/>
        <v>16031.744520600001</v>
      </c>
      <c r="W28" s="65"/>
      <c r="X28" s="65">
        <f t="shared" si="42"/>
        <v>16230.994850000001</v>
      </c>
      <c r="Y28" s="20">
        <f t="shared" si="3"/>
        <v>16230.994850000001</v>
      </c>
      <c r="Z28" s="35">
        <f t="shared" si="16"/>
        <v>8236.156271</v>
      </c>
      <c r="AC28" s="33">
        <f t="shared" si="43"/>
        <v>122.43711000000002</v>
      </c>
      <c r="AD28" s="33">
        <f t="shared" si="85"/>
        <v>122.43711000000002</v>
      </c>
      <c r="AE28" s="35">
        <f t="shared" si="17"/>
        <v>62.1287346</v>
      </c>
      <c r="AG28" s="65"/>
      <c r="AH28" s="65">
        <f t="shared" si="44"/>
        <v>6869.339859999999</v>
      </c>
      <c r="AI28" s="20">
        <f t="shared" si="4"/>
        <v>6869.339859999999</v>
      </c>
      <c r="AJ28" s="35">
        <f t="shared" si="18"/>
        <v>3485.7355995999997</v>
      </c>
      <c r="AL28" s="65"/>
      <c r="AM28" s="65">
        <f t="shared" si="45"/>
        <v>33495.003800000006</v>
      </c>
      <c r="AN28" s="20">
        <f t="shared" si="5"/>
        <v>33495.003800000006</v>
      </c>
      <c r="AO28" s="35">
        <f t="shared" si="19"/>
        <v>16996.498868</v>
      </c>
      <c r="AP28" s="33"/>
      <c r="AQ28" s="65"/>
      <c r="AR28" s="65">
        <f t="shared" si="46"/>
        <v>5980.376800000001</v>
      </c>
      <c r="AS28" s="20">
        <f t="shared" si="6"/>
        <v>5980.376800000001</v>
      </c>
      <c r="AT28" s="35">
        <f t="shared" si="20"/>
        <v>3034.645648</v>
      </c>
      <c r="AU28" s="33"/>
      <c r="AV28" s="51"/>
      <c r="AW28" s="51">
        <f t="shared" si="47"/>
        <v>245.25065999999998</v>
      </c>
      <c r="AX28" s="33">
        <f t="shared" si="7"/>
        <v>245.25065999999998</v>
      </c>
      <c r="AY28" s="35">
        <f t="shared" si="21"/>
        <v>124.4484876</v>
      </c>
      <c r="AZ28" s="33"/>
      <c r="BA28" s="33"/>
      <c r="BB28" s="33">
        <f t="shared" si="48"/>
        <v>3635.8457399999998</v>
      </c>
      <c r="BC28" s="33">
        <f t="shared" si="49"/>
        <v>3635.8457399999998</v>
      </c>
      <c r="BD28" s="35">
        <f t="shared" si="22"/>
        <v>1844.9512164</v>
      </c>
      <c r="BE28" s="33"/>
      <c r="BF28" s="51"/>
      <c r="BG28" s="51">
        <f t="shared" si="50"/>
        <v>3112.15496</v>
      </c>
      <c r="BH28" s="33">
        <f t="shared" si="8"/>
        <v>3112.15496</v>
      </c>
      <c r="BI28" s="35">
        <f t="shared" si="23"/>
        <v>1579.2127856</v>
      </c>
      <c r="BJ28" s="33"/>
      <c r="BK28" s="51"/>
      <c r="BL28" s="51">
        <f t="shared" si="51"/>
        <v>3767.0664500000003</v>
      </c>
      <c r="BM28" s="33">
        <f t="shared" si="9"/>
        <v>3767.0664500000003</v>
      </c>
      <c r="BN28" s="35">
        <f t="shared" si="24"/>
        <v>1911.537047</v>
      </c>
      <c r="BO28" s="33"/>
      <c r="BP28" s="51"/>
      <c r="BQ28" s="51">
        <f t="shared" si="52"/>
        <v>733.58745</v>
      </c>
      <c r="BR28" s="33">
        <f t="shared" si="10"/>
        <v>733.58745</v>
      </c>
      <c r="BS28" s="35">
        <f t="shared" si="25"/>
        <v>372.24710699999997</v>
      </c>
      <c r="BT28" s="33"/>
      <c r="BU28" s="33"/>
      <c r="BV28" s="33">
        <f t="shared" si="53"/>
        <v>1195.9498800000001</v>
      </c>
      <c r="BW28" s="33">
        <f t="shared" si="54"/>
        <v>1195.9498800000001</v>
      </c>
      <c r="BX28" s="35">
        <f t="shared" si="26"/>
        <v>606.8654568000001</v>
      </c>
      <c r="BY28" s="33"/>
      <c r="BZ28" s="51"/>
      <c r="CA28" s="51">
        <f t="shared" si="55"/>
        <v>2915.6532800000004</v>
      </c>
      <c r="CB28" s="33">
        <f t="shared" si="27"/>
        <v>2915.6532800000004</v>
      </c>
      <c r="CC28" s="35">
        <f t="shared" si="28"/>
        <v>1479.5011808</v>
      </c>
      <c r="CD28" s="33"/>
      <c r="CE28" s="51"/>
      <c r="CF28" s="51">
        <f t="shared" si="56"/>
        <v>55929.76121999999</v>
      </c>
      <c r="CG28" s="33">
        <f t="shared" si="29"/>
        <v>55929.76121999999</v>
      </c>
      <c r="CH28" s="35">
        <f t="shared" si="30"/>
        <v>28380.6542892</v>
      </c>
      <c r="CI28" s="33"/>
      <c r="CJ28" s="51"/>
      <c r="CK28" s="51">
        <f t="shared" si="57"/>
        <v>11951.468079999999</v>
      </c>
      <c r="CL28" s="33">
        <f t="shared" si="11"/>
        <v>11951.468079999999</v>
      </c>
      <c r="CM28" s="35">
        <f t="shared" si="31"/>
        <v>6064.5795087999995</v>
      </c>
      <c r="CN28" s="33"/>
      <c r="CO28" s="51"/>
      <c r="CP28" s="51">
        <f t="shared" si="58"/>
        <v>1057.60818</v>
      </c>
      <c r="CQ28" s="33">
        <f t="shared" si="32"/>
        <v>1057.60818</v>
      </c>
      <c r="CR28" s="35">
        <f t="shared" si="33"/>
        <v>536.6661948</v>
      </c>
      <c r="CS28" s="33"/>
      <c r="CT28" s="51"/>
      <c r="CU28" s="51">
        <f t="shared" si="59"/>
        <v>192.54906</v>
      </c>
      <c r="CV28" s="33">
        <f t="shared" si="12"/>
        <v>192.54906</v>
      </c>
      <c r="CW28" s="35">
        <f t="shared" si="34"/>
        <v>97.7059116</v>
      </c>
      <c r="CX28" s="33"/>
      <c r="CY28" s="51"/>
      <c r="CZ28" s="51">
        <f t="shared" si="60"/>
        <v>23153.726450000002</v>
      </c>
      <c r="DA28" s="33">
        <f t="shared" si="35"/>
        <v>23153.726450000002</v>
      </c>
      <c r="DB28" s="35">
        <f t="shared" si="36"/>
        <v>11748.984647</v>
      </c>
      <c r="DC28" s="33"/>
      <c r="DD28" s="33"/>
      <c r="DE28" s="33">
        <f t="shared" si="61"/>
        <v>427.54173</v>
      </c>
      <c r="DF28" s="33">
        <f t="shared" si="62"/>
        <v>427.54173</v>
      </c>
      <c r="DG28" s="35">
        <f t="shared" si="37"/>
        <v>216.9491478</v>
      </c>
      <c r="DH28" s="33"/>
      <c r="DI28" s="51"/>
      <c r="DJ28" s="51">
        <f t="shared" si="63"/>
        <v>1.06658</v>
      </c>
      <c r="DK28" s="33">
        <f t="shared" si="13"/>
        <v>1.06658</v>
      </c>
      <c r="DL28" s="35">
        <f t="shared" si="38"/>
        <v>0.5412188</v>
      </c>
      <c r="DM28" s="33"/>
      <c r="DN28" s="33"/>
      <c r="DO28" s="33"/>
      <c r="DP28" s="33"/>
      <c r="DQ28" s="35">
        <f t="shared" si="39"/>
        <v>0</v>
      </c>
    </row>
    <row r="29" spans="1:121" ht="12.75">
      <c r="A29" s="52">
        <v>43922</v>
      </c>
      <c r="C29" s="35">
        <v>5025000</v>
      </c>
      <c r="D29" s="35">
        <v>313700</v>
      </c>
      <c r="E29" s="35">
        <f t="shared" si="0"/>
        <v>5338700</v>
      </c>
      <c r="F29" s="35">
        <v>159182</v>
      </c>
      <c r="H29" s="51">
        <v>1779476</v>
      </c>
      <c r="I29" s="51">
        <v>111089</v>
      </c>
      <c r="J29" s="51">
        <f t="shared" si="40"/>
        <v>1890565</v>
      </c>
      <c r="K29" s="35">
        <v>56370.246159</v>
      </c>
      <c r="M29" s="51">
        <f t="shared" si="64"/>
        <v>3245524.3874999997</v>
      </c>
      <c r="N29" s="41">
        <f t="shared" si="14"/>
        <v>202611.14435000005</v>
      </c>
      <c r="O29" s="33">
        <f t="shared" si="1"/>
        <v>3448135.53185</v>
      </c>
      <c r="P29" s="41">
        <f t="shared" si="14"/>
        <v>102811.753841</v>
      </c>
      <c r="R29" s="65">
        <f t="shared" si="65"/>
        <v>506084.3325</v>
      </c>
      <c r="S29" s="65">
        <f t="shared" si="41"/>
        <v>31593.76221</v>
      </c>
      <c r="T29" s="20">
        <f t="shared" si="2"/>
        <v>537678.09471</v>
      </c>
      <c r="U29" s="35">
        <f t="shared" si="15"/>
        <v>16031.744520600001</v>
      </c>
      <c r="W29" s="65">
        <f t="shared" si="66"/>
        <v>259996.0125</v>
      </c>
      <c r="X29" s="65">
        <f t="shared" si="42"/>
        <v>16230.994850000001</v>
      </c>
      <c r="Y29" s="20">
        <f t="shared" si="3"/>
        <v>276227.00735</v>
      </c>
      <c r="Z29" s="35">
        <f t="shared" si="16"/>
        <v>8236.156271</v>
      </c>
      <c r="AB29" s="33">
        <f t="shared" si="67"/>
        <v>1961.2575</v>
      </c>
      <c r="AC29" s="33">
        <f t="shared" si="43"/>
        <v>122.43711000000002</v>
      </c>
      <c r="AD29" s="33">
        <f t="shared" si="85"/>
        <v>2083.69461</v>
      </c>
      <c r="AE29" s="35">
        <f t="shared" si="17"/>
        <v>62.1287346</v>
      </c>
      <c r="AG29" s="65">
        <f t="shared" si="68"/>
        <v>110036.445</v>
      </c>
      <c r="AH29" s="65">
        <f t="shared" si="44"/>
        <v>6869.339859999999</v>
      </c>
      <c r="AI29" s="20">
        <f t="shared" si="4"/>
        <v>116905.78486</v>
      </c>
      <c r="AJ29" s="35">
        <f t="shared" si="18"/>
        <v>3485.7355995999997</v>
      </c>
      <c r="AL29" s="65">
        <f t="shared" si="69"/>
        <v>536539.35</v>
      </c>
      <c r="AM29" s="65">
        <f t="shared" si="45"/>
        <v>33495.003800000006</v>
      </c>
      <c r="AN29" s="20">
        <f t="shared" si="5"/>
        <v>570034.3537999999</v>
      </c>
      <c r="AO29" s="35">
        <f t="shared" si="19"/>
        <v>16996.498868</v>
      </c>
      <c r="AP29" s="33"/>
      <c r="AQ29" s="65">
        <f t="shared" si="70"/>
        <v>95796.6</v>
      </c>
      <c r="AR29" s="65">
        <f t="shared" si="46"/>
        <v>5980.376800000001</v>
      </c>
      <c r="AS29" s="20">
        <f t="shared" si="6"/>
        <v>101776.9768</v>
      </c>
      <c r="AT29" s="35">
        <f t="shared" si="20"/>
        <v>3034.645648</v>
      </c>
      <c r="AU29" s="33"/>
      <c r="AV29" s="51">
        <f t="shared" si="71"/>
        <v>3928.545</v>
      </c>
      <c r="AW29" s="51">
        <f t="shared" si="47"/>
        <v>245.25065999999998</v>
      </c>
      <c r="AX29" s="33">
        <f t="shared" si="7"/>
        <v>4173.79566</v>
      </c>
      <c r="AY29" s="35">
        <f t="shared" si="21"/>
        <v>124.4484876</v>
      </c>
      <c r="AZ29" s="33"/>
      <c r="BA29" s="33">
        <f t="shared" si="72"/>
        <v>58240.755</v>
      </c>
      <c r="BB29" s="33">
        <f t="shared" si="48"/>
        <v>3635.8457399999998</v>
      </c>
      <c r="BC29" s="33">
        <f t="shared" si="49"/>
        <v>61876.600739999994</v>
      </c>
      <c r="BD29" s="35">
        <f t="shared" si="22"/>
        <v>1844.9512164</v>
      </c>
      <c r="BE29" s="33"/>
      <c r="BF29" s="51">
        <f t="shared" si="73"/>
        <v>49852.02</v>
      </c>
      <c r="BG29" s="51">
        <f t="shared" si="50"/>
        <v>3112.15496</v>
      </c>
      <c r="BH29" s="33">
        <f t="shared" si="8"/>
        <v>52964.17496</v>
      </c>
      <c r="BI29" s="35">
        <f t="shared" si="23"/>
        <v>1579.2127856</v>
      </c>
      <c r="BJ29" s="33"/>
      <c r="BK29" s="51">
        <f t="shared" si="74"/>
        <v>60342.7125</v>
      </c>
      <c r="BL29" s="51">
        <f t="shared" si="51"/>
        <v>3767.0664500000003</v>
      </c>
      <c r="BM29" s="33">
        <f t="shared" si="9"/>
        <v>64109.77895</v>
      </c>
      <c r="BN29" s="35">
        <f t="shared" si="24"/>
        <v>1911.537047</v>
      </c>
      <c r="BO29" s="33"/>
      <c r="BP29" s="51">
        <f t="shared" si="75"/>
        <v>11750.9625</v>
      </c>
      <c r="BQ29" s="51">
        <f t="shared" si="52"/>
        <v>733.58745</v>
      </c>
      <c r="BR29" s="33">
        <f t="shared" si="10"/>
        <v>12484.54995</v>
      </c>
      <c r="BS29" s="35">
        <f t="shared" si="25"/>
        <v>372.24710699999997</v>
      </c>
      <c r="BT29" s="33"/>
      <c r="BU29" s="33">
        <f t="shared" si="76"/>
        <v>19157.31</v>
      </c>
      <c r="BV29" s="33">
        <f t="shared" si="53"/>
        <v>1195.9498800000001</v>
      </c>
      <c r="BW29" s="33">
        <f t="shared" si="54"/>
        <v>20353.25988</v>
      </c>
      <c r="BX29" s="35">
        <f t="shared" si="26"/>
        <v>606.8654568000001</v>
      </c>
      <c r="BY29" s="33"/>
      <c r="BZ29" s="51">
        <f t="shared" si="77"/>
        <v>46704.36</v>
      </c>
      <c r="CA29" s="51">
        <f t="shared" si="55"/>
        <v>2915.6532800000004</v>
      </c>
      <c r="CB29" s="33">
        <f t="shared" si="27"/>
        <v>49620.01328</v>
      </c>
      <c r="CC29" s="35">
        <f t="shared" si="28"/>
        <v>1479.5011808</v>
      </c>
      <c r="CD29" s="33"/>
      <c r="CE29" s="51">
        <f t="shared" si="78"/>
        <v>895910.2649999999</v>
      </c>
      <c r="CF29" s="51">
        <f t="shared" si="56"/>
        <v>55929.76121999999</v>
      </c>
      <c r="CG29" s="33">
        <f t="shared" si="29"/>
        <v>951840.0262199999</v>
      </c>
      <c r="CH29" s="35">
        <f t="shared" si="30"/>
        <v>28380.6542892</v>
      </c>
      <c r="CI29" s="33"/>
      <c r="CJ29" s="51">
        <f t="shared" si="79"/>
        <v>191444.46</v>
      </c>
      <c r="CK29" s="51">
        <f t="shared" si="57"/>
        <v>11951.468079999999</v>
      </c>
      <c r="CL29" s="33">
        <f t="shared" si="11"/>
        <v>203395.92807999998</v>
      </c>
      <c r="CM29" s="35">
        <f t="shared" si="31"/>
        <v>6064.5795087999995</v>
      </c>
      <c r="CN29" s="33"/>
      <c r="CO29" s="51">
        <f t="shared" si="80"/>
        <v>16941.285</v>
      </c>
      <c r="CP29" s="51">
        <f t="shared" si="58"/>
        <v>1057.60818</v>
      </c>
      <c r="CQ29" s="33">
        <f t="shared" si="32"/>
        <v>17998.89318</v>
      </c>
      <c r="CR29" s="35">
        <f t="shared" si="33"/>
        <v>536.6661948</v>
      </c>
      <c r="CS29" s="33"/>
      <c r="CT29" s="51">
        <f t="shared" si="81"/>
        <v>3084.345</v>
      </c>
      <c r="CU29" s="51">
        <f t="shared" si="59"/>
        <v>192.54906</v>
      </c>
      <c r="CV29" s="33">
        <f t="shared" si="12"/>
        <v>3276.8940599999996</v>
      </c>
      <c r="CW29" s="35">
        <f t="shared" si="34"/>
        <v>97.7059116</v>
      </c>
      <c r="CX29" s="33"/>
      <c r="CY29" s="51">
        <f t="shared" si="82"/>
        <v>370887.7125</v>
      </c>
      <c r="CZ29" s="51">
        <f t="shared" si="60"/>
        <v>23153.726450000002</v>
      </c>
      <c r="DA29" s="33">
        <f t="shared" si="35"/>
        <v>394041.43895000004</v>
      </c>
      <c r="DB29" s="35">
        <f t="shared" si="36"/>
        <v>11748.984647</v>
      </c>
      <c r="DC29" s="33"/>
      <c r="DD29" s="33">
        <f t="shared" si="83"/>
        <v>6848.5725</v>
      </c>
      <c r="DE29" s="33">
        <f t="shared" si="61"/>
        <v>427.54173</v>
      </c>
      <c r="DF29" s="33">
        <f t="shared" si="62"/>
        <v>7276.11423</v>
      </c>
      <c r="DG29" s="35">
        <f t="shared" si="37"/>
        <v>216.9491478</v>
      </c>
      <c r="DH29" s="33"/>
      <c r="DI29" s="51">
        <f t="shared" si="84"/>
        <v>17.085</v>
      </c>
      <c r="DJ29" s="51">
        <f t="shared" si="63"/>
        <v>1.06658</v>
      </c>
      <c r="DK29" s="33">
        <f t="shared" si="13"/>
        <v>18.151580000000003</v>
      </c>
      <c r="DL29" s="35">
        <f t="shared" si="38"/>
        <v>0.5412188</v>
      </c>
      <c r="DM29" s="33"/>
      <c r="DN29" s="33"/>
      <c r="DO29" s="33"/>
      <c r="DP29" s="33"/>
      <c r="DQ29" s="35">
        <f t="shared" si="39"/>
        <v>0</v>
      </c>
    </row>
    <row r="30" spans="1:121" ht="12.75">
      <c r="A30" s="52">
        <v>44105</v>
      </c>
      <c r="D30" s="35">
        <v>213200</v>
      </c>
      <c r="E30" s="35">
        <f t="shared" si="0"/>
        <v>213200</v>
      </c>
      <c r="F30" s="35">
        <v>159182</v>
      </c>
      <c r="H30" s="51"/>
      <c r="I30" s="51">
        <v>75499</v>
      </c>
      <c r="J30" s="51">
        <f t="shared" si="40"/>
        <v>75499</v>
      </c>
      <c r="K30" s="35">
        <v>56370.246159</v>
      </c>
      <c r="M30" s="51"/>
      <c r="N30" s="41">
        <f t="shared" si="14"/>
        <v>137700.6566</v>
      </c>
      <c r="O30" s="33">
        <f t="shared" si="1"/>
        <v>137700.6566</v>
      </c>
      <c r="P30" s="41">
        <f t="shared" si="14"/>
        <v>102811.753841</v>
      </c>
      <c r="R30" s="65"/>
      <c r="S30" s="65">
        <f t="shared" si="41"/>
        <v>21472.075559999997</v>
      </c>
      <c r="T30" s="20">
        <f t="shared" si="2"/>
        <v>21472.075559999997</v>
      </c>
      <c r="U30" s="35">
        <f t="shared" si="15"/>
        <v>16031.744520600001</v>
      </c>
      <c r="W30" s="65"/>
      <c r="X30" s="65">
        <f t="shared" si="42"/>
        <v>11031.0746</v>
      </c>
      <c r="Y30" s="20">
        <f t="shared" si="3"/>
        <v>11031.0746</v>
      </c>
      <c r="Z30" s="35">
        <f t="shared" si="16"/>
        <v>8236.156271</v>
      </c>
      <c r="AC30" s="33">
        <f t="shared" si="43"/>
        <v>83.21196</v>
      </c>
      <c r="AD30" s="33">
        <f t="shared" si="85"/>
        <v>83.21196</v>
      </c>
      <c r="AE30" s="35">
        <f t="shared" si="17"/>
        <v>62.1287346</v>
      </c>
      <c r="AG30" s="65"/>
      <c r="AH30" s="65">
        <f t="shared" si="44"/>
        <v>4668.61096</v>
      </c>
      <c r="AI30" s="20">
        <f t="shared" si="4"/>
        <v>4668.61096</v>
      </c>
      <c r="AJ30" s="35">
        <f t="shared" si="18"/>
        <v>3485.7355995999997</v>
      </c>
      <c r="AL30" s="65"/>
      <c r="AM30" s="65">
        <f t="shared" si="45"/>
        <v>22764.216800000002</v>
      </c>
      <c r="AN30" s="20">
        <f t="shared" si="5"/>
        <v>22764.216800000002</v>
      </c>
      <c r="AO30" s="35">
        <f t="shared" si="19"/>
        <v>16996.498868</v>
      </c>
      <c r="AP30" s="33"/>
      <c r="AQ30" s="65"/>
      <c r="AR30" s="65">
        <f t="shared" si="46"/>
        <v>4064.4448</v>
      </c>
      <c r="AS30" s="20">
        <f t="shared" si="6"/>
        <v>4064.4448</v>
      </c>
      <c r="AT30" s="35">
        <f t="shared" si="20"/>
        <v>3034.645648</v>
      </c>
      <c r="AU30" s="33"/>
      <c r="AV30" s="51"/>
      <c r="AW30" s="51">
        <f t="shared" si="47"/>
        <v>166.67976</v>
      </c>
      <c r="AX30" s="33">
        <f t="shared" si="7"/>
        <v>166.67976</v>
      </c>
      <c r="AY30" s="35">
        <f t="shared" si="21"/>
        <v>124.4484876</v>
      </c>
      <c r="AZ30" s="33"/>
      <c r="BA30" s="33"/>
      <c r="BB30" s="33">
        <f t="shared" si="48"/>
        <v>2471.03064</v>
      </c>
      <c r="BC30" s="33">
        <f t="shared" si="49"/>
        <v>2471.03064</v>
      </c>
      <c r="BD30" s="35">
        <f t="shared" si="22"/>
        <v>1844.9512164</v>
      </c>
      <c r="BE30" s="33"/>
      <c r="BF30" s="51"/>
      <c r="BG30" s="51">
        <f t="shared" si="50"/>
        <v>2115.11456</v>
      </c>
      <c r="BH30" s="33">
        <f t="shared" si="8"/>
        <v>2115.11456</v>
      </c>
      <c r="BI30" s="35">
        <f t="shared" si="23"/>
        <v>1579.2127856</v>
      </c>
      <c r="BJ30" s="33"/>
      <c r="BK30" s="51"/>
      <c r="BL30" s="51">
        <f t="shared" si="51"/>
        <v>2560.2122</v>
      </c>
      <c r="BM30" s="33">
        <f t="shared" si="9"/>
        <v>2560.2122</v>
      </c>
      <c r="BN30" s="35">
        <f t="shared" si="24"/>
        <v>1911.537047</v>
      </c>
      <c r="BO30" s="33"/>
      <c r="BP30" s="51"/>
      <c r="BQ30" s="51">
        <f t="shared" si="52"/>
        <v>498.5682</v>
      </c>
      <c r="BR30" s="33">
        <f t="shared" si="10"/>
        <v>498.5682</v>
      </c>
      <c r="BS30" s="35">
        <f t="shared" si="25"/>
        <v>372.24710699999997</v>
      </c>
      <c r="BT30" s="33"/>
      <c r="BU30" s="33"/>
      <c r="BV30" s="33">
        <f t="shared" si="53"/>
        <v>812.80368</v>
      </c>
      <c r="BW30" s="33">
        <f t="shared" si="54"/>
        <v>812.80368</v>
      </c>
      <c r="BX30" s="35">
        <f t="shared" si="26"/>
        <v>606.8654568000001</v>
      </c>
      <c r="BY30" s="33"/>
      <c r="BZ30" s="51"/>
      <c r="CA30" s="51">
        <f t="shared" si="55"/>
        <v>1981.56608</v>
      </c>
      <c r="CB30" s="33">
        <f t="shared" si="27"/>
        <v>1981.56608</v>
      </c>
      <c r="CC30" s="35">
        <f t="shared" si="28"/>
        <v>1479.5011808</v>
      </c>
      <c r="CD30" s="33"/>
      <c r="CE30" s="51"/>
      <c r="CF30" s="51">
        <f t="shared" si="56"/>
        <v>38011.55592</v>
      </c>
      <c r="CG30" s="33">
        <f t="shared" si="29"/>
        <v>38011.55592</v>
      </c>
      <c r="CH30" s="35">
        <f t="shared" si="30"/>
        <v>28380.6542892</v>
      </c>
      <c r="CI30" s="33"/>
      <c r="CJ30" s="51"/>
      <c r="CK30" s="51">
        <f t="shared" si="57"/>
        <v>8122.57888</v>
      </c>
      <c r="CL30" s="33">
        <f t="shared" si="11"/>
        <v>8122.57888</v>
      </c>
      <c r="CM30" s="35">
        <f t="shared" si="31"/>
        <v>6064.5795087999995</v>
      </c>
      <c r="CN30" s="33"/>
      <c r="CO30" s="51"/>
      <c r="CP30" s="51">
        <f t="shared" si="58"/>
        <v>718.78248</v>
      </c>
      <c r="CQ30" s="33">
        <f t="shared" si="32"/>
        <v>718.78248</v>
      </c>
      <c r="CR30" s="35">
        <f t="shared" si="33"/>
        <v>536.6661948</v>
      </c>
      <c r="CS30" s="33"/>
      <c r="CT30" s="51"/>
      <c r="CU30" s="51">
        <f t="shared" si="59"/>
        <v>130.86216</v>
      </c>
      <c r="CV30" s="33">
        <f t="shared" si="12"/>
        <v>130.86216</v>
      </c>
      <c r="CW30" s="35">
        <f t="shared" si="34"/>
        <v>97.7059116</v>
      </c>
      <c r="CX30" s="33"/>
      <c r="CY30" s="51"/>
      <c r="CZ30" s="51">
        <f t="shared" si="60"/>
        <v>15735.9722</v>
      </c>
      <c r="DA30" s="33">
        <f t="shared" si="35"/>
        <v>15735.9722</v>
      </c>
      <c r="DB30" s="35">
        <f t="shared" si="36"/>
        <v>11748.984647</v>
      </c>
      <c r="DC30" s="33"/>
      <c r="DD30" s="33"/>
      <c r="DE30" s="33">
        <f t="shared" si="61"/>
        <v>290.57027999999997</v>
      </c>
      <c r="DF30" s="33">
        <f t="shared" si="62"/>
        <v>290.57027999999997</v>
      </c>
      <c r="DG30" s="35">
        <f t="shared" si="37"/>
        <v>216.9491478</v>
      </c>
      <c r="DH30" s="33"/>
      <c r="DI30" s="51"/>
      <c r="DJ30" s="51">
        <f t="shared" si="63"/>
        <v>0.72488</v>
      </c>
      <c r="DK30" s="33">
        <f t="shared" si="13"/>
        <v>0.72488</v>
      </c>
      <c r="DL30" s="35">
        <f t="shared" si="38"/>
        <v>0.5412188</v>
      </c>
      <c r="DM30" s="33"/>
      <c r="DN30" s="33"/>
      <c r="DO30" s="33"/>
      <c r="DP30" s="33"/>
      <c r="DQ30" s="35">
        <f t="shared" si="39"/>
        <v>0</v>
      </c>
    </row>
    <row r="31" spans="1:121" ht="12.75">
      <c r="A31" s="52">
        <v>44287</v>
      </c>
      <c r="C31" s="35">
        <v>5225000</v>
      </c>
      <c r="D31" s="35">
        <v>213200</v>
      </c>
      <c r="E31" s="35">
        <f t="shared" si="0"/>
        <v>5438200</v>
      </c>
      <c r="F31" s="35">
        <v>159182</v>
      </c>
      <c r="H31" s="51">
        <v>1850301</v>
      </c>
      <c r="I31" s="51">
        <v>75499</v>
      </c>
      <c r="J31" s="51">
        <f t="shared" si="40"/>
        <v>1925800</v>
      </c>
      <c r="K31" s="35">
        <v>56370.246159</v>
      </c>
      <c r="M31" s="51">
        <f t="shared" si="64"/>
        <v>3374699.4875000003</v>
      </c>
      <c r="N31" s="41">
        <f t="shared" si="14"/>
        <v>137700.6566</v>
      </c>
      <c r="O31" s="33">
        <f t="shared" si="1"/>
        <v>3512400.1441</v>
      </c>
      <c r="P31" s="41">
        <f t="shared" si="14"/>
        <v>102811.753841</v>
      </c>
      <c r="R31" s="65">
        <f t="shared" si="65"/>
        <v>526226.9925</v>
      </c>
      <c r="S31" s="65">
        <f t="shared" si="41"/>
        <v>21472.075559999997</v>
      </c>
      <c r="T31" s="20">
        <f t="shared" si="2"/>
        <v>547699.0680600001</v>
      </c>
      <c r="U31" s="35">
        <f t="shared" si="15"/>
        <v>16031.744520600001</v>
      </c>
      <c r="W31" s="65">
        <f t="shared" si="66"/>
        <v>270344.1125</v>
      </c>
      <c r="X31" s="65">
        <f t="shared" si="42"/>
        <v>11031.0746</v>
      </c>
      <c r="Y31" s="20">
        <f t="shared" si="3"/>
        <v>281375.1871</v>
      </c>
      <c r="Z31" s="35">
        <f t="shared" si="16"/>
        <v>8236.156271</v>
      </c>
      <c r="AB31" s="33">
        <f t="shared" si="67"/>
        <v>2039.3175</v>
      </c>
      <c r="AC31" s="33">
        <f t="shared" si="43"/>
        <v>83.21196</v>
      </c>
      <c r="AD31" s="33">
        <f t="shared" si="85"/>
        <v>2122.52946</v>
      </c>
      <c r="AE31" s="35">
        <f t="shared" si="17"/>
        <v>62.1287346</v>
      </c>
      <c r="AG31" s="65">
        <f t="shared" si="68"/>
        <v>114416.005</v>
      </c>
      <c r="AH31" s="65">
        <f t="shared" si="44"/>
        <v>4668.61096</v>
      </c>
      <c r="AI31" s="20">
        <f t="shared" si="4"/>
        <v>119084.61596000001</v>
      </c>
      <c r="AJ31" s="35">
        <f t="shared" si="18"/>
        <v>3485.7355995999997</v>
      </c>
      <c r="AL31" s="65">
        <f t="shared" si="69"/>
        <v>557894.15</v>
      </c>
      <c r="AM31" s="65">
        <f t="shared" si="45"/>
        <v>22764.216800000002</v>
      </c>
      <c r="AN31" s="20">
        <f t="shared" si="5"/>
        <v>580658.3668000001</v>
      </c>
      <c r="AO31" s="35">
        <f t="shared" si="19"/>
        <v>16996.498868</v>
      </c>
      <c r="AP31" s="33"/>
      <c r="AQ31" s="65">
        <f t="shared" si="70"/>
        <v>99609.4</v>
      </c>
      <c r="AR31" s="65">
        <f t="shared" si="46"/>
        <v>4064.4448</v>
      </c>
      <c r="AS31" s="20">
        <f t="shared" si="6"/>
        <v>103673.84479999999</v>
      </c>
      <c r="AT31" s="35">
        <f t="shared" si="20"/>
        <v>3034.645648</v>
      </c>
      <c r="AU31" s="33"/>
      <c r="AV31" s="51">
        <f t="shared" si="71"/>
        <v>4084.905</v>
      </c>
      <c r="AW31" s="51">
        <f t="shared" si="47"/>
        <v>166.67976</v>
      </c>
      <c r="AX31" s="33">
        <f t="shared" si="7"/>
        <v>4251.58476</v>
      </c>
      <c r="AY31" s="35">
        <f t="shared" si="21"/>
        <v>124.4484876</v>
      </c>
      <c r="AZ31" s="33"/>
      <c r="BA31" s="33">
        <f t="shared" si="72"/>
        <v>60558.795</v>
      </c>
      <c r="BB31" s="33">
        <f t="shared" si="48"/>
        <v>2471.03064</v>
      </c>
      <c r="BC31" s="33">
        <f t="shared" si="49"/>
        <v>63029.825639999995</v>
      </c>
      <c r="BD31" s="35">
        <f t="shared" si="22"/>
        <v>1844.9512164</v>
      </c>
      <c r="BE31" s="33"/>
      <c r="BF31" s="51">
        <f t="shared" si="73"/>
        <v>51836.18</v>
      </c>
      <c r="BG31" s="51">
        <f t="shared" si="50"/>
        <v>2115.11456</v>
      </c>
      <c r="BH31" s="33">
        <f t="shared" si="8"/>
        <v>53951.29456</v>
      </c>
      <c r="BI31" s="35">
        <f t="shared" si="23"/>
        <v>1579.2127856</v>
      </c>
      <c r="BJ31" s="33"/>
      <c r="BK31" s="51">
        <f t="shared" si="74"/>
        <v>62744.4125</v>
      </c>
      <c r="BL31" s="51">
        <f t="shared" si="51"/>
        <v>2560.2122</v>
      </c>
      <c r="BM31" s="33">
        <f t="shared" si="9"/>
        <v>65304.6247</v>
      </c>
      <c r="BN31" s="35">
        <f t="shared" si="24"/>
        <v>1911.537047</v>
      </c>
      <c r="BO31" s="33"/>
      <c r="BP31" s="51">
        <f t="shared" si="75"/>
        <v>12218.6625</v>
      </c>
      <c r="BQ31" s="51">
        <f t="shared" si="52"/>
        <v>498.5682</v>
      </c>
      <c r="BR31" s="33">
        <f t="shared" si="10"/>
        <v>12717.2307</v>
      </c>
      <c r="BS31" s="35">
        <f t="shared" si="25"/>
        <v>372.24710699999997</v>
      </c>
      <c r="BT31" s="33"/>
      <c r="BU31" s="33">
        <f t="shared" si="76"/>
        <v>19919.79</v>
      </c>
      <c r="BV31" s="33">
        <f t="shared" si="53"/>
        <v>812.80368</v>
      </c>
      <c r="BW31" s="33">
        <f t="shared" si="54"/>
        <v>20732.59368</v>
      </c>
      <c r="BX31" s="35">
        <f t="shared" si="26"/>
        <v>606.8654568000001</v>
      </c>
      <c r="BY31" s="33"/>
      <c r="BZ31" s="51">
        <f t="shared" si="77"/>
        <v>48563.24</v>
      </c>
      <c r="CA31" s="51">
        <f t="shared" si="55"/>
        <v>1981.56608</v>
      </c>
      <c r="CB31" s="33">
        <f t="shared" si="27"/>
        <v>50544.806079999995</v>
      </c>
      <c r="CC31" s="35">
        <f t="shared" si="28"/>
        <v>1479.5011808</v>
      </c>
      <c r="CD31" s="33"/>
      <c r="CE31" s="51">
        <f t="shared" si="78"/>
        <v>931568.3849999999</v>
      </c>
      <c r="CF31" s="51">
        <f t="shared" si="56"/>
        <v>38011.55592</v>
      </c>
      <c r="CG31" s="33">
        <f t="shared" si="29"/>
        <v>969579.9409199998</v>
      </c>
      <c r="CH31" s="35">
        <f t="shared" si="30"/>
        <v>28380.6542892</v>
      </c>
      <c r="CI31" s="33"/>
      <c r="CJ31" s="51">
        <f t="shared" si="79"/>
        <v>199064.14</v>
      </c>
      <c r="CK31" s="51">
        <f t="shared" si="57"/>
        <v>8122.57888</v>
      </c>
      <c r="CL31" s="33">
        <f t="shared" si="11"/>
        <v>207186.71888</v>
      </c>
      <c r="CM31" s="35">
        <f t="shared" si="31"/>
        <v>6064.5795087999995</v>
      </c>
      <c r="CN31" s="33"/>
      <c r="CO31" s="51">
        <f t="shared" si="80"/>
        <v>17615.565</v>
      </c>
      <c r="CP31" s="51">
        <f t="shared" si="58"/>
        <v>718.78248</v>
      </c>
      <c r="CQ31" s="33">
        <f t="shared" si="32"/>
        <v>18334.34748</v>
      </c>
      <c r="CR31" s="35">
        <f t="shared" si="33"/>
        <v>536.6661948</v>
      </c>
      <c r="CS31" s="33"/>
      <c r="CT31" s="51">
        <f t="shared" si="81"/>
        <v>3207.105</v>
      </c>
      <c r="CU31" s="51">
        <f t="shared" si="59"/>
        <v>130.86216</v>
      </c>
      <c r="CV31" s="33">
        <f t="shared" si="12"/>
        <v>3337.96716</v>
      </c>
      <c r="CW31" s="35">
        <f t="shared" si="34"/>
        <v>97.7059116</v>
      </c>
      <c r="CX31" s="33"/>
      <c r="CY31" s="51">
        <f t="shared" si="82"/>
        <v>385649.4125</v>
      </c>
      <c r="CZ31" s="51">
        <f t="shared" si="60"/>
        <v>15735.9722</v>
      </c>
      <c r="DA31" s="33">
        <f t="shared" si="35"/>
        <v>401385.3847</v>
      </c>
      <c r="DB31" s="35">
        <f t="shared" si="36"/>
        <v>11748.984647</v>
      </c>
      <c r="DC31" s="33"/>
      <c r="DD31" s="33">
        <f t="shared" si="83"/>
        <v>7121.1525</v>
      </c>
      <c r="DE31" s="33">
        <f t="shared" si="61"/>
        <v>290.57027999999997</v>
      </c>
      <c r="DF31" s="33">
        <f t="shared" si="62"/>
        <v>7411.72278</v>
      </c>
      <c r="DG31" s="35">
        <f t="shared" si="37"/>
        <v>216.9491478</v>
      </c>
      <c r="DH31" s="33"/>
      <c r="DI31" s="51">
        <f t="shared" si="84"/>
        <v>17.765</v>
      </c>
      <c r="DJ31" s="51">
        <f t="shared" si="63"/>
        <v>0.72488</v>
      </c>
      <c r="DK31" s="33">
        <f t="shared" si="13"/>
        <v>18.48988</v>
      </c>
      <c r="DL31" s="35">
        <f t="shared" si="38"/>
        <v>0.5412188</v>
      </c>
      <c r="DM31" s="33"/>
      <c r="DN31" s="33"/>
      <c r="DO31" s="33"/>
      <c r="DP31" s="33"/>
      <c r="DQ31" s="35">
        <f t="shared" si="39"/>
        <v>0</v>
      </c>
    </row>
    <row r="32" spans="1:121" ht="12.75">
      <c r="A32" s="52">
        <v>44470</v>
      </c>
      <c r="D32" s="35">
        <v>108700</v>
      </c>
      <c r="E32" s="35">
        <f t="shared" si="0"/>
        <v>108700</v>
      </c>
      <c r="F32" s="35">
        <v>159182</v>
      </c>
      <c r="H32" s="51"/>
      <c r="I32" s="51">
        <v>38493</v>
      </c>
      <c r="J32" s="51">
        <f t="shared" si="40"/>
        <v>38493</v>
      </c>
      <c r="K32" s="35">
        <v>56370.246159</v>
      </c>
      <c r="M32" s="51"/>
      <c r="N32" s="41">
        <f t="shared" si="14"/>
        <v>70206.66685</v>
      </c>
      <c r="O32" s="33">
        <f t="shared" si="1"/>
        <v>70206.66685</v>
      </c>
      <c r="P32" s="41">
        <f t="shared" si="14"/>
        <v>102811.753841</v>
      </c>
      <c r="R32" s="65"/>
      <c r="S32" s="65">
        <f t="shared" si="41"/>
        <v>10947.53571</v>
      </c>
      <c r="T32" s="20">
        <f t="shared" si="2"/>
        <v>10947.53571</v>
      </c>
      <c r="U32" s="35">
        <f t="shared" si="15"/>
        <v>16031.744520600001</v>
      </c>
      <c r="W32" s="65"/>
      <c r="X32" s="65">
        <f t="shared" si="42"/>
        <v>5624.19235</v>
      </c>
      <c r="Y32" s="20">
        <f t="shared" si="3"/>
        <v>5624.19235</v>
      </c>
      <c r="Z32" s="35">
        <f t="shared" si="16"/>
        <v>8236.156271</v>
      </c>
      <c r="AC32" s="33">
        <f t="shared" si="43"/>
        <v>42.425610000000006</v>
      </c>
      <c r="AD32" s="33">
        <f t="shared" si="85"/>
        <v>42.425610000000006</v>
      </c>
      <c r="AE32" s="35">
        <f t="shared" si="17"/>
        <v>62.1287346</v>
      </c>
      <c r="AG32" s="65"/>
      <c r="AH32" s="65">
        <f t="shared" si="44"/>
        <v>2380.2908599999996</v>
      </c>
      <c r="AI32" s="20">
        <f t="shared" si="4"/>
        <v>2380.2908599999996</v>
      </c>
      <c r="AJ32" s="35">
        <f t="shared" si="18"/>
        <v>3485.7355995999997</v>
      </c>
      <c r="AL32" s="65"/>
      <c r="AM32" s="65">
        <f t="shared" si="45"/>
        <v>11606.3338</v>
      </c>
      <c r="AN32" s="20">
        <f t="shared" si="5"/>
        <v>11606.3338</v>
      </c>
      <c r="AO32" s="35">
        <f t="shared" si="19"/>
        <v>16996.498868</v>
      </c>
      <c r="AP32" s="33"/>
      <c r="AQ32" s="65"/>
      <c r="AR32" s="65">
        <f t="shared" si="46"/>
        <v>2072.2568</v>
      </c>
      <c r="AS32" s="20">
        <f t="shared" si="6"/>
        <v>2072.2568</v>
      </c>
      <c r="AT32" s="35">
        <f t="shared" si="20"/>
        <v>3034.645648</v>
      </c>
      <c r="AU32" s="33"/>
      <c r="AV32" s="51"/>
      <c r="AW32" s="51">
        <f t="shared" si="47"/>
        <v>84.98165999999999</v>
      </c>
      <c r="AX32" s="33">
        <f t="shared" si="7"/>
        <v>84.98165999999999</v>
      </c>
      <c r="AY32" s="35">
        <f t="shared" si="21"/>
        <v>124.4484876</v>
      </c>
      <c r="AZ32" s="33"/>
      <c r="BA32" s="33"/>
      <c r="BB32" s="33">
        <f t="shared" si="48"/>
        <v>1259.8547399999998</v>
      </c>
      <c r="BC32" s="33">
        <f t="shared" si="49"/>
        <v>1259.8547399999998</v>
      </c>
      <c r="BD32" s="35">
        <f t="shared" si="22"/>
        <v>1844.9512164</v>
      </c>
      <c r="BE32" s="33"/>
      <c r="BF32" s="51"/>
      <c r="BG32" s="51">
        <f t="shared" si="50"/>
        <v>1078.39096</v>
      </c>
      <c r="BH32" s="33">
        <f t="shared" si="8"/>
        <v>1078.39096</v>
      </c>
      <c r="BI32" s="35">
        <f t="shared" si="23"/>
        <v>1579.2127856</v>
      </c>
      <c r="BJ32" s="33"/>
      <c r="BK32" s="51"/>
      <c r="BL32" s="51">
        <f t="shared" si="51"/>
        <v>1305.32395</v>
      </c>
      <c r="BM32" s="33">
        <f t="shared" si="9"/>
        <v>1305.32395</v>
      </c>
      <c r="BN32" s="35">
        <f t="shared" si="24"/>
        <v>1911.537047</v>
      </c>
      <c r="BO32" s="33"/>
      <c r="BP32" s="51"/>
      <c r="BQ32" s="51">
        <f t="shared" si="52"/>
        <v>254.19494999999998</v>
      </c>
      <c r="BR32" s="33">
        <f t="shared" si="10"/>
        <v>254.19494999999998</v>
      </c>
      <c r="BS32" s="35">
        <f t="shared" si="25"/>
        <v>372.24710699999997</v>
      </c>
      <c r="BT32" s="33"/>
      <c r="BU32" s="33"/>
      <c r="BV32" s="33">
        <f t="shared" si="53"/>
        <v>414.40788</v>
      </c>
      <c r="BW32" s="33">
        <f t="shared" si="54"/>
        <v>414.40788</v>
      </c>
      <c r="BX32" s="35">
        <f t="shared" si="26"/>
        <v>606.8654568000001</v>
      </c>
      <c r="BY32" s="33"/>
      <c r="BZ32" s="51"/>
      <c r="CA32" s="51">
        <f t="shared" si="55"/>
        <v>1010.3012800000001</v>
      </c>
      <c r="CB32" s="33">
        <f t="shared" si="27"/>
        <v>1010.3012800000001</v>
      </c>
      <c r="CC32" s="35">
        <f t="shared" si="28"/>
        <v>1479.5011808</v>
      </c>
      <c r="CD32" s="33"/>
      <c r="CE32" s="51"/>
      <c r="CF32" s="51">
        <f t="shared" si="56"/>
        <v>19380.18822</v>
      </c>
      <c r="CG32" s="33">
        <f t="shared" si="29"/>
        <v>19380.18822</v>
      </c>
      <c r="CH32" s="35">
        <f t="shared" si="30"/>
        <v>28380.6542892</v>
      </c>
      <c r="CI32" s="33"/>
      <c r="CJ32" s="51"/>
      <c r="CK32" s="51">
        <f t="shared" si="57"/>
        <v>4141.29608</v>
      </c>
      <c r="CL32" s="33">
        <f t="shared" si="11"/>
        <v>4141.29608</v>
      </c>
      <c r="CM32" s="35">
        <f t="shared" si="31"/>
        <v>6064.5795087999995</v>
      </c>
      <c r="CN32" s="33"/>
      <c r="CO32" s="51"/>
      <c r="CP32" s="51">
        <f t="shared" si="58"/>
        <v>366.47118</v>
      </c>
      <c r="CQ32" s="33">
        <f t="shared" si="32"/>
        <v>366.47118</v>
      </c>
      <c r="CR32" s="35">
        <f t="shared" si="33"/>
        <v>536.6661948</v>
      </c>
      <c r="CS32" s="33"/>
      <c r="CT32" s="51"/>
      <c r="CU32" s="51">
        <f t="shared" si="59"/>
        <v>66.72005999999999</v>
      </c>
      <c r="CV32" s="33">
        <f t="shared" si="12"/>
        <v>66.72005999999999</v>
      </c>
      <c r="CW32" s="35">
        <f t="shared" si="34"/>
        <v>97.7059116</v>
      </c>
      <c r="CX32" s="33"/>
      <c r="CY32" s="51"/>
      <c r="CZ32" s="51">
        <f t="shared" si="60"/>
        <v>8022.98395</v>
      </c>
      <c r="DA32" s="33">
        <f t="shared" si="35"/>
        <v>8022.98395</v>
      </c>
      <c r="DB32" s="35">
        <f t="shared" si="36"/>
        <v>11748.984647</v>
      </c>
      <c r="DC32" s="33"/>
      <c r="DD32" s="33"/>
      <c r="DE32" s="33">
        <f t="shared" si="61"/>
        <v>148.14723</v>
      </c>
      <c r="DF32" s="33">
        <f t="shared" si="62"/>
        <v>148.14723</v>
      </c>
      <c r="DG32" s="35">
        <f t="shared" si="37"/>
        <v>216.9491478</v>
      </c>
      <c r="DH32" s="33"/>
      <c r="DI32" s="51"/>
      <c r="DJ32" s="51">
        <f t="shared" si="63"/>
        <v>0.3695800000000001</v>
      </c>
      <c r="DK32" s="33">
        <f t="shared" si="13"/>
        <v>0.3695800000000001</v>
      </c>
      <c r="DL32" s="35">
        <f t="shared" si="38"/>
        <v>0.5412188</v>
      </c>
      <c r="DM32" s="33"/>
      <c r="DN32" s="33"/>
      <c r="DO32" s="33"/>
      <c r="DP32" s="33"/>
      <c r="DQ32" s="35">
        <f t="shared" si="39"/>
        <v>0</v>
      </c>
    </row>
    <row r="33" spans="1:121" s="53" customFormat="1" ht="12.75">
      <c r="A33" s="52">
        <v>44652</v>
      </c>
      <c r="C33" s="41">
        <v>5435000</v>
      </c>
      <c r="D33" s="41">
        <v>108700</v>
      </c>
      <c r="E33" s="35">
        <f t="shared" si="0"/>
        <v>5543700</v>
      </c>
      <c r="F33" s="35">
        <v>159175</v>
      </c>
      <c r="G33" s="51"/>
      <c r="H33" s="51">
        <v>1924667</v>
      </c>
      <c r="I33" s="51">
        <v>38493</v>
      </c>
      <c r="J33" s="51">
        <f t="shared" si="40"/>
        <v>1963160</v>
      </c>
      <c r="K33" s="35">
        <v>56367.767287500006</v>
      </c>
      <c r="L33" s="51"/>
      <c r="M33" s="51">
        <f t="shared" si="64"/>
        <v>3510333.3425000003</v>
      </c>
      <c r="N33" s="41">
        <f t="shared" si="14"/>
        <v>70206.66685</v>
      </c>
      <c r="O33" s="33">
        <f t="shared" si="1"/>
        <v>3580540.0093500004</v>
      </c>
      <c r="P33" s="41">
        <f t="shared" si="14"/>
        <v>102807.23271249999</v>
      </c>
      <c r="Q33" s="51"/>
      <c r="R33" s="65">
        <f t="shared" si="65"/>
        <v>547376.7855</v>
      </c>
      <c r="S33" s="65">
        <f t="shared" si="41"/>
        <v>10947.53571</v>
      </c>
      <c r="T33" s="20">
        <f t="shared" si="2"/>
        <v>558324.32121</v>
      </c>
      <c r="U33" s="35">
        <f t="shared" si="15"/>
        <v>16031.039527500001</v>
      </c>
      <c r="V33" s="51"/>
      <c r="W33" s="65">
        <f t="shared" si="66"/>
        <v>281209.6175</v>
      </c>
      <c r="X33" s="65">
        <f t="shared" si="42"/>
        <v>5624.19235</v>
      </c>
      <c r="Y33" s="20">
        <f t="shared" si="3"/>
        <v>286833.80985</v>
      </c>
      <c r="Z33" s="35">
        <f t="shared" si="16"/>
        <v>8235.7940875</v>
      </c>
      <c r="AA33" s="51"/>
      <c r="AB33" s="33">
        <f t="shared" si="67"/>
        <v>2121.2805000000003</v>
      </c>
      <c r="AC33" s="33">
        <f t="shared" si="43"/>
        <v>42.425610000000006</v>
      </c>
      <c r="AD33" s="33">
        <f t="shared" si="85"/>
        <v>2163.70611</v>
      </c>
      <c r="AE33" s="35">
        <f t="shared" si="17"/>
        <v>62.1260025</v>
      </c>
      <c r="AF33" s="51"/>
      <c r="AG33" s="65">
        <f t="shared" si="68"/>
        <v>119014.54299999999</v>
      </c>
      <c r="AH33" s="65">
        <f t="shared" si="44"/>
        <v>2380.2908599999996</v>
      </c>
      <c r="AI33" s="20">
        <f t="shared" si="4"/>
        <v>121394.83385999998</v>
      </c>
      <c r="AJ33" s="35">
        <f t="shared" si="18"/>
        <v>3485.5823149999997</v>
      </c>
      <c r="AK33" s="51"/>
      <c r="AL33" s="65">
        <f t="shared" si="69"/>
        <v>580316.69</v>
      </c>
      <c r="AM33" s="65">
        <f t="shared" si="45"/>
        <v>11606.3338</v>
      </c>
      <c r="AN33" s="20">
        <f t="shared" si="5"/>
        <v>591923.0238</v>
      </c>
      <c r="AO33" s="35">
        <f t="shared" si="19"/>
        <v>16995.75145</v>
      </c>
      <c r="AP33" s="51"/>
      <c r="AQ33" s="65">
        <f t="shared" si="70"/>
        <v>103612.84</v>
      </c>
      <c r="AR33" s="65">
        <f t="shared" si="46"/>
        <v>2072.2568</v>
      </c>
      <c r="AS33" s="20">
        <f t="shared" si="6"/>
        <v>105685.0968</v>
      </c>
      <c r="AT33" s="35">
        <f t="shared" si="20"/>
        <v>3034.5122</v>
      </c>
      <c r="AU33" s="51"/>
      <c r="AV33" s="51">
        <f t="shared" si="71"/>
        <v>4249.083</v>
      </c>
      <c r="AW33" s="51">
        <f t="shared" si="47"/>
        <v>84.98165999999999</v>
      </c>
      <c r="AX33" s="33">
        <f t="shared" si="7"/>
        <v>4334.06466</v>
      </c>
      <c r="AY33" s="35">
        <f t="shared" si="21"/>
        <v>124.443015</v>
      </c>
      <c r="AZ33" s="51"/>
      <c r="BA33" s="33">
        <f t="shared" si="72"/>
        <v>62992.736999999994</v>
      </c>
      <c r="BB33" s="33">
        <f t="shared" si="48"/>
        <v>1259.8547399999998</v>
      </c>
      <c r="BC33" s="33">
        <f t="shared" si="49"/>
        <v>64252.591739999996</v>
      </c>
      <c r="BD33" s="35">
        <f t="shared" si="22"/>
        <v>1844.870085</v>
      </c>
      <c r="BE33" s="51"/>
      <c r="BF33" s="51">
        <f t="shared" si="73"/>
        <v>53919.547999999995</v>
      </c>
      <c r="BG33" s="51">
        <f t="shared" si="50"/>
        <v>1078.39096</v>
      </c>
      <c r="BH33" s="33">
        <f t="shared" si="8"/>
        <v>54997.93895999999</v>
      </c>
      <c r="BI33" s="35">
        <f t="shared" si="23"/>
        <v>1579.14334</v>
      </c>
      <c r="BJ33" s="51"/>
      <c r="BK33" s="51">
        <f t="shared" si="74"/>
        <v>65266.1975</v>
      </c>
      <c r="BL33" s="51">
        <f t="shared" si="51"/>
        <v>1305.32395</v>
      </c>
      <c r="BM33" s="33">
        <f t="shared" si="9"/>
        <v>66571.52145</v>
      </c>
      <c r="BN33" s="35">
        <f t="shared" si="24"/>
        <v>1911.4529875</v>
      </c>
      <c r="BO33" s="51"/>
      <c r="BP33" s="51">
        <f t="shared" si="75"/>
        <v>12709.7475</v>
      </c>
      <c r="BQ33" s="51">
        <f t="shared" si="52"/>
        <v>254.19494999999998</v>
      </c>
      <c r="BR33" s="33">
        <f t="shared" si="10"/>
        <v>12963.942449999999</v>
      </c>
      <c r="BS33" s="35">
        <f t="shared" si="25"/>
        <v>372.2307375</v>
      </c>
      <c r="BT33" s="51"/>
      <c r="BU33" s="33">
        <f t="shared" si="76"/>
        <v>20720.394</v>
      </c>
      <c r="BV33" s="33">
        <f t="shared" si="53"/>
        <v>414.40788</v>
      </c>
      <c r="BW33" s="33">
        <f t="shared" si="54"/>
        <v>21134.80188</v>
      </c>
      <c r="BX33" s="35">
        <f t="shared" si="26"/>
        <v>606.8387700000001</v>
      </c>
      <c r="BY33" s="51"/>
      <c r="BZ33" s="51">
        <f t="shared" si="77"/>
        <v>50515.064000000006</v>
      </c>
      <c r="CA33" s="51">
        <f t="shared" si="55"/>
        <v>1010.3012800000001</v>
      </c>
      <c r="CB33" s="33">
        <f t="shared" si="27"/>
        <v>51525.365280000005</v>
      </c>
      <c r="CC33" s="35">
        <f t="shared" si="28"/>
        <v>1479.4361199999998</v>
      </c>
      <c r="CD33" s="51"/>
      <c r="CE33" s="51">
        <f t="shared" si="78"/>
        <v>969009.411</v>
      </c>
      <c r="CF33" s="51">
        <f t="shared" si="56"/>
        <v>19380.18822</v>
      </c>
      <c r="CG33" s="33">
        <f t="shared" si="29"/>
        <v>988389.59922</v>
      </c>
      <c r="CH33" s="35">
        <f t="shared" si="30"/>
        <v>28379.406254999998</v>
      </c>
      <c r="CI33" s="51"/>
      <c r="CJ33" s="51">
        <f t="shared" si="79"/>
        <v>207064.80399999997</v>
      </c>
      <c r="CK33" s="51">
        <f t="shared" si="57"/>
        <v>4141.29608</v>
      </c>
      <c r="CL33" s="33">
        <f t="shared" si="11"/>
        <v>211206.10007999997</v>
      </c>
      <c r="CM33" s="35">
        <f t="shared" si="31"/>
        <v>6064.312819999999</v>
      </c>
      <c r="CN33" s="51"/>
      <c r="CO33" s="51">
        <f t="shared" si="80"/>
        <v>18323.558999999997</v>
      </c>
      <c r="CP33" s="51">
        <f t="shared" si="58"/>
        <v>366.47118</v>
      </c>
      <c r="CQ33" s="33">
        <f t="shared" si="32"/>
        <v>18690.030179999998</v>
      </c>
      <c r="CR33" s="35">
        <f t="shared" si="33"/>
        <v>536.642595</v>
      </c>
      <c r="CS33" s="51"/>
      <c r="CT33" s="51">
        <f t="shared" si="81"/>
        <v>3336.0029999999997</v>
      </c>
      <c r="CU33" s="51">
        <f t="shared" si="59"/>
        <v>66.72005999999999</v>
      </c>
      <c r="CV33" s="33">
        <f t="shared" si="12"/>
        <v>3402.72306</v>
      </c>
      <c r="CW33" s="35">
        <f t="shared" si="34"/>
        <v>97.70161499999999</v>
      </c>
      <c r="CX33" s="51"/>
      <c r="CY33" s="51">
        <f t="shared" si="82"/>
        <v>401149.1975</v>
      </c>
      <c r="CZ33" s="51">
        <f t="shared" si="60"/>
        <v>8022.98395</v>
      </c>
      <c r="DA33" s="33">
        <f t="shared" si="35"/>
        <v>409172.18145000003</v>
      </c>
      <c r="DB33" s="35">
        <f t="shared" si="36"/>
        <v>11748.4679875</v>
      </c>
      <c r="DC33" s="33"/>
      <c r="DD33" s="33">
        <f t="shared" si="83"/>
        <v>7407.3615</v>
      </c>
      <c r="DE33" s="33">
        <f t="shared" si="61"/>
        <v>148.14723</v>
      </c>
      <c r="DF33" s="33">
        <f t="shared" si="62"/>
        <v>7555.50873</v>
      </c>
      <c r="DG33" s="35">
        <f t="shared" si="37"/>
        <v>216.9396075</v>
      </c>
      <c r="DH33" s="51"/>
      <c r="DI33" s="51">
        <f t="shared" si="84"/>
        <v>18.479</v>
      </c>
      <c r="DJ33" s="51">
        <f t="shared" si="63"/>
        <v>0.3695800000000001</v>
      </c>
      <c r="DK33" s="33">
        <f t="shared" si="13"/>
        <v>18.84858</v>
      </c>
      <c r="DL33" s="35">
        <f t="shared" si="38"/>
        <v>0.541195</v>
      </c>
      <c r="DM33" s="51"/>
      <c r="DN33" s="33"/>
      <c r="DO33" s="33"/>
      <c r="DP33" s="33"/>
      <c r="DQ33" s="35">
        <f t="shared" si="39"/>
        <v>0</v>
      </c>
    </row>
    <row r="34" spans="3:121" ht="12.75">
      <c r="C34" s="41"/>
      <c r="D34" s="41"/>
      <c r="E34" s="41"/>
      <c r="F34" s="41"/>
      <c r="K34" s="41"/>
      <c r="P34" s="41"/>
      <c r="R34" s="20"/>
      <c r="S34" s="20"/>
      <c r="T34" s="20"/>
      <c r="U34" s="41"/>
      <c r="W34" s="20"/>
      <c r="X34" s="20"/>
      <c r="Y34" s="20"/>
      <c r="Z34" s="41"/>
      <c r="AE34" s="41"/>
      <c r="AG34" s="20"/>
      <c r="AH34" s="20"/>
      <c r="AI34" s="20"/>
      <c r="AJ34" s="41"/>
      <c r="AL34" s="20"/>
      <c r="AM34" s="20"/>
      <c r="AN34" s="20"/>
      <c r="AO34" s="41"/>
      <c r="AP34" s="33"/>
      <c r="AQ34" s="20"/>
      <c r="AR34" s="20"/>
      <c r="AS34" s="20"/>
      <c r="AT34" s="41"/>
      <c r="AU34" s="33"/>
      <c r="AV34" s="33"/>
      <c r="AW34" s="33"/>
      <c r="AX34" s="33"/>
      <c r="AY34" s="41"/>
      <c r="AZ34" s="33"/>
      <c r="BA34" s="33"/>
      <c r="BB34" s="33"/>
      <c r="BC34" s="33"/>
      <c r="BD34" s="41"/>
      <c r="BE34" s="33"/>
      <c r="BF34" s="33"/>
      <c r="BG34" s="33"/>
      <c r="BH34" s="33"/>
      <c r="BI34" s="41"/>
      <c r="BJ34" s="33"/>
      <c r="BK34" s="33"/>
      <c r="BL34" s="33"/>
      <c r="BM34" s="33"/>
      <c r="BN34" s="41"/>
      <c r="BO34" s="33"/>
      <c r="BP34" s="33"/>
      <c r="BQ34" s="33"/>
      <c r="BR34" s="33"/>
      <c r="BS34" s="41"/>
      <c r="BT34" s="33"/>
      <c r="BU34" s="33"/>
      <c r="BV34" s="33"/>
      <c r="BW34" s="33"/>
      <c r="BX34" s="41"/>
      <c r="BY34" s="33"/>
      <c r="BZ34" s="33"/>
      <c r="CA34" s="33"/>
      <c r="CB34" s="33"/>
      <c r="CC34" s="41"/>
      <c r="CD34" s="33"/>
      <c r="CE34" s="33"/>
      <c r="CF34" s="33"/>
      <c r="CG34" s="33"/>
      <c r="CH34" s="41"/>
      <c r="CI34" s="33"/>
      <c r="CJ34" s="33"/>
      <c r="CK34" s="33"/>
      <c r="CL34" s="33"/>
      <c r="CM34" s="41"/>
      <c r="CN34" s="33"/>
      <c r="CO34" s="33"/>
      <c r="CP34" s="33"/>
      <c r="CQ34" s="33"/>
      <c r="CR34" s="41"/>
      <c r="CS34" s="33"/>
      <c r="CT34" s="33"/>
      <c r="CU34" s="33"/>
      <c r="CV34" s="33"/>
      <c r="CW34" s="41"/>
      <c r="CX34" s="33"/>
      <c r="CY34" s="33"/>
      <c r="CZ34" s="33"/>
      <c r="DA34" s="33"/>
      <c r="DB34" s="41"/>
      <c r="DC34" s="33"/>
      <c r="DD34" s="33"/>
      <c r="DE34" s="33"/>
      <c r="DF34" s="33"/>
      <c r="DG34" s="41"/>
      <c r="DH34" s="33"/>
      <c r="DI34" s="33"/>
      <c r="DJ34" s="33"/>
      <c r="DK34" s="33"/>
      <c r="DL34" s="41"/>
      <c r="DM34" s="33"/>
      <c r="DN34" s="33"/>
      <c r="DO34" s="33"/>
      <c r="DP34" s="33"/>
      <c r="DQ34" s="41"/>
    </row>
    <row r="35" spans="1:121" ht="13.5" thickBot="1">
      <c r="A35" s="31" t="s">
        <v>4</v>
      </c>
      <c r="C35" s="50">
        <f>SUM(C8:C34)</f>
        <v>55710000</v>
      </c>
      <c r="D35" s="50">
        <f>SUM(D8:D34)</f>
        <v>18165594</v>
      </c>
      <c r="E35" s="50">
        <f>SUM(E8:E34)</f>
        <v>73875594</v>
      </c>
      <c r="F35" s="50">
        <f>SUM(F8:F34)</f>
        <v>4138725</v>
      </c>
      <c r="H35" s="50">
        <f>SUM(H8:H34)</f>
        <v>19728277</v>
      </c>
      <c r="I35" s="50">
        <f>SUM(I8:I34)</f>
        <v>6204488</v>
      </c>
      <c r="J35" s="50">
        <f>SUM(J8:J34)</f>
        <v>25932765</v>
      </c>
      <c r="K35" s="50">
        <f>SUM(K8:K34)</f>
        <v>1409253.6751035</v>
      </c>
      <c r="M35" s="50">
        <f>SUM(M8:M34)</f>
        <v>35981724.105</v>
      </c>
      <c r="N35" s="50">
        <f>SUM(N8:N34)</f>
        <v>11961102.450086206</v>
      </c>
      <c r="O35" s="50">
        <f>SUM(O8:O34)</f>
        <v>47942826.5550862</v>
      </c>
      <c r="P35" s="50">
        <f>SUM(P8:P34)</f>
        <v>2729471.0787374997</v>
      </c>
      <c r="R35" s="50">
        <f>SUM(R8:R34)</f>
        <v>5610737.942999999</v>
      </c>
      <c r="S35" s="50">
        <f>SUM(S8:S34)</f>
        <v>1789829.6442161996</v>
      </c>
      <c r="T35" s="50">
        <f>SUM(T8:T34)</f>
        <v>7400567.5872162</v>
      </c>
      <c r="U35" s="50">
        <f>SUM(U8:U34)</f>
        <v>416824.6525425002</v>
      </c>
      <c r="W35" s="50">
        <f>SUM(W8:W34)</f>
        <v>2882463.255</v>
      </c>
      <c r="X35" s="50">
        <f>SUM(X8:X34)</f>
        <v>911457.6592162004</v>
      </c>
      <c r="Y35" s="50">
        <f>SUM(Y8:Y34)</f>
        <v>3793920.9142162</v>
      </c>
      <c r="Z35" s="50">
        <f>SUM(Z8:Z34)</f>
        <v>214139.70086249986</v>
      </c>
      <c r="AB35" s="50">
        <f>SUM(AB8:AB34)</f>
        <v>21743.613</v>
      </c>
      <c r="AC35" s="50">
        <f>SUM(AC8:AC34)</f>
        <v>6875.135997400001</v>
      </c>
      <c r="AD35" s="50">
        <f>SUM(AD8:AD34)</f>
        <v>28618.7489974</v>
      </c>
      <c r="AE35" s="50">
        <f>SUM(AE8:AE34)</f>
        <v>1615.3443674999996</v>
      </c>
      <c r="AG35" s="50">
        <f>SUM(AG8:AG34)</f>
        <v>1219926.438</v>
      </c>
      <c r="AH35" s="50">
        <f>SUM(AH8:AH34)</f>
        <v>390540.5339588</v>
      </c>
      <c r="AI35" s="50">
        <f>SUM(AI8:AI34)</f>
        <v>1610466.9719588</v>
      </c>
      <c r="AJ35" s="50">
        <f>SUM(AJ8:AJ34)</f>
        <v>90628.97230499994</v>
      </c>
      <c r="AL35" s="50">
        <f>SUM(AL8:AL34)</f>
        <v>5948379.540000001</v>
      </c>
      <c r="AM35" s="50">
        <f>SUM(AM8:AM34)</f>
        <v>1891530.301252</v>
      </c>
      <c r="AN35" s="50">
        <f>SUM(AN8:AN34)</f>
        <v>7839909.841252</v>
      </c>
      <c r="AO35" s="50">
        <f>SUM(AO8:AO34)</f>
        <v>441908.2231499999</v>
      </c>
      <c r="AP35" s="33"/>
      <c r="AQ35" s="50">
        <f>SUM(AQ8:AQ34)</f>
        <v>1062055.44</v>
      </c>
      <c r="AR35" s="50">
        <f>SUM(AR8:AR34)</f>
        <v>340440.79653759993</v>
      </c>
      <c r="AS35" s="50">
        <f>SUM(AS8:AS34)</f>
        <v>1402496.2365376002</v>
      </c>
      <c r="AT35" s="50">
        <f>SUM(AT8:AT34)</f>
        <v>78900.6534</v>
      </c>
      <c r="AU35" s="33"/>
      <c r="AV35" s="50">
        <f>SUM(AV8:AV34)</f>
        <v>43554.077999999994</v>
      </c>
      <c r="AW35" s="50">
        <f>SUM(AW8:AW34)</f>
        <v>13724.667323599999</v>
      </c>
      <c r="AX35" s="50">
        <f>SUM(AX8:AX34)</f>
        <v>57278.745323599986</v>
      </c>
      <c r="AY35" s="50">
        <f>SUM(AY8:AY34)</f>
        <v>3235.6552050000005</v>
      </c>
      <c r="AZ35" s="33"/>
      <c r="BA35" s="50">
        <f>SUM(BA8:BA34)</f>
        <v>645690.0419999999</v>
      </c>
      <c r="BB35" s="50">
        <f>SUM(BB8:BB34)</f>
        <v>206329.8998876</v>
      </c>
      <c r="BC35" s="50">
        <f>SUM(BC8:BC34)</f>
        <v>852019.9418875999</v>
      </c>
      <c r="BD35" s="50">
        <f>SUM(BD8:BD34)</f>
        <v>47968.65049499999</v>
      </c>
      <c r="BE35" s="33"/>
      <c r="BF35" s="50">
        <f>SUM(BF8:BF34)</f>
        <v>552687.7679999999</v>
      </c>
      <c r="BG35" s="50">
        <f>SUM(BG8:BG34)</f>
        <v>183226.27568160003</v>
      </c>
      <c r="BH35" s="50">
        <f>SUM(BH8:BH34)</f>
        <v>735914.0436815997</v>
      </c>
      <c r="BI35" s="50">
        <f>SUM(BI8:BI34)</f>
        <v>41059.46298000001</v>
      </c>
      <c r="BJ35" s="33"/>
      <c r="BK35" s="50">
        <f>SUM(BK8:BK34)</f>
        <v>668993.535</v>
      </c>
      <c r="BL35" s="50">
        <f>SUM(BL8:BL34)</f>
        <v>210396.725525</v>
      </c>
      <c r="BM35" s="50">
        <f>SUM(BM8:BM34)</f>
        <v>879390.260525</v>
      </c>
      <c r="BN35" s="50">
        <f>SUM(BN8:BN34)</f>
        <v>49699.8791625</v>
      </c>
      <c r="BO35" s="33"/>
      <c r="BP35" s="50">
        <f>SUM(BP8:BP34)</f>
        <v>130277.835</v>
      </c>
      <c r="BQ35" s="50">
        <f>SUM(BQ8:BQ34)</f>
        <v>41786.53980259999</v>
      </c>
      <c r="BR35" s="50">
        <f>SUM(BR8:BR34)</f>
        <v>172064.3748026</v>
      </c>
      <c r="BS35" s="50">
        <f>SUM(BS8:BS34)</f>
        <v>9678.4084125</v>
      </c>
      <c r="BT35" s="33"/>
      <c r="BU35" s="50">
        <f>SUM(BU8:BU34)</f>
        <v>212388.80400000003</v>
      </c>
      <c r="BV35" s="50">
        <f>SUM(BV8:BV34)</f>
        <v>67251.2500072</v>
      </c>
      <c r="BW35" s="50">
        <f>SUM(BW8:BW34)</f>
        <v>279640.05400720006</v>
      </c>
      <c r="BX35" s="50">
        <f>SUM(BX8:BX34)</f>
        <v>15778.475190000003</v>
      </c>
      <c r="BY35" s="33"/>
      <c r="BZ35" s="50">
        <f>SUM(BZ8:BZ34)</f>
        <v>517791.0240000001</v>
      </c>
      <c r="CA35" s="50">
        <f>SUM(CA8:CA34)</f>
        <v>165175.7888864</v>
      </c>
      <c r="CB35" s="50">
        <f>SUM(CB8:CB34)</f>
        <v>682966.8128864</v>
      </c>
      <c r="CC35" s="50">
        <f>SUM(CC8:CC34)</f>
        <v>38466.96563999997</v>
      </c>
      <c r="CD35" s="33"/>
      <c r="CE35" s="50">
        <f>SUM(CE8:CE34)</f>
        <v>9932569.326</v>
      </c>
      <c r="CF35" s="50">
        <f>SUM(CF8:CF34)</f>
        <v>3173471.1646323996</v>
      </c>
      <c r="CG35" s="50">
        <f>SUM(CG8:CG34)</f>
        <v>13106040.490632396</v>
      </c>
      <c r="CH35" s="50">
        <f>SUM(CH8:CH34)</f>
        <v>737895.7634849997</v>
      </c>
      <c r="CI35" s="33"/>
      <c r="CJ35" s="50">
        <f>SUM(CJ8:CJ34)</f>
        <v>2122461.864</v>
      </c>
      <c r="CK35" s="50">
        <f>SUM(CK8:CK34)</f>
        <v>667508.7319600001</v>
      </c>
      <c r="CL35" s="50">
        <f>SUM(CL8:CL34)</f>
        <v>2789970.595959999</v>
      </c>
      <c r="CM35" s="50">
        <f>SUM(CM8:CM34)</f>
        <v>157678.80054</v>
      </c>
      <c r="CN35" s="33"/>
      <c r="CO35" s="50">
        <f>SUM(CO8:CO34)</f>
        <v>187820.69400000002</v>
      </c>
      <c r="CP35" s="50">
        <f>SUM(CP8:CP34)</f>
        <v>60232.08243080001</v>
      </c>
      <c r="CQ35" s="50">
        <f>SUM(CQ8:CQ34)</f>
        <v>248052.77643079998</v>
      </c>
      <c r="CR35" s="50">
        <f>SUM(CR8:CR34)</f>
        <v>13953.297465</v>
      </c>
      <c r="CS35" s="33"/>
      <c r="CT35" s="50">
        <f>SUM(CT8:CT34)</f>
        <v>34194.797999999995</v>
      </c>
      <c r="CU35" s="50">
        <f>SUM(CU8:CU34)</f>
        <v>10754.174969999996</v>
      </c>
      <c r="CV35" s="50">
        <f>SUM(CV8:CV34)</f>
        <v>44948.97296999999</v>
      </c>
      <c r="CW35" s="50">
        <f>SUM(CW8:CW34)</f>
        <v>2540.3494050000004</v>
      </c>
      <c r="CX35" s="33"/>
      <c r="CY35" s="50">
        <f>SUM(CY8:CY34)</f>
        <v>4111871.535</v>
      </c>
      <c r="CZ35" s="50">
        <f>SUM(CZ8:CZ34)</f>
        <v>1293268.8631921995</v>
      </c>
      <c r="DA35" s="50">
        <f>SUM(DA8:DA34)</f>
        <v>5405140.3981922</v>
      </c>
      <c r="DB35" s="50">
        <f>SUM(DB8:DB34)</f>
        <v>305473.08416250005</v>
      </c>
      <c r="DC35" s="41"/>
      <c r="DD35" s="50">
        <f>SUM(DD8:DD34)</f>
        <v>75927.159</v>
      </c>
      <c r="DE35" s="50">
        <f>SUM(DE8:DE34)</f>
        <v>23878.893885</v>
      </c>
      <c r="DF35" s="50">
        <f>SUM(DF8:DF34)</f>
        <v>99806.052885</v>
      </c>
      <c r="DG35" s="50">
        <f>SUM(DG8:DG34)</f>
        <v>5640.6683025</v>
      </c>
      <c r="DH35" s="33"/>
      <c r="DI35" s="50">
        <f>SUM(DI8:DI34)</f>
        <v>189.414</v>
      </c>
      <c r="DJ35" s="50">
        <f>SUM(DJ8:DJ34)</f>
        <v>59.57021</v>
      </c>
      <c r="DK35" s="50">
        <f>SUM(DK8:DK34)</f>
        <v>248.98421000000005</v>
      </c>
      <c r="DL35" s="50">
        <f>SUM(DL8:DL34)</f>
        <v>14.071664999999996</v>
      </c>
      <c r="DM35" s="33"/>
      <c r="DN35" s="50">
        <f>SUM(DN8:DN34)</f>
        <v>0</v>
      </c>
      <c r="DO35" s="50">
        <f>SUM(DO8:DO34)</f>
        <v>513363.7505136</v>
      </c>
      <c r="DP35" s="50">
        <f>SUM(DP8:DP34)</f>
        <v>513363.7505136</v>
      </c>
      <c r="DQ35" s="50">
        <f>SUM(DQ8:DQ34)</f>
        <v>56370</v>
      </c>
    </row>
    <row r="36" spans="18:46" ht="13.5" thickTop="1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4:46" ht="12.75">
      <c r="N37" s="33"/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.75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46" ht="12.75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</row>
    <row r="44" spans="18:46" ht="12.75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8:46" ht="12.75"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.75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.75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8:46" ht="12.75">
      <c r="H48"/>
      <c r="I48"/>
      <c r="J48"/>
      <c r="K48"/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:46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</row>
    <row r="50" spans="1:46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</row>
    <row r="51" spans="1:46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</row>
    <row r="52" spans="1:46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</row>
    <row r="53" spans="1:46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</row>
    <row r="54" spans="1:46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</row>
    <row r="55" spans="1:46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</row>
    <row r="56" spans="1:46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</row>
    <row r="57" spans="1:46" ht="12.75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</row>
    <row r="58" spans="1:46" ht="12.75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</row>
    <row r="59" spans="1:46" ht="12.75">
      <c r="A59"/>
      <c r="C59"/>
      <c r="D59"/>
      <c r="E59"/>
      <c r="F59"/>
      <c r="G59"/>
      <c r="H59"/>
      <c r="I59"/>
      <c r="J59"/>
      <c r="K59"/>
      <c r="L59"/>
      <c r="Q59"/>
      <c r="R59" s="20"/>
      <c r="S59" s="20"/>
      <c r="T59" s="20"/>
      <c r="U59" s="20"/>
      <c r="V59"/>
      <c r="W59" s="20"/>
      <c r="X59" s="20"/>
      <c r="Y59" s="20"/>
      <c r="Z59" s="20"/>
      <c r="AA59"/>
      <c r="AB59"/>
      <c r="AC59"/>
      <c r="AD59"/>
      <c r="AE59"/>
      <c r="AF59"/>
      <c r="AG59" s="20"/>
      <c r="AH59" s="20"/>
      <c r="AI59" s="20"/>
      <c r="AJ59" s="20"/>
      <c r="AK59"/>
      <c r="AL59" s="20"/>
      <c r="AM59" s="20"/>
      <c r="AN59" s="20"/>
      <c r="AO59" s="20"/>
      <c r="AQ59" s="20"/>
      <c r="AR59" s="20"/>
      <c r="AS59" s="20"/>
      <c r="AT59" s="20"/>
    </row>
    <row r="60" spans="1:46" ht="12.75">
      <c r="A60"/>
      <c r="C60"/>
      <c r="D60"/>
      <c r="E60"/>
      <c r="F60"/>
      <c r="G60"/>
      <c r="H60"/>
      <c r="I60"/>
      <c r="J60"/>
      <c r="K60"/>
      <c r="L60"/>
      <c r="Q60"/>
      <c r="R60" s="20"/>
      <c r="S60" s="20"/>
      <c r="T60" s="20"/>
      <c r="U60" s="20"/>
      <c r="V60"/>
      <c r="W60" s="20"/>
      <c r="X60" s="20"/>
      <c r="Y60" s="20"/>
      <c r="Z60" s="20"/>
      <c r="AA60"/>
      <c r="AB60"/>
      <c r="AC60"/>
      <c r="AD60"/>
      <c r="AE60"/>
      <c r="AF60"/>
      <c r="AG60" s="20"/>
      <c r="AH60" s="20"/>
      <c r="AI60" s="20"/>
      <c r="AJ60" s="20"/>
      <c r="AK60"/>
      <c r="AL60" s="20"/>
      <c r="AM60" s="20"/>
      <c r="AN60" s="20"/>
      <c r="AO60" s="20"/>
      <c r="AQ60" s="20"/>
      <c r="AR60" s="20"/>
      <c r="AS60" s="20"/>
      <c r="AT60" s="20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37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</row>
    <row r="64" spans="1:37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</row>
    <row r="65" spans="1:37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</row>
    <row r="66" spans="1:37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</row>
    <row r="67" spans="1:37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</row>
    <row r="68" spans="1:37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</row>
    <row r="69" spans="1:37" ht="12.75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</row>
    <row r="70" spans="1:37" ht="12.75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</row>
    <row r="71" spans="1:37" ht="12.75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</row>
    <row r="72" spans="1:37" ht="12.75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</row>
    <row r="73" spans="1:37" ht="12.75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.75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.75">
      <c r="A75"/>
      <c r="C75"/>
      <c r="D75"/>
      <c r="E75"/>
      <c r="F75"/>
      <c r="G75"/>
      <c r="L75"/>
      <c r="Q75"/>
      <c r="V75"/>
      <c r="AA75"/>
      <c r="AB75"/>
      <c r="AC75"/>
      <c r="AD75"/>
      <c r="AE75"/>
      <c r="AF75"/>
      <c r="AK75"/>
    </row>
  </sheetData>
  <sheetProtection/>
  <printOptions/>
  <pageMargins left="0.5" right="0" top="0.85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72"/>
  <sheetViews>
    <sheetView zoomScalePageLayoutView="0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0" sqref="J40"/>
    </sheetView>
  </sheetViews>
  <sheetFormatPr defaultColWidth="9.140625" defaultRowHeight="12.75"/>
  <cols>
    <col min="1" max="1" width="9.7109375" style="19" customWidth="1"/>
    <col min="2" max="2" width="3.7109375" style="0" customWidth="1"/>
    <col min="3" max="6" width="13.7109375" style="35" hidden="1" customWidth="1"/>
    <col min="7" max="7" width="3.7109375" style="33" hidden="1" customWidth="1"/>
    <col min="8" max="11" width="13.7109375" style="33" customWidth="1"/>
    <col min="12" max="12" width="3.7109375" style="33" customWidth="1"/>
    <col min="13" max="16" width="12.7109375" style="33" customWidth="1"/>
    <col min="17" max="17" width="3.7109375" style="33" customWidth="1"/>
    <col min="18" max="21" width="13.7109375" style="33" customWidth="1"/>
    <col min="22" max="22" width="3.7109375" style="33" customWidth="1"/>
    <col min="23" max="24" width="12.7109375" style="33" customWidth="1"/>
    <col min="25" max="26" width="13.7109375" style="33" customWidth="1"/>
    <col min="27" max="27" width="3.7109375" style="33" customWidth="1"/>
    <col min="28" max="31" width="13.7109375" style="33" customWidth="1"/>
    <col min="32" max="32" width="3.7109375" style="33" customWidth="1"/>
    <col min="33" max="36" width="12.7109375" style="33" customWidth="1"/>
    <col min="37" max="37" width="3.7109375" style="33" customWidth="1"/>
    <col min="38" max="41" width="12.7109375" style="33" customWidth="1"/>
    <col min="42" max="42" width="3.7109375" style="33" customWidth="1"/>
    <col min="43" max="46" width="13.7109375" style="33" customWidth="1"/>
    <col min="47" max="47" width="3.7109375" style="33" customWidth="1"/>
    <col min="48" max="51" width="13.7109375" style="33" customWidth="1"/>
    <col min="52" max="52" width="3.7109375" style="33" customWidth="1"/>
    <col min="53" max="56" width="12.7109375" style="33" customWidth="1"/>
    <col min="57" max="57" width="3.7109375" style="33" customWidth="1"/>
    <col min="58" max="61" width="13.7109375" style="33" customWidth="1"/>
    <col min="62" max="62" width="3.7109375" style="33" customWidth="1"/>
    <col min="63" max="66" width="13.7109375" style="33" customWidth="1"/>
    <col min="67" max="67" width="3.7109375" style="33" customWidth="1"/>
    <col min="68" max="71" width="13.7109375" style="33" customWidth="1"/>
    <col min="72" max="72" width="3.7109375" style="33" customWidth="1"/>
    <col min="73" max="76" width="13.7109375" style="33" customWidth="1"/>
    <col min="77" max="77" width="3.7109375" style="33" customWidth="1"/>
    <col min="78" max="81" width="13.7109375" style="33" customWidth="1"/>
    <col min="82" max="82" width="3.7109375" style="33" customWidth="1"/>
    <col min="83" max="86" width="13.7109375" style="33" customWidth="1"/>
    <col min="87" max="87" width="3.7109375" style="33" customWidth="1"/>
    <col min="88" max="91" width="13.7109375" style="33" customWidth="1"/>
    <col min="92" max="92" width="3.7109375" style="33" customWidth="1"/>
    <col min="93" max="96" width="13.7109375" style="33" customWidth="1"/>
    <col min="97" max="97" width="3.7109375" style="33" customWidth="1"/>
    <col min="98" max="101" width="13.7109375" style="33" customWidth="1"/>
    <col min="102" max="102" width="3.7109375" style="33" customWidth="1"/>
  </cols>
  <sheetData>
    <row r="1" spans="1:98" ht="12.75">
      <c r="A1" s="43"/>
      <c r="B1" s="30"/>
      <c r="D1" s="44"/>
      <c r="H1" s="44" t="s">
        <v>14</v>
      </c>
      <c r="R1" s="44"/>
      <c r="W1" s="44" t="s">
        <v>14</v>
      </c>
      <c r="AL1" s="44" t="s">
        <v>14</v>
      </c>
      <c r="AV1" s="44"/>
      <c r="BA1" s="44" t="s">
        <v>14</v>
      </c>
      <c r="BP1" s="44" t="s">
        <v>14</v>
      </c>
      <c r="CE1" s="44" t="s">
        <v>14</v>
      </c>
      <c r="CT1" s="44" t="s">
        <v>14</v>
      </c>
    </row>
    <row r="2" spans="1:98" ht="12.75">
      <c r="A2" s="43"/>
      <c r="B2" s="30"/>
      <c r="D2" s="44"/>
      <c r="H2" s="44" t="s">
        <v>13</v>
      </c>
      <c r="R2" s="44"/>
      <c r="W2" s="44" t="s">
        <v>13</v>
      </c>
      <c r="AL2" s="44" t="s">
        <v>13</v>
      </c>
      <c r="AV2" s="44"/>
      <c r="BA2" s="44" t="s">
        <v>13</v>
      </c>
      <c r="BP2" s="44" t="s">
        <v>13</v>
      </c>
      <c r="CE2" s="44" t="s">
        <v>13</v>
      </c>
      <c r="CT2" s="44" t="s">
        <v>13</v>
      </c>
    </row>
    <row r="3" spans="1:98" ht="12.75">
      <c r="A3" s="43"/>
      <c r="B3" s="30"/>
      <c r="D3" s="42"/>
      <c r="H3" s="44" t="s">
        <v>91</v>
      </c>
      <c r="R3" s="44"/>
      <c r="W3" s="44" t="s">
        <v>91</v>
      </c>
      <c r="AL3" s="44" t="s">
        <v>91</v>
      </c>
      <c r="AV3" s="44"/>
      <c r="BA3" s="44" t="s">
        <v>91</v>
      </c>
      <c r="BP3" s="44" t="s">
        <v>91</v>
      </c>
      <c r="CE3" s="44" t="s">
        <v>91</v>
      </c>
      <c r="CT3" s="44" t="s">
        <v>91</v>
      </c>
    </row>
    <row r="4" spans="1:4" ht="12.75">
      <c r="A4" s="43"/>
      <c r="B4" s="30"/>
      <c r="C4" s="42"/>
      <c r="D4" s="44"/>
    </row>
    <row r="5" spans="1:101" ht="12.75">
      <c r="A5" s="21" t="s">
        <v>9</v>
      </c>
      <c r="C5" s="47" t="s">
        <v>90</v>
      </c>
      <c r="D5" s="48"/>
      <c r="E5" s="49"/>
      <c r="F5" s="77"/>
      <c r="H5" s="36" t="s">
        <v>92</v>
      </c>
      <c r="I5" s="37"/>
      <c r="J5" s="38"/>
      <c r="K5" s="77"/>
      <c r="M5" s="61" t="s">
        <v>119</v>
      </c>
      <c r="N5" s="70"/>
      <c r="O5" s="38"/>
      <c r="P5" s="77"/>
      <c r="R5" s="61" t="s">
        <v>120</v>
      </c>
      <c r="S5" s="70"/>
      <c r="T5" s="38"/>
      <c r="U5" s="77"/>
      <c r="W5" s="61" t="s">
        <v>121</v>
      </c>
      <c r="X5" s="70"/>
      <c r="Y5" s="38"/>
      <c r="Z5" s="77"/>
      <c r="AB5" s="61" t="s">
        <v>122</v>
      </c>
      <c r="AC5" s="70"/>
      <c r="AD5" s="38"/>
      <c r="AE5" s="77"/>
      <c r="AG5" s="61" t="s">
        <v>83</v>
      </c>
      <c r="AH5" s="70"/>
      <c r="AI5" s="38"/>
      <c r="AJ5" s="77"/>
      <c r="AL5" s="61" t="s">
        <v>84</v>
      </c>
      <c r="AM5" s="70"/>
      <c r="AN5" s="38"/>
      <c r="AO5" s="77"/>
      <c r="AQ5" s="36" t="s">
        <v>26</v>
      </c>
      <c r="AR5" s="37"/>
      <c r="AS5" s="38"/>
      <c r="AT5" s="77"/>
      <c r="AV5" s="36" t="s">
        <v>71</v>
      </c>
      <c r="AW5" s="37"/>
      <c r="AX5" s="38"/>
      <c r="AY5" s="77"/>
      <c r="AZ5" s="62"/>
      <c r="BA5" s="36" t="s">
        <v>85</v>
      </c>
      <c r="BB5" s="37"/>
      <c r="BC5" s="38"/>
      <c r="BD5" s="77"/>
      <c r="BE5" s="75"/>
      <c r="BF5" s="36" t="s">
        <v>72</v>
      </c>
      <c r="BG5" s="37"/>
      <c r="BH5" s="38"/>
      <c r="BI5" s="77"/>
      <c r="BJ5" s="75"/>
      <c r="BK5" s="36" t="s">
        <v>123</v>
      </c>
      <c r="BL5" s="37"/>
      <c r="BM5" s="38"/>
      <c r="BN5" s="77"/>
      <c r="BP5" s="36" t="s">
        <v>65</v>
      </c>
      <c r="BQ5" s="37"/>
      <c r="BR5" s="38"/>
      <c r="BS5" s="77"/>
      <c r="BU5" s="61" t="s">
        <v>124</v>
      </c>
      <c r="BV5" s="70"/>
      <c r="BW5" s="38"/>
      <c r="BX5" s="77"/>
      <c r="BZ5" s="36" t="s">
        <v>28</v>
      </c>
      <c r="CA5" s="70"/>
      <c r="CB5" s="38"/>
      <c r="CC5" s="77"/>
      <c r="CD5" s="62"/>
      <c r="CE5" s="36" t="s">
        <v>73</v>
      </c>
      <c r="CF5" s="70"/>
      <c r="CG5" s="38"/>
      <c r="CH5" s="77"/>
      <c r="CJ5" s="36" t="s">
        <v>74</v>
      </c>
      <c r="CK5" s="70"/>
      <c r="CL5" s="38"/>
      <c r="CM5" s="77"/>
      <c r="CO5" s="36" t="s">
        <v>75</v>
      </c>
      <c r="CP5" s="70"/>
      <c r="CQ5" s="38"/>
      <c r="CR5" s="77"/>
      <c r="CT5" s="36" t="s">
        <v>76</v>
      </c>
      <c r="CU5" s="70"/>
      <c r="CV5" s="38"/>
      <c r="CW5" s="77"/>
    </row>
    <row r="6" spans="1:102" s="12" customFormat="1" ht="12.75">
      <c r="A6" s="45" t="s">
        <v>10</v>
      </c>
      <c r="C6" s="39"/>
      <c r="D6" s="37"/>
      <c r="E6" s="38"/>
      <c r="F6" s="78" t="s">
        <v>127</v>
      </c>
      <c r="G6" s="33"/>
      <c r="H6" s="69"/>
      <c r="I6" s="64">
        <f>N6+S6+X6+AC6+AH6+AM6+AR6+AW6+BB6+BG6+BL6+BQ6+BV6+CA6+CF6+CK6+CP6+CU6</f>
        <v>0.3541245</v>
      </c>
      <c r="J6" s="74"/>
      <c r="K6" s="78" t="s">
        <v>127</v>
      </c>
      <c r="L6" s="33"/>
      <c r="M6" s="68"/>
      <c r="N6" s="12">
        <v>0.0549203</v>
      </c>
      <c r="O6" s="74"/>
      <c r="P6" s="78" t="s">
        <v>127</v>
      </c>
      <c r="Q6" s="33"/>
      <c r="R6" s="68"/>
      <c r="S6" s="12">
        <v>0.064416</v>
      </c>
      <c r="T6" s="74"/>
      <c r="U6" s="78" t="s">
        <v>127</v>
      </c>
      <c r="V6" s="33"/>
      <c r="W6" s="68"/>
      <c r="X6" s="12">
        <v>0.0044728</v>
      </c>
      <c r="Y6" s="74"/>
      <c r="Z6" s="78" t="s">
        <v>127</v>
      </c>
      <c r="AA6" s="33"/>
      <c r="AB6" s="68"/>
      <c r="AC6" s="12">
        <v>0.0037339</v>
      </c>
      <c r="AD6" s="74"/>
      <c r="AE6" s="78" t="s">
        <v>127</v>
      </c>
      <c r="AF6" s="33"/>
      <c r="AG6" s="68"/>
      <c r="AH6" s="12">
        <v>0.0011775</v>
      </c>
      <c r="AI6" s="74"/>
      <c r="AJ6" s="78" t="s">
        <v>127</v>
      </c>
      <c r="AK6" s="33"/>
      <c r="AL6" s="68"/>
      <c r="AM6" s="12">
        <v>0.0005636</v>
      </c>
      <c r="AN6" s="74"/>
      <c r="AO6" s="78" t="s">
        <v>127</v>
      </c>
      <c r="AP6" s="33"/>
      <c r="AQ6" s="68"/>
      <c r="AR6" s="64">
        <v>0.0002244</v>
      </c>
      <c r="AS6" s="74"/>
      <c r="AT6" s="78" t="s">
        <v>127</v>
      </c>
      <c r="AU6" s="33"/>
      <c r="AV6" s="68"/>
      <c r="AW6" s="64">
        <v>0.0040796</v>
      </c>
      <c r="AX6" s="74"/>
      <c r="AY6" s="78" t="s">
        <v>127</v>
      </c>
      <c r="AZ6" s="62"/>
      <c r="BA6" s="68"/>
      <c r="BB6" s="64">
        <v>0.0054504</v>
      </c>
      <c r="BC6" s="74"/>
      <c r="BD6" s="78" t="s">
        <v>127</v>
      </c>
      <c r="BE6" s="75"/>
      <c r="BF6" s="68"/>
      <c r="BG6" s="64">
        <v>0.0021131</v>
      </c>
      <c r="BH6" s="74"/>
      <c r="BI6" s="78" t="s">
        <v>127</v>
      </c>
      <c r="BJ6" s="41"/>
      <c r="BK6" s="68"/>
      <c r="BL6" s="64">
        <v>0.1072994</v>
      </c>
      <c r="BM6" s="74"/>
      <c r="BN6" s="78" t="s">
        <v>127</v>
      </c>
      <c r="BO6" s="33"/>
      <c r="BP6" s="68"/>
      <c r="BQ6" s="64">
        <v>0.0009396</v>
      </c>
      <c r="BR6" s="74"/>
      <c r="BS6" s="78" t="s">
        <v>127</v>
      </c>
      <c r="BT6" s="33"/>
      <c r="BU6" s="68"/>
      <c r="BV6" s="12">
        <v>0.0940333</v>
      </c>
      <c r="BW6" s="74"/>
      <c r="BX6" s="78" t="s">
        <v>127</v>
      </c>
      <c r="BY6" s="33"/>
      <c r="BZ6" s="68"/>
      <c r="CA6" s="12">
        <v>0.0002641</v>
      </c>
      <c r="CB6" s="74"/>
      <c r="CC6" s="78" t="s">
        <v>127</v>
      </c>
      <c r="CD6" s="62"/>
      <c r="CE6" s="54"/>
      <c r="CF6" s="12">
        <v>2.08E-05</v>
      </c>
      <c r="CG6" s="74"/>
      <c r="CH6" s="78" t="s">
        <v>127</v>
      </c>
      <c r="CI6" s="33"/>
      <c r="CJ6" s="68"/>
      <c r="CK6" s="12">
        <v>0.0037547</v>
      </c>
      <c r="CL6" s="74"/>
      <c r="CM6" s="78" t="s">
        <v>127</v>
      </c>
      <c r="CN6" s="33"/>
      <c r="CO6" s="68"/>
      <c r="CP6" s="12">
        <v>0.0033313</v>
      </c>
      <c r="CQ6" s="74"/>
      <c r="CR6" s="78" t="s">
        <v>127</v>
      </c>
      <c r="CS6" s="33"/>
      <c r="CT6" s="68"/>
      <c r="CU6" s="12">
        <v>0.0033297</v>
      </c>
      <c r="CV6" s="74"/>
      <c r="CW6" s="78" t="s">
        <v>127</v>
      </c>
      <c r="CX6" s="33"/>
    </row>
    <row r="7" spans="1:101" ht="12.75">
      <c r="A7" s="25"/>
      <c r="C7" s="40" t="s">
        <v>11</v>
      </c>
      <c r="D7" s="40" t="s">
        <v>12</v>
      </c>
      <c r="E7" s="40" t="s">
        <v>4</v>
      </c>
      <c r="F7" s="40" t="s">
        <v>128</v>
      </c>
      <c r="H7" s="40" t="s">
        <v>11</v>
      </c>
      <c r="I7" s="40" t="s">
        <v>12</v>
      </c>
      <c r="J7" s="40" t="s">
        <v>4</v>
      </c>
      <c r="K7" s="40" t="s">
        <v>128</v>
      </c>
      <c r="M7" s="40" t="s">
        <v>11</v>
      </c>
      <c r="N7" s="40" t="s">
        <v>12</v>
      </c>
      <c r="O7" s="40" t="s">
        <v>4</v>
      </c>
      <c r="P7" s="40" t="s">
        <v>128</v>
      </c>
      <c r="R7" s="40" t="s">
        <v>11</v>
      </c>
      <c r="S7" s="40" t="s">
        <v>12</v>
      </c>
      <c r="T7" s="40" t="s">
        <v>4</v>
      </c>
      <c r="U7" s="40" t="s">
        <v>128</v>
      </c>
      <c r="W7" s="40" t="s">
        <v>11</v>
      </c>
      <c r="X7" s="40" t="s">
        <v>12</v>
      </c>
      <c r="Y7" s="40" t="s">
        <v>4</v>
      </c>
      <c r="Z7" s="40" t="s">
        <v>128</v>
      </c>
      <c r="AB7" s="40" t="s">
        <v>11</v>
      </c>
      <c r="AC7" s="40" t="s">
        <v>12</v>
      </c>
      <c r="AD7" s="40" t="s">
        <v>4</v>
      </c>
      <c r="AE7" s="40" t="s">
        <v>128</v>
      </c>
      <c r="AG7" s="40" t="s">
        <v>11</v>
      </c>
      <c r="AH7" s="40" t="s">
        <v>12</v>
      </c>
      <c r="AI7" s="40" t="s">
        <v>4</v>
      </c>
      <c r="AJ7" s="40" t="s">
        <v>128</v>
      </c>
      <c r="AL7" s="40" t="s">
        <v>11</v>
      </c>
      <c r="AM7" s="40" t="s">
        <v>12</v>
      </c>
      <c r="AN7" s="40" t="s">
        <v>4</v>
      </c>
      <c r="AO7" s="40" t="s">
        <v>128</v>
      </c>
      <c r="AQ7" s="40" t="s">
        <v>11</v>
      </c>
      <c r="AR7" s="40" t="s">
        <v>12</v>
      </c>
      <c r="AS7" s="40" t="s">
        <v>4</v>
      </c>
      <c r="AT7" s="40" t="s">
        <v>128</v>
      </c>
      <c r="AV7" s="40" t="s">
        <v>11</v>
      </c>
      <c r="AW7" s="40" t="s">
        <v>12</v>
      </c>
      <c r="AX7" s="40" t="s">
        <v>4</v>
      </c>
      <c r="AY7" s="40" t="s">
        <v>128</v>
      </c>
      <c r="AZ7" s="63"/>
      <c r="BA7" s="40" t="s">
        <v>11</v>
      </c>
      <c r="BB7" s="40" t="s">
        <v>12</v>
      </c>
      <c r="BC7" s="40" t="s">
        <v>4</v>
      </c>
      <c r="BD7" s="40" t="s">
        <v>128</v>
      </c>
      <c r="BE7" s="63"/>
      <c r="BF7" s="40" t="s">
        <v>11</v>
      </c>
      <c r="BG7" s="40" t="s">
        <v>12</v>
      </c>
      <c r="BH7" s="40" t="s">
        <v>4</v>
      </c>
      <c r="BI7" s="40" t="s">
        <v>128</v>
      </c>
      <c r="BJ7" s="63"/>
      <c r="BK7" s="40" t="s">
        <v>11</v>
      </c>
      <c r="BL7" s="40" t="s">
        <v>12</v>
      </c>
      <c r="BM7" s="40" t="s">
        <v>4</v>
      </c>
      <c r="BN7" s="40" t="s">
        <v>128</v>
      </c>
      <c r="BP7" s="40" t="s">
        <v>11</v>
      </c>
      <c r="BQ7" s="40" t="s">
        <v>12</v>
      </c>
      <c r="BR7" s="40" t="s">
        <v>4</v>
      </c>
      <c r="BS7" s="40" t="s">
        <v>128</v>
      </c>
      <c r="BU7" s="40" t="s">
        <v>11</v>
      </c>
      <c r="BV7" s="40" t="s">
        <v>12</v>
      </c>
      <c r="BW7" s="40" t="s">
        <v>4</v>
      </c>
      <c r="BX7" s="40" t="s">
        <v>128</v>
      </c>
      <c r="BZ7" s="40" t="s">
        <v>11</v>
      </c>
      <c r="CA7" s="40" t="s">
        <v>12</v>
      </c>
      <c r="CB7" s="40" t="s">
        <v>4</v>
      </c>
      <c r="CC7" s="40" t="s">
        <v>128</v>
      </c>
      <c r="CD7" s="63"/>
      <c r="CE7" s="40" t="s">
        <v>11</v>
      </c>
      <c r="CF7" s="40" t="s">
        <v>12</v>
      </c>
      <c r="CG7" s="40" t="s">
        <v>4</v>
      </c>
      <c r="CH7" s="40" t="s">
        <v>128</v>
      </c>
      <c r="CJ7" s="40" t="s">
        <v>11</v>
      </c>
      <c r="CK7" s="40" t="s">
        <v>12</v>
      </c>
      <c r="CL7" s="40" t="s">
        <v>4</v>
      </c>
      <c r="CM7" s="40" t="s">
        <v>128</v>
      </c>
      <c r="CO7" s="40" t="s">
        <v>11</v>
      </c>
      <c r="CP7" s="40" t="s">
        <v>12</v>
      </c>
      <c r="CQ7" s="40" t="s">
        <v>4</v>
      </c>
      <c r="CR7" s="40" t="s">
        <v>128</v>
      </c>
      <c r="CT7" s="40" t="s">
        <v>11</v>
      </c>
      <c r="CU7" s="40" t="s">
        <v>12</v>
      </c>
      <c r="CV7" s="40" t="s">
        <v>4</v>
      </c>
      <c r="CW7" s="40" t="s">
        <v>128</v>
      </c>
    </row>
    <row r="8" spans="1:101" ht="12.75">
      <c r="A8" s="19">
        <v>40087</v>
      </c>
      <c r="D8" s="35">
        <v>644944</v>
      </c>
      <c r="E8" s="35">
        <f aca="true" t="shared" si="0" ref="E8:E33">C8+D8</f>
        <v>644944</v>
      </c>
      <c r="H8" s="71"/>
      <c r="I8" s="51">
        <f>S8+AC8+AR8+AW8+BG8+BL8+BQ8+BV8+CA8+CF8+CK8+CP8+CU8</f>
        <v>0</v>
      </c>
      <c r="J8" s="33">
        <f>H8+I8</f>
        <v>0</v>
      </c>
      <c r="K8" s="51">
        <f>U8+AE8+AT8+AY8+BI8+BN8+BS8+BX8+CC8+CH8+CM8+CR8+CW8</f>
        <v>0</v>
      </c>
      <c r="N8" s="33">
        <v>0</v>
      </c>
      <c r="O8" s="33">
        <v>0</v>
      </c>
      <c r="P8" s="35">
        <f>$F8*N$6</f>
        <v>0</v>
      </c>
      <c r="S8" s="51">
        <v>0</v>
      </c>
      <c r="T8" s="33">
        <f>R8+S8</f>
        <v>0</v>
      </c>
      <c r="U8" s="35">
        <f>$F8*S$6</f>
        <v>0</v>
      </c>
      <c r="X8" s="33">
        <v>0</v>
      </c>
      <c r="Y8" s="33">
        <f>W8+X8</f>
        <v>0</v>
      </c>
      <c r="Z8" s="35">
        <f>$F8*X$6</f>
        <v>0</v>
      </c>
      <c r="AC8" s="33">
        <v>0</v>
      </c>
      <c r="AD8" s="33">
        <f aca="true" t="shared" si="1" ref="AD8:AD33">AB8+AC8</f>
        <v>0</v>
      </c>
      <c r="AE8" s="35">
        <f>$F8*AC$6</f>
        <v>0</v>
      </c>
      <c r="AH8" s="33">
        <v>0</v>
      </c>
      <c r="AI8" s="33">
        <f>AG8+AH8</f>
        <v>0</v>
      </c>
      <c r="AJ8" s="35">
        <f>$F8*AH$6</f>
        <v>0</v>
      </c>
      <c r="AM8" s="33">
        <v>0</v>
      </c>
      <c r="AN8" s="33">
        <f>AL8+AM8</f>
        <v>0</v>
      </c>
      <c r="AO8" s="35">
        <f>$F8*AM$6</f>
        <v>0</v>
      </c>
      <c r="AR8" s="33">
        <v>0</v>
      </c>
      <c r="AS8" s="33">
        <f>AQ8+AR8</f>
        <v>0</v>
      </c>
      <c r="AT8" s="35">
        <f>$F8*AR$6</f>
        <v>0</v>
      </c>
      <c r="AW8" s="33">
        <v>0</v>
      </c>
      <c r="AX8" s="33">
        <f>AV8+AW8</f>
        <v>0</v>
      </c>
      <c r="AY8" s="35">
        <f>$F8*AW$6</f>
        <v>0</v>
      </c>
      <c r="BB8" s="33">
        <v>0</v>
      </c>
      <c r="BC8" s="33">
        <f>BA8+BB8</f>
        <v>0</v>
      </c>
      <c r="BD8" s="35">
        <f>$F8*BB$6</f>
        <v>0</v>
      </c>
      <c r="BG8" s="33">
        <v>0</v>
      </c>
      <c r="BH8" s="33">
        <f aca="true" t="shared" si="2" ref="BH8:BH13">BF8+BG8</f>
        <v>0</v>
      </c>
      <c r="BI8" s="35">
        <f>$F8*BG$6</f>
        <v>0</v>
      </c>
      <c r="BL8" s="33">
        <v>0</v>
      </c>
      <c r="BM8" s="33">
        <f>BK8+BL8</f>
        <v>0</v>
      </c>
      <c r="BN8" s="35">
        <f>$F8*BL$6</f>
        <v>0</v>
      </c>
      <c r="BQ8" s="33">
        <v>0</v>
      </c>
      <c r="BR8" s="33">
        <f aca="true" t="shared" si="3" ref="BR8:BR13">BP8+BQ8</f>
        <v>0</v>
      </c>
      <c r="BS8" s="35">
        <f>$F8*BQ$6</f>
        <v>0</v>
      </c>
      <c r="BV8" s="33">
        <v>0</v>
      </c>
      <c r="BW8" s="33">
        <f>BU8+BV8</f>
        <v>0</v>
      </c>
      <c r="BX8" s="35">
        <f>$F8*BV$6</f>
        <v>0</v>
      </c>
      <c r="CA8" s="33">
        <v>0</v>
      </c>
      <c r="CB8" s="33">
        <f>BZ8+CA8</f>
        <v>0</v>
      </c>
      <c r="CC8" s="35">
        <f>$F8*CA$6</f>
        <v>0</v>
      </c>
      <c r="CF8" s="33">
        <v>0</v>
      </c>
      <c r="CG8" s="33">
        <f>CE8+CF8</f>
        <v>0</v>
      </c>
      <c r="CH8" s="35">
        <f>$F8*CF$6</f>
        <v>0</v>
      </c>
      <c r="CK8" s="33">
        <v>0</v>
      </c>
      <c r="CL8" s="33">
        <f aca="true" t="shared" si="4" ref="CL8:CL13">CJ8+CK8</f>
        <v>0</v>
      </c>
      <c r="CM8" s="35">
        <f>$F8*CK$6</f>
        <v>0</v>
      </c>
      <c r="CP8" s="33">
        <v>0</v>
      </c>
      <c r="CQ8" s="33">
        <f>CO8+CP8</f>
        <v>0</v>
      </c>
      <c r="CR8" s="35">
        <f>$F8*CP$6</f>
        <v>0</v>
      </c>
      <c r="CU8" s="33">
        <v>0</v>
      </c>
      <c r="CV8" s="33">
        <f>CT8+CU8</f>
        <v>0</v>
      </c>
      <c r="CW8" s="35">
        <f>$F8*CU$6</f>
        <v>0</v>
      </c>
    </row>
    <row r="9" spans="1:101" ht="12.75">
      <c r="A9" s="19">
        <v>40269</v>
      </c>
      <c r="C9" s="35">
        <v>4180000</v>
      </c>
      <c r="D9" s="35">
        <v>1222000</v>
      </c>
      <c r="E9" s="35">
        <f t="shared" si="0"/>
        <v>5402000</v>
      </c>
      <c r="F9" s="35">
        <v>159182</v>
      </c>
      <c r="H9" s="71">
        <f>M9+R9+W9+AB9+AG9+AL9+AQ9+AV9+BA9+BF9+BK9+BP9+BU9+BZ9+CE9+CJ9+CO9+CT9</f>
        <v>1480240.41</v>
      </c>
      <c r="I9" s="51">
        <f>N9+S9+X9+AC9+AH9+AM9+AR9+AW9+BB9+BG9+BL9+BQ9+BV9+CA9+CF9+CK9+CP9+CU9</f>
        <v>432740.13899999997</v>
      </c>
      <c r="J9" s="51">
        <f>H9+I9</f>
        <v>1912980.5489999999</v>
      </c>
      <c r="K9" s="51">
        <f>P9+U9+Z9+AE9+AJ9+AO9+AT9+AY9+BD9+BI9+BN9+BS9+BX9+CC9+CH9+CM9+CR9+CW9</f>
        <v>56370.246159</v>
      </c>
      <c r="M9" s="33">
        <f>C9*5.49203/100</f>
        <v>229566.854</v>
      </c>
      <c r="N9" s="33">
        <f>D9*5.49203/100</f>
        <v>67112.6066</v>
      </c>
      <c r="O9" s="33">
        <f>M9+N9</f>
        <v>296679.4606</v>
      </c>
      <c r="P9" s="35">
        <f aca="true" t="shared" si="5" ref="P9:P33">$F9*N$6</f>
        <v>8742.3231946</v>
      </c>
      <c r="R9" s="33">
        <f>C9*6.4416/100</f>
        <v>269258.88</v>
      </c>
      <c r="S9" s="51">
        <f>D9*6.4416/100</f>
        <v>78716.352</v>
      </c>
      <c r="T9" s="51">
        <f>R9+S9</f>
        <v>347975.232</v>
      </c>
      <c r="U9" s="35">
        <f aca="true" t="shared" si="6" ref="U9:U33">$F9*S$6</f>
        <v>10253.867712</v>
      </c>
      <c r="W9" s="33">
        <f>C9*0.44728/100</f>
        <v>18696.304</v>
      </c>
      <c r="X9" s="33">
        <f>D9*0.44728/100</f>
        <v>5465.761600000001</v>
      </c>
      <c r="Y9" s="33">
        <f>W9+X9</f>
        <v>24162.0656</v>
      </c>
      <c r="Z9" s="35">
        <f aca="true" t="shared" si="7" ref="Z9:Z33">$F9*X$6</f>
        <v>711.9892496</v>
      </c>
      <c r="AB9" s="51">
        <f>C9*0.37339/100</f>
        <v>15607.702</v>
      </c>
      <c r="AC9" s="33">
        <f>D9*0.37339/100</f>
        <v>4562.8258000000005</v>
      </c>
      <c r="AD9" s="51">
        <f t="shared" si="1"/>
        <v>20170.5278</v>
      </c>
      <c r="AE9" s="35">
        <f aca="true" t="shared" si="8" ref="AE9:AE33">$F9*AC$6</f>
        <v>594.3696698</v>
      </c>
      <c r="AG9" s="33">
        <f>C9*0.11775/100</f>
        <v>4921.95</v>
      </c>
      <c r="AH9" s="33">
        <f>D9*0.11775/100</f>
        <v>1438.905</v>
      </c>
      <c r="AI9" s="33">
        <f>AG9+AH9</f>
        <v>6360.855</v>
      </c>
      <c r="AJ9" s="35">
        <f aca="true" t="shared" si="9" ref="AJ9:AJ33">$F9*AH$6</f>
        <v>187.436805</v>
      </c>
      <c r="AL9" s="33">
        <f>C9*0.05636/100</f>
        <v>2355.848</v>
      </c>
      <c r="AM9" s="33">
        <f>D9*0.05636/100</f>
        <v>688.7192</v>
      </c>
      <c r="AN9" s="33">
        <f aca="true" t="shared" si="10" ref="AN9:AN33">AL9+AM9</f>
        <v>3044.5672</v>
      </c>
      <c r="AO9" s="35">
        <f aca="true" t="shared" si="11" ref="AO9:AO33">$F9*AM$6</f>
        <v>89.71497520000001</v>
      </c>
      <c r="AQ9" s="33">
        <f>C9*0.02244/100</f>
        <v>937.9920000000001</v>
      </c>
      <c r="AR9" s="33">
        <f>D9*0.02244/100</f>
        <v>274.2168</v>
      </c>
      <c r="AS9" s="51">
        <f>AQ9+AR9</f>
        <v>1212.2088</v>
      </c>
      <c r="AT9" s="35">
        <f aca="true" t="shared" si="12" ref="AT9:AT33">$F9*AR$6</f>
        <v>35.7204408</v>
      </c>
      <c r="AV9" s="33">
        <f>C9*0.40796/100</f>
        <v>17052.728</v>
      </c>
      <c r="AW9" s="33">
        <f>D9*0.40796/100</f>
        <v>4985.2712</v>
      </c>
      <c r="AX9" s="51">
        <f>AV9+AW9</f>
        <v>22037.9992</v>
      </c>
      <c r="AY9" s="35">
        <f aca="true" t="shared" si="13" ref="AY9:AY33">$F9*AW$6</f>
        <v>649.3988872</v>
      </c>
      <c r="AZ9" s="51"/>
      <c r="BA9" s="51">
        <f>C9*0.54504/100</f>
        <v>22782.672</v>
      </c>
      <c r="BB9" s="51">
        <f>D9*0.54504/100</f>
        <v>6660.3888</v>
      </c>
      <c r="BC9" s="33">
        <f aca="true" t="shared" si="14" ref="BC9:BC33">BA9+BB9</f>
        <v>29443.0608</v>
      </c>
      <c r="BD9" s="35">
        <f aca="true" t="shared" si="15" ref="BD9:BD33">$F9*BB$6</f>
        <v>867.6055728</v>
      </c>
      <c r="BE9" s="51"/>
      <c r="BF9" s="51">
        <f>C9*0.21131/100</f>
        <v>8832.758</v>
      </c>
      <c r="BG9" s="51">
        <f>D9*0.21131/100</f>
        <v>2582.2082</v>
      </c>
      <c r="BH9" s="33">
        <f t="shared" si="2"/>
        <v>11414.966199999999</v>
      </c>
      <c r="BI9" s="35">
        <f aca="true" t="shared" si="16" ref="BI9:BI33">$F9*BG$6</f>
        <v>336.36748420000004</v>
      </c>
      <c r="BJ9" s="51"/>
      <c r="BK9" s="33">
        <f>C9*10.72994/100</f>
        <v>448511.49199999997</v>
      </c>
      <c r="BL9" s="33">
        <f>D9*10.72994/100</f>
        <v>131119.8668</v>
      </c>
      <c r="BM9" s="51">
        <f aca="true" t="shared" si="17" ref="BM9:BM33">BK9+BL9</f>
        <v>579631.3587999999</v>
      </c>
      <c r="BN9" s="35">
        <f aca="true" t="shared" si="18" ref="BN9:BN33">$F9*BL$6</f>
        <v>17080.1330908</v>
      </c>
      <c r="BP9" s="33">
        <f>C9*0.09396/100</f>
        <v>3927.528</v>
      </c>
      <c r="BQ9" s="33">
        <f>D9*0.09396/100</f>
        <v>1148.1912</v>
      </c>
      <c r="BR9" s="33">
        <f t="shared" si="3"/>
        <v>5075.7192</v>
      </c>
      <c r="BS9" s="35">
        <f aca="true" t="shared" si="19" ref="BS9:BS33">$F9*BQ$6</f>
        <v>149.5674072</v>
      </c>
      <c r="BU9" s="33">
        <f>C9*9.40333/100</f>
        <v>393059.19399999996</v>
      </c>
      <c r="BV9" s="33">
        <f>D9*9.40333/100</f>
        <v>114908.6926</v>
      </c>
      <c r="BW9" s="51">
        <f>BU9+BV9</f>
        <v>507967.88659999997</v>
      </c>
      <c r="BX9" s="35">
        <f aca="true" t="shared" si="20" ref="BX9:BX33">$F9*BV$6</f>
        <v>14968.4087606</v>
      </c>
      <c r="BZ9" s="33">
        <f>C9*0.02641/100</f>
        <v>1103.938</v>
      </c>
      <c r="CA9" s="33">
        <f>D9*0.02641/100</f>
        <v>322.7302</v>
      </c>
      <c r="CB9" s="51">
        <f>BZ9+CA9</f>
        <v>1426.6682</v>
      </c>
      <c r="CC9" s="35">
        <f aca="true" t="shared" si="21" ref="CC9:CC33">$F9*CA$6</f>
        <v>42.0399662</v>
      </c>
      <c r="CD9" s="51"/>
      <c r="CE9" s="33">
        <f>C9*0.00208/100</f>
        <v>86.944</v>
      </c>
      <c r="CF9" s="33">
        <f>D9*0.00208/100</f>
        <v>25.417599999999997</v>
      </c>
      <c r="CG9" s="51">
        <f>CE9+CF9</f>
        <v>112.3616</v>
      </c>
      <c r="CH9" s="35">
        <f aca="true" t="shared" si="22" ref="CH9:CH33">$F9*CF$6</f>
        <v>3.3109856</v>
      </c>
      <c r="CJ9" s="33">
        <f>C9*0.37547/100</f>
        <v>15694.646</v>
      </c>
      <c r="CK9" s="33">
        <f>D9*0.37547/100</f>
        <v>4588.2434</v>
      </c>
      <c r="CL9" s="33">
        <f t="shared" si="4"/>
        <v>20282.8894</v>
      </c>
      <c r="CM9" s="35">
        <f aca="true" t="shared" si="23" ref="CM9:CM33">$F9*CK$6</f>
        <v>597.6806554</v>
      </c>
      <c r="CO9" s="33">
        <f>C9*0.33313/100</f>
        <v>13924.833999999999</v>
      </c>
      <c r="CP9" s="33">
        <f>D9*0.33313/100</f>
        <v>4070.8486</v>
      </c>
      <c r="CQ9" s="51">
        <f>CO9+CP9</f>
        <v>17995.6826</v>
      </c>
      <c r="CR9" s="35">
        <f aca="true" t="shared" si="24" ref="CR9:CR33">$F9*CP$6</f>
        <v>530.2829966</v>
      </c>
      <c r="CT9" s="33">
        <f>C9*0.33297/100</f>
        <v>13918.145999999999</v>
      </c>
      <c r="CU9" s="33">
        <f>D9*0.33297/100</f>
        <v>4068.8933999999995</v>
      </c>
      <c r="CV9" s="51">
        <f>CT9+CU9</f>
        <v>17987.039399999998</v>
      </c>
      <c r="CW9" s="35">
        <f aca="true" t="shared" si="25" ref="CW9:CW33">$F9*CU$6</f>
        <v>530.0283054</v>
      </c>
    </row>
    <row r="10" spans="1:101" ht="12.75">
      <c r="A10" s="52">
        <v>40452</v>
      </c>
      <c r="B10" s="53"/>
      <c r="C10" s="41"/>
      <c r="D10" s="41">
        <v>1159300</v>
      </c>
      <c r="E10" s="41">
        <f t="shared" si="0"/>
        <v>1159300</v>
      </c>
      <c r="F10" s="35">
        <v>159182</v>
      </c>
      <c r="H10" s="71"/>
      <c r="I10" s="51">
        <f aca="true" t="shared" si="26" ref="I10:K33">N10+S10+X10+AC10+AH10+AM10+AR10+AW10+BB10+BG10+BL10+BQ10+BV10+CA10+CF10+CK10+CP10+CU10</f>
        <v>410536.53285</v>
      </c>
      <c r="J10" s="51">
        <f>H10+I10</f>
        <v>410536.53285</v>
      </c>
      <c r="K10" s="51">
        <f t="shared" si="26"/>
        <v>56370.246159</v>
      </c>
      <c r="N10" s="33">
        <f aca="true" t="shared" si="27" ref="N10:N33">D10*5.49203/100</f>
        <v>63669.103789999994</v>
      </c>
      <c r="O10" s="33">
        <f aca="true" t="shared" si="28" ref="O10:O33">M10+N10</f>
        <v>63669.103789999994</v>
      </c>
      <c r="P10" s="35">
        <f t="shared" si="5"/>
        <v>8742.3231946</v>
      </c>
      <c r="S10" s="51">
        <f aca="true" t="shared" si="29" ref="S10:S33">D10*6.4416/100</f>
        <v>74677.4688</v>
      </c>
      <c r="T10" s="51">
        <f aca="true" t="shared" si="30" ref="T10:T33">R10+S10</f>
        <v>74677.4688</v>
      </c>
      <c r="U10" s="35">
        <f t="shared" si="6"/>
        <v>10253.867712</v>
      </c>
      <c r="X10" s="33">
        <f aca="true" t="shared" si="31" ref="X10:X33">D10*0.44728/100</f>
        <v>5185.31704</v>
      </c>
      <c r="Y10" s="33">
        <f aca="true" t="shared" si="32" ref="Y10:Y33">W10+X10</f>
        <v>5185.31704</v>
      </c>
      <c r="Z10" s="35">
        <f t="shared" si="7"/>
        <v>711.9892496</v>
      </c>
      <c r="AB10" s="51"/>
      <c r="AC10" s="33">
        <f aca="true" t="shared" si="33" ref="AC10:AC33">D10*0.37339/100</f>
        <v>4328.71027</v>
      </c>
      <c r="AD10" s="51">
        <f t="shared" si="1"/>
        <v>4328.71027</v>
      </c>
      <c r="AE10" s="35">
        <f t="shared" si="8"/>
        <v>594.3696698</v>
      </c>
      <c r="AH10" s="33">
        <f aca="true" t="shared" si="34" ref="AH10:AH33">D10*0.11775/100</f>
        <v>1365.0757499999997</v>
      </c>
      <c r="AI10" s="33">
        <f>AG10+AH10</f>
        <v>1365.0757499999997</v>
      </c>
      <c r="AJ10" s="35">
        <f t="shared" si="9"/>
        <v>187.436805</v>
      </c>
      <c r="AM10" s="33">
        <f aca="true" t="shared" si="35" ref="AM10:AM33">D10*0.05636/100</f>
        <v>653.38148</v>
      </c>
      <c r="AN10" s="33">
        <f t="shared" si="10"/>
        <v>653.38148</v>
      </c>
      <c r="AO10" s="35">
        <f t="shared" si="11"/>
        <v>89.71497520000001</v>
      </c>
      <c r="AR10" s="33">
        <f aca="true" t="shared" si="36" ref="AR10:AR33">D10*0.02244/100</f>
        <v>260.14692</v>
      </c>
      <c r="AS10" s="51">
        <f>AQ10+AR10</f>
        <v>260.14692</v>
      </c>
      <c r="AT10" s="35">
        <f t="shared" si="12"/>
        <v>35.7204408</v>
      </c>
      <c r="AW10" s="33">
        <f aca="true" t="shared" si="37" ref="AW10:AW33">D10*0.40796/100</f>
        <v>4729.48028</v>
      </c>
      <c r="AX10" s="51">
        <f>AV10+AW10</f>
        <v>4729.48028</v>
      </c>
      <c r="AY10" s="35">
        <f t="shared" si="13"/>
        <v>649.3988872</v>
      </c>
      <c r="AZ10" s="51"/>
      <c r="BA10" s="51"/>
      <c r="BB10" s="51">
        <f aca="true" t="shared" si="38" ref="BB10:BB33">D10*0.54504/100</f>
        <v>6318.64872</v>
      </c>
      <c r="BC10" s="33">
        <f t="shared" si="14"/>
        <v>6318.64872</v>
      </c>
      <c r="BD10" s="35">
        <f t="shared" si="15"/>
        <v>867.6055728</v>
      </c>
      <c r="BE10" s="51"/>
      <c r="BF10" s="51"/>
      <c r="BG10" s="51">
        <f aca="true" t="shared" si="39" ref="BG10:BG33">D10*0.21131/100</f>
        <v>2449.71683</v>
      </c>
      <c r="BH10" s="33">
        <f t="shared" si="2"/>
        <v>2449.71683</v>
      </c>
      <c r="BI10" s="35">
        <f t="shared" si="16"/>
        <v>336.36748420000004</v>
      </c>
      <c r="BJ10" s="51"/>
      <c r="BL10" s="33">
        <f aca="true" t="shared" si="40" ref="BL10:BL33">D10*10.72994/100</f>
        <v>124392.19442</v>
      </c>
      <c r="BM10" s="51">
        <f t="shared" si="17"/>
        <v>124392.19442</v>
      </c>
      <c r="BN10" s="35">
        <f t="shared" si="18"/>
        <v>17080.1330908</v>
      </c>
      <c r="BQ10" s="33">
        <f aca="true" t="shared" si="41" ref="BQ10:BQ33">D10*0.09396/100</f>
        <v>1089.27828</v>
      </c>
      <c r="BR10" s="33">
        <f t="shared" si="3"/>
        <v>1089.27828</v>
      </c>
      <c r="BS10" s="35">
        <f t="shared" si="19"/>
        <v>149.5674072</v>
      </c>
      <c r="BV10" s="33">
        <f aca="true" t="shared" si="42" ref="BV10:BV33">D10*9.40333/100</f>
        <v>109012.80469</v>
      </c>
      <c r="BW10" s="51">
        <f>BU10+BV10</f>
        <v>109012.80469</v>
      </c>
      <c r="BX10" s="35">
        <f t="shared" si="20"/>
        <v>14968.4087606</v>
      </c>
      <c r="CA10" s="33">
        <f aca="true" t="shared" si="43" ref="CA10:CA33">D10*0.02641/100</f>
        <v>306.17112999999995</v>
      </c>
      <c r="CB10" s="51">
        <f>BZ10+CA10</f>
        <v>306.17112999999995</v>
      </c>
      <c r="CC10" s="35">
        <f t="shared" si="21"/>
        <v>42.0399662</v>
      </c>
      <c r="CF10" s="33">
        <f aca="true" t="shared" si="44" ref="CF10:CF33">D10*0.00208/100</f>
        <v>24.113439999999997</v>
      </c>
      <c r="CG10" s="51">
        <f>CE10+CF10</f>
        <v>24.113439999999997</v>
      </c>
      <c r="CH10" s="35">
        <f t="shared" si="22"/>
        <v>3.3109856</v>
      </c>
      <c r="CK10" s="33">
        <f aca="true" t="shared" si="45" ref="CK10:CK33">D10*0.37547/100</f>
        <v>4352.823710000001</v>
      </c>
      <c r="CL10" s="33">
        <f t="shared" si="4"/>
        <v>4352.823710000001</v>
      </c>
      <c r="CM10" s="35">
        <f t="shared" si="23"/>
        <v>597.6806554</v>
      </c>
      <c r="CP10" s="33">
        <f aca="true" t="shared" si="46" ref="CP10:CP33">D10*0.33313/100</f>
        <v>3861.97609</v>
      </c>
      <c r="CQ10" s="51">
        <f>CO10+CP10</f>
        <v>3861.97609</v>
      </c>
      <c r="CR10" s="35">
        <f t="shared" si="24"/>
        <v>530.2829966</v>
      </c>
      <c r="CU10" s="33">
        <f aca="true" t="shared" si="47" ref="CU10:CU33">D10*0.33297/100</f>
        <v>3860.12121</v>
      </c>
      <c r="CV10" s="51">
        <f>CT10+CU10</f>
        <v>3860.12121</v>
      </c>
      <c r="CW10" s="35">
        <f t="shared" si="25"/>
        <v>530.0283054</v>
      </c>
    </row>
    <row r="11" spans="1:101" ht="12.75">
      <c r="A11" s="19">
        <v>40634</v>
      </c>
      <c r="C11" s="35">
        <v>3335000</v>
      </c>
      <c r="D11" s="35">
        <v>1159300</v>
      </c>
      <c r="E11" s="35">
        <f t="shared" si="0"/>
        <v>4494300</v>
      </c>
      <c r="F11" s="35">
        <v>159182</v>
      </c>
      <c r="H11" s="71">
        <f aca="true" t="shared" si="48" ref="H11:H33">M11+R11+W11+AB11+AG11+AL11+AQ11+AV11+BA11+BF11+BK11+BP11+BU11+BZ11+CE11+CJ11+CO11+CT11</f>
        <v>1181005.2075</v>
      </c>
      <c r="I11" s="51">
        <f t="shared" si="26"/>
        <v>410536.53285</v>
      </c>
      <c r="J11" s="51">
        <f>H11+I11</f>
        <v>1591541.74035</v>
      </c>
      <c r="K11" s="51">
        <f t="shared" si="26"/>
        <v>56370.246159</v>
      </c>
      <c r="M11" s="33">
        <f aca="true" t="shared" si="49" ref="M11:M33">C11*5.49203/100</f>
        <v>183159.2005</v>
      </c>
      <c r="N11" s="33">
        <f t="shared" si="27"/>
        <v>63669.103789999994</v>
      </c>
      <c r="O11" s="33">
        <f t="shared" si="28"/>
        <v>246828.30429</v>
      </c>
      <c r="P11" s="35">
        <f t="shared" si="5"/>
        <v>8742.3231946</v>
      </c>
      <c r="R11" s="33">
        <f aca="true" t="shared" si="50" ref="R11:R33">C11*6.4416/100</f>
        <v>214827.36</v>
      </c>
      <c r="S11" s="51">
        <f t="shared" si="29"/>
        <v>74677.4688</v>
      </c>
      <c r="T11" s="51">
        <f t="shared" si="30"/>
        <v>289504.8288</v>
      </c>
      <c r="U11" s="35">
        <f t="shared" si="6"/>
        <v>10253.867712</v>
      </c>
      <c r="W11" s="33">
        <f aca="true" t="shared" si="51" ref="W11:W33">C11*0.44728/100</f>
        <v>14916.788</v>
      </c>
      <c r="X11" s="33">
        <f t="shared" si="31"/>
        <v>5185.31704</v>
      </c>
      <c r="Y11" s="33">
        <f t="shared" si="32"/>
        <v>20102.105040000002</v>
      </c>
      <c r="Z11" s="35">
        <f t="shared" si="7"/>
        <v>711.9892496</v>
      </c>
      <c r="AB11" s="51">
        <f aca="true" t="shared" si="52" ref="AB11:AB33">C11*0.37339/100</f>
        <v>12452.556499999999</v>
      </c>
      <c r="AC11" s="33">
        <f t="shared" si="33"/>
        <v>4328.71027</v>
      </c>
      <c r="AD11" s="51">
        <f t="shared" si="1"/>
        <v>16781.26677</v>
      </c>
      <c r="AE11" s="35">
        <f t="shared" si="8"/>
        <v>594.3696698</v>
      </c>
      <c r="AG11" s="33">
        <f aca="true" t="shared" si="53" ref="AG11:AG33">C11*0.11775/100</f>
        <v>3926.9625</v>
      </c>
      <c r="AH11" s="33">
        <f t="shared" si="34"/>
        <v>1365.0757499999997</v>
      </c>
      <c r="AI11" s="33">
        <f>AG11+AH11</f>
        <v>5292.03825</v>
      </c>
      <c r="AJ11" s="35">
        <f t="shared" si="9"/>
        <v>187.436805</v>
      </c>
      <c r="AL11" s="33">
        <f aca="true" t="shared" si="54" ref="AL11:AL33">C11*0.05636/100</f>
        <v>1879.606</v>
      </c>
      <c r="AM11" s="33">
        <f t="shared" si="35"/>
        <v>653.38148</v>
      </c>
      <c r="AN11" s="33">
        <f t="shared" si="10"/>
        <v>2532.98748</v>
      </c>
      <c r="AO11" s="35">
        <f t="shared" si="11"/>
        <v>89.71497520000001</v>
      </c>
      <c r="AQ11" s="33">
        <f aca="true" t="shared" si="55" ref="AQ11:AQ33">C11*0.02244/100</f>
        <v>748.3740000000001</v>
      </c>
      <c r="AR11" s="33">
        <f t="shared" si="36"/>
        <v>260.14692</v>
      </c>
      <c r="AS11" s="51">
        <f aca="true" t="shared" si="56" ref="AS11:AS33">AQ11+AR11</f>
        <v>1008.5209200000002</v>
      </c>
      <c r="AT11" s="35">
        <f t="shared" si="12"/>
        <v>35.7204408</v>
      </c>
      <c r="AV11" s="33">
        <f aca="true" t="shared" si="57" ref="AV11:AV33">C11*0.40796/100</f>
        <v>13605.465999999999</v>
      </c>
      <c r="AW11" s="33">
        <f t="shared" si="37"/>
        <v>4729.48028</v>
      </c>
      <c r="AX11" s="51">
        <f>AV11+AW11</f>
        <v>18334.946279999996</v>
      </c>
      <c r="AY11" s="35">
        <f t="shared" si="13"/>
        <v>649.3988872</v>
      </c>
      <c r="BA11" s="51">
        <f aca="true" t="shared" si="58" ref="BA11:BA33">C11*0.54504/100</f>
        <v>18177.084</v>
      </c>
      <c r="BB11" s="51">
        <f t="shared" si="38"/>
        <v>6318.64872</v>
      </c>
      <c r="BC11" s="33">
        <f t="shared" si="14"/>
        <v>24495.73272</v>
      </c>
      <c r="BD11" s="35">
        <f t="shared" si="15"/>
        <v>867.6055728</v>
      </c>
      <c r="BF11" s="51">
        <f aca="true" t="shared" si="59" ref="BF11:BF33">C11*0.21131/100</f>
        <v>7047.1885</v>
      </c>
      <c r="BG11" s="51">
        <f t="shared" si="39"/>
        <v>2449.71683</v>
      </c>
      <c r="BH11" s="33">
        <f t="shared" si="2"/>
        <v>9496.90533</v>
      </c>
      <c r="BI11" s="35">
        <f t="shared" si="16"/>
        <v>336.36748420000004</v>
      </c>
      <c r="BK11" s="33">
        <f aca="true" t="shared" si="60" ref="BK11:BK33">C11*10.72994/100</f>
        <v>357843.499</v>
      </c>
      <c r="BL11" s="33">
        <f t="shared" si="40"/>
        <v>124392.19442</v>
      </c>
      <c r="BM11" s="51">
        <f t="shared" si="17"/>
        <v>482235.69342</v>
      </c>
      <c r="BN11" s="35">
        <f t="shared" si="18"/>
        <v>17080.1330908</v>
      </c>
      <c r="BP11" s="33">
        <f aca="true" t="shared" si="61" ref="BP11:BP33">C11*0.09396/100</f>
        <v>3133.5660000000003</v>
      </c>
      <c r="BQ11" s="33">
        <f t="shared" si="41"/>
        <v>1089.27828</v>
      </c>
      <c r="BR11" s="33">
        <f t="shared" si="3"/>
        <v>4222.84428</v>
      </c>
      <c r="BS11" s="35">
        <f t="shared" si="19"/>
        <v>149.5674072</v>
      </c>
      <c r="BU11" s="33">
        <f aca="true" t="shared" si="62" ref="BU11:BU33">C11*9.40333/100</f>
        <v>313601.0555</v>
      </c>
      <c r="BV11" s="33">
        <f t="shared" si="42"/>
        <v>109012.80469</v>
      </c>
      <c r="BW11" s="51">
        <f>BU11+BV11</f>
        <v>422613.86019000004</v>
      </c>
      <c r="BX11" s="35">
        <f t="shared" si="20"/>
        <v>14968.4087606</v>
      </c>
      <c r="BZ11" s="33">
        <f aca="true" t="shared" si="63" ref="BZ11:BZ33">C11*0.02641/100</f>
        <v>880.7734999999999</v>
      </c>
      <c r="CA11" s="33">
        <f t="shared" si="43"/>
        <v>306.17112999999995</v>
      </c>
      <c r="CB11" s="51">
        <f aca="true" t="shared" si="64" ref="CB11:CB33">BZ11+CA11</f>
        <v>1186.94463</v>
      </c>
      <c r="CC11" s="35">
        <f t="shared" si="21"/>
        <v>42.0399662</v>
      </c>
      <c r="CE11" s="33">
        <f aca="true" t="shared" si="65" ref="CE11:CE33">C11*0.00208/100</f>
        <v>69.368</v>
      </c>
      <c r="CF11" s="33">
        <f t="shared" si="44"/>
        <v>24.113439999999997</v>
      </c>
      <c r="CG11" s="51">
        <f>CE11+CF11</f>
        <v>93.48143999999999</v>
      </c>
      <c r="CH11" s="35">
        <f t="shared" si="22"/>
        <v>3.3109856</v>
      </c>
      <c r="CJ11" s="33">
        <f aca="true" t="shared" si="66" ref="CJ11:CJ33">C11*0.37547/100</f>
        <v>12521.924500000001</v>
      </c>
      <c r="CK11" s="33">
        <f t="shared" si="45"/>
        <v>4352.823710000001</v>
      </c>
      <c r="CL11" s="33">
        <f t="shared" si="4"/>
        <v>16874.74821</v>
      </c>
      <c r="CM11" s="35">
        <f t="shared" si="23"/>
        <v>597.6806554</v>
      </c>
      <c r="CO11" s="33">
        <f aca="true" t="shared" si="67" ref="CO11:CO33">C11*0.33313/100</f>
        <v>11109.8855</v>
      </c>
      <c r="CP11" s="33">
        <f t="shared" si="46"/>
        <v>3861.97609</v>
      </c>
      <c r="CQ11" s="51">
        <f aca="true" t="shared" si="68" ref="CQ11:CQ33">CO11+CP11</f>
        <v>14971.86159</v>
      </c>
      <c r="CR11" s="35">
        <f t="shared" si="24"/>
        <v>530.2829966</v>
      </c>
      <c r="CT11" s="33">
        <f aca="true" t="shared" si="69" ref="CT11:CT33">C11*0.33297/100</f>
        <v>11104.5495</v>
      </c>
      <c r="CU11" s="33">
        <f t="shared" si="47"/>
        <v>3860.12121</v>
      </c>
      <c r="CV11" s="51">
        <f aca="true" t="shared" si="70" ref="CV11:CV33">CT11+CU11</f>
        <v>14964.670709999999</v>
      </c>
      <c r="CW11" s="35">
        <f t="shared" si="25"/>
        <v>530.0283054</v>
      </c>
    </row>
    <row r="12" spans="1:102" s="53" customFormat="1" ht="12.75">
      <c r="A12" s="19">
        <v>40817</v>
      </c>
      <c r="B12"/>
      <c r="C12" s="35"/>
      <c r="D12" s="35">
        <v>1109275</v>
      </c>
      <c r="E12" s="35">
        <f t="shared" si="0"/>
        <v>1109275</v>
      </c>
      <c r="F12" s="35">
        <v>159182</v>
      </c>
      <c r="G12" s="51"/>
      <c r="H12" s="71"/>
      <c r="I12" s="51">
        <f t="shared" si="26"/>
        <v>392821.45473750005</v>
      </c>
      <c r="J12" s="51">
        <f aca="true" t="shared" si="71" ref="J12:J33">H12+I12</f>
        <v>392821.45473750005</v>
      </c>
      <c r="K12" s="51">
        <f t="shared" si="26"/>
        <v>56370.246159</v>
      </c>
      <c r="L12" s="51"/>
      <c r="M12" s="33"/>
      <c r="N12" s="33">
        <f t="shared" si="27"/>
        <v>60921.715782499996</v>
      </c>
      <c r="O12" s="33">
        <f t="shared" si="28"/>
        <v>60921.715782499996</v>
      </c>
      <c r="P12" s="35">
        <f t="shared" si="5"/>
        <v>8742.3231946</v>
      </c>
      <c r="Q12" s="51"/>
      <c r="R12" s="33"/>
      <c r="S12" s="51">
        <f t="shared" si="29"/>
        <v>71455.0584</v>
      </c>
      <c r="T12" s="51">
        <f t="shared" si="30"/>
        <v>71455.0584</v>
      </c>
      <c r="U12" s="35">
        <f t="shared" si="6"/>
        <v>10253.867712</v>
      </c>
      <c r="V12" s="51"/>
      <c r="W12" s="33"/>
      <c r="X12" s="33">
        <f t="shared" si="31"/>
        <v>4961.56522</v>
      </c>
      <c r="Y12" s="33">
        <f t="shared" si="32"/>
        <v>4961.56522</v>
      </c>
      <c r="Z12" s="35">
        <f t="shared" si="7"/>
        <v>711.9892496</v>
      </c>
      <c r="AA12" s="51"/>
      <c r="AB12" s="51"/>
      <c r="AC12" s="33">
        <f t="shared" si="33"/>
        <v>4141.921922500001</v>
      </c>
      <c r="AD12" s="51">
        <f t="shared" si="1"/>
        <v>4141.921922500001</v>
      </c>
      <c r="AE12" s="35">
        <f t="shared" si="8"/>
        <v>594.3696698</v>
      </c>
      <c r="AF12" s="51"/>
      <c r="AG12" s="33"/>
      <c r="AH12" s="33">
        <f t="shared" si="34"/>
        <v>1306.1713124999999</v>
      </c>
      <c r="AI12" s="33">
        <f aca="true" t="shared" si="72" ref="AI12:AI33">AG12+AH12</f>
        <v>1306.1713124999999</v>
      </c>
      <c r="AJ12" s="35">
        <f t="shared" si="9"/>
        <v>187.436805</v>
      </c>
      <c r="AK12" s="51"/>
      <c r="AL12" s="33"/>
      <c r="AM12" s="33">
        <f t="shared" si="35"/>
        <v>625.18739</v>
      </c>
      <c r="AN12" s="33">
        <f t="shared" si="10"/>
        <v>625.18739</v>
      </c>
      <c r="AO12" s="35">
        <f t="shared" si="11"/>
        <v>89.71497520000001</v>
      </c>
      <c r="AP12" s="51"/>
      <c r="AQ12" s="33"/>
      <c r="AR12" s="33">
        <f t="shared" si="36"/>
        <v>248.92131</v>
      </c>
      <c r="AS12" s="51">
        <f t="shared" si="56"/>
        <v>248.92131</v>
      </c>
      <c r="AT12" s="35">
        <f t="shared" si="12"/>
        <v>35.7204408</v>
      </c>
      <c r="AU12" s="51"/>
      <c r="AV12" s="33"/>
      <c r="AW12" s="33">
        <f t="shared" si="37"/>
        <v>4525.39829</v>
      </c>
      <c r="AX12" s="51">
        <f aca="true" t="shared" si="73" ref="AX12:AX33">AV12+AW12</f>
        <v>4525.39829</v>
      </c>
      <c r="AY12" s="35">
        <f t="shared" si="13"/>
        <v>649.3988872</v>
      </c>
      <c r="AZ12" s="51"/>
      <c r="BA12" s="51"/>
      <c r="BB12" s="51">
        <f t="shared" si="38"/>
        <v>6045.9924599999995</v>
      </c>
      <c r="BC12" s="33">
        <f t="shared" si="14"/>
        <v>6045.9924599999995</v>
      </c>
      <c r="BD12" s="35">
        <f t="shared" si="15"/>
        <v>867.6055728</v>
      </c>
      <c r="BE12" s="51"/>
      <c r="BF12" s="51"/>
      <c r="BG12" s="51">
        <f t="shared" si="39"/>
        <v>2344.0090025</v>
      </c>
      <c r="BH12" s="51">
        <f t="shared" si="2"/>
        <v>2344.0090025</v>
      </c>
      <c r="BI12" s="35">
        <f t="shared" si="16"/>
        <v>336.36748420000004</v>
      </c>
      <c r="BJ12" s="51"/>
      <c r="BK12" s="33"/>
      <c r="BL12" s="33">
        <f t="shared" si="40"/>
        <v>119024.54193499999</v>
      </c>
      <c r="BM12" s="51">
        <f t="shared" si="17"/>
        <v>119024.54193499999</v>
      </c>
      <c r="BN12" s="35">
        <f t="shared" si="18"/>
        <v>17080.1330908</v>
      </c>
      <c r="BO12" s="51"/>
      <c r="BP12" s="33"/>
      <c r="BQ12" s="33">
        <f t="shared" si="41"/>
        <v>1042.2747900000002</v>
      </c>
      <c r="BR12" s="51">
        <f t="shared" si="3"/>
        <v>1042.2747900000002</v>
      </c>
      <c r="BS12" s="35">
        <f t="shared" si="19"/>
        <v>149.5674072</v>
      </c>
      <c r="BT12" s="51"/>
      <c r="BU12" s="33"/>
      <c r="BV12" s="33">
        <f t="shared" si="42"/>
        <v>104308.78885750001</v>
      </c>
      <c r="BW12" s="51">
        <f aca="true" t="shared" si="74" ref="BW12:BW33">BU12+BV12</f>
        <v>104308.78885750001</v>
      </c>
      <c r="BX12" s="35">
        <f t="shared" si="20"/>
        <v>14968.4087606</v>
      </c>
      <c r="BY12" s="51"/>
      <c r="BZ12" s="33"/>
      <c r="CA12" s="33">
        <f t="shared" si="43"/>
        <v>292.9595275</v>
      </c>
      <c r="CB12" s="51">
        <f t="shared" si="64"/>
        <v>292.9595275</v>
      </c>
      <c r="CC12" s="35">
        <f t="shared" si="21"/>
        <v>42.0399662</v>
      </c>
      <c r="CD12" s="51"/>
      <c r="CE12" s="33"/>
      <c r="CF12" s="33">
        <f t="shared" si="44"/>
        <v>23.07292</v>
      </c>
      <c r="CG12" s="51">
        <f aca="true" t="shared" si="75" ref="CG12:CG33">CE12+CF12</f>
        <v>23.07292</v>
      </c>
      <c r="CH12" s="35">
        <f t="shared" si="22"/>
        <v>3.3109856</v>
      </c>
      <c r="CI12" s="51"/>
      <c r="CJ12" s="33"/>
      <c r="CK12" s="33">
        <f t="shared" si="45"/>
        <v>4164.9948425</v>
      </c>
      <c r="CL12" s="51">
        <f t="shared" si="4"/>
        <v>4164.9948425</v>
      </c>
      <c r="CM12" s="35">
        <f t="shared" si="23"/>
        <v>597.6806554</v>
      </c>
      <c r="CN12" s="51"/>
      <c r="CO12" s="33"/>
      <c r="CP12" s="33">
        <f t="shared" si="46"/>
        <v>3695.3278075</v>
      </c>
      <c r="CQ12" s="51">
        <f t="shared" si="68"/>
        <v>3695.3278075</v>
      </c>
      <c r="CR12" s="35">
        <f t="shared" si="24"/>
        <v>530.2829966</v>
      </c>
      <c r="CS12" s="51"/>
      <c r="CT12" s="33"/>
      <c r="CU12" s="33">
        <f t="shared" si="47"/>
        <v>3693.5529675</v>
      </c>
      <c r="CV12" s="51">
        <f t="shared" si="70"/>
        <v>3693.5529675</v>
      </c>
      <c r="CW12" s="35">
        <f t="shared" si="25"/>
        <v>530.0283054</v>
      </c>
      <c r="CX12" s="51"/>
    </row>
    <row r="13" spans="1:101" ht="12.75">
      <c r="A13" s="19">
        <v>41000</v>
      </c>
      <c r="C13" s="35">
        <v>3435000</v>
      </c>
      <c r="D13" s="35">
        <v>1109275</v>
      </c>
      <c r="E13" s="35">
        <f t="shared" si="0"/>
        <v>4544275</v>
      </c>
      <c r="F13" s="35">
        <v>159182</v>
      </c>
      <c r="H13" s="71">
        <f t="shared" si="48"/>
        <v>1216417.6575</v>
      </c>
      <c r="I13" s="51">
        <f t="shared" si="26"/>
        <v>392821.45473750005</v>
      </c>
      <c r="J13" s="51">
        <f t="shared" si="71"/>
        <v>1609239.1122375</v>
      </c>
      <c r="K13" s="51">
        <f t="shared" si="26"/>
        <v>56370.246159</v>
      </c>
      <c r="M13" s="33">
        <f t="shared" si="49"/>
        <v>188651.2305</v>
      </c>
      <c r="N13" s="33">
        <f t="shared" si="27"/>
        <v>60921.715782499996</v>
      </c>
      <c r="O13" s="33">
        <f t="shared" si="28"/>
        <v>249572.9462825</v>
      </c>
      <c r="P13" s="35">
        <f t="shared" si="5"/>
        <v>8742.3231946</v>
      </c>
      <c r="R13" s="33">
        <f t="shared" si="50"/>
        <v>221268.96</v>
      </c>
      <c r="S13" s="51">
        <f t="shared" si="29"/>
        <v>71455.0584</v>
      </c>
      <c r="T13" s="51">
        <f t="shared" si="30"/>
        <v>292724.0184</v>
      </c>
      <c r="U13" s="35">
        <f t="shared" si="6"/>
        <v>10253.867712</v>
      </c>
      <c r="W13" s="33">
        <f t="shared" si="51"/>
        <v>15364.068000000001</v>
      </c>
      <c r="X13" s="33">
        <f t="shared" si="31"/>
        <v>4961.56522</v>
      </c>
      <c r="Y13" s="33">
        <f t="shared" si="32"/>
        <v>20325.633220000003</v>
      </c>
      <c r="Z13" s="35">
        <f t="shared" si="7"/>
        <v>711.9892496</v>
      </c>
      <c r="AB13" s="51">
        <f t="shared" si="52"/>
        <v>12825.946499999998</v>
      </c>
      <c r="AC13" s="33">
        <f t="shared" si="33"/>
        <v>4141.921922500001</v>
      </c>
      <c r="AD13" s="33">
        <f t="shared" si="1"/>
        <v>16967.8684225</v>
      </c>
      <c r="AE13" s="35">
        <f t="shared" si="8"/>
        <v>594.3696698</v>
      </c>
      <c r="AG13" s="33">
        <f t="shared" si="53"/>
        <v>4044.7125</v>
      </c>
      <c r="AH13" s="33">
        <f t="shared" si="34"/>
        <v>1306.1713124999999</v>
      </c>
      <c r="AI13" s="33">
        <f t="shared" si="72"/>
        <v>5350.8838125</v>
      </c>
      <c r="AJ13" s="35">
        <f t="shared" si="9"/>
        <v>187.436805</v>
      </c>
      <c r="AL13" s="33">
        <f t="shared" si="54"/>
        <v>1935.9660000000001</v>
      </c>
      <c r="AM13" s="33">
        <f t="shared" si="35"/>
        <v>625.18739</v>
      </c>
      <c r="AN13" s="33">
        <f t="shared" si="10"/>
        <v>2561.1533900000004</v>
      </c>
      <c r="AO13" s="35">
        <f t="shared" si="11"/>
        <v>89.71497520000001</v>
      </c>
      <c r="AQ13" s="33">
        <f t="shared" si="55"/>
        <v>770.8140000000001</v>
      </c>
      <c r="AR13" s="33">
        <f t="shared" si="36"/>
        <v>248.92131</v>
      </c>
      <c r="AS13" s="33">
        <f t="shared" si="56"/>
        <v>1019.73531</v>
      </c>
      <c r="AT13" s="35">
        <f t="shared" si="12"/>
        <v>35.7204408</v>
      </c>
      <c r="AV13" s="33">
        <f t="shared" si="57"/>
        <v>14013.426</v>
      </c>
      <c r="AW13" s="33">
        <f t="shared" si="37"/>
        <v>4525.39829</v>
      </c>
      <c r="AX13" s="33">
        <f t="shared" si="73"/>
        <v>18538.82429</v>
      </c>
      <c r="AY13" s="35">
        <f t="shared" si="13"/>
        <v>649.3988872</v>
      </c>
      <c r="BA13" s="51">
        <f t="shared" si="58"/>
        <v>18722.124</v>
      </c>
      <c r="BB13" s="51">
        <f t="shared" si="38"/>
        <v>6045.9924599999995</v>
      </c>
      <c r="BC13" s="33">
        <f t="shared" si="14"/>
        <v>24768.116459999997</v>
      </c>
      <c r="BD13" s="35">
        <f t="shared" si="15"/>
        <v>867.6055728</v>
      </c>
      <c r="BF13" s="51">
        <f t="shared" si="59"/>
        <v>7258.4985</v>
      </c>
      <c r="BG13" s="51">
        <f t="shared" si="39"/>
        <v>2344.0090025</v>
      </c>
      <c r="BH13" s="33">
        <f t="shared" si="2"/>
        <v>9602.5075025</v>
      </c>
      <c r="BI13" s="35">
        <f t="shared" si="16"/>
        <v>336.36748420000004</v>
      </c>
      <c r="BK13" s="33">
        <f t="shared" si="60"/>
        <v>368573.439</v>
      </c>
      <c r="BL13" s="33">
        <f t="shared" si="40"/>
        <v>119024.54193499999</v>
      </c>
      <c r="BM13" s="33">
        <f t="shared" si="17"/>
        <v>487597.980935</v>
      </c>
      <c r="BN13" s="35">
        <f t="shared" si="18"/>
        <v>17080.1330908</v>
      </c>
      <c r="BP13" s="33">
        <f t="shared" si="61"/>
        <v>3227.5260000000003</v>
      </c>
      <c r="BQ13" s="33">
        <f t="shared" si="41"/>
        <v>1042.2747900000002</v>
      </c>
      <c r="BR13" s="33">
        <f t="shared" si="3"/>
        <v>4269.80079</v>
      </c>
      <c r="BS13" s="35">
        <f t="shared" si="19"/>
        <v>149.5674072</v>
      </c>
      <c r="BU13" s="33">
        <f t="shared" si="62"/>
        <v>323004.38550000003</v>
      </c>
      <c r="BV13" s="33">
        <f t="shared" si="42"/>
        <v>104308.78885750001</v>
      </c>
      <c r="BW13" s="33">
        <f t="shared" si="74"/>
        <v>427313.17435750004</v>
      </c>
      <c r="BX13" s="35">
        <f t="shared" si="20"/>
        <v>14968.4087606</v>
      </c>
      <c r="BZ13" s="33">
        <f t="shared" si="63"/>
        <v>907.1834999999999</v>
      </c>
      <c r="CA13" s="33">
        <f t="shared" si="43"/>
        <v>292.9595275</v>
      </c>
      <c r="CB13" s="33">
        <f t="shared" si="64"/>
        <v>1200.1430274999998</v>
      </c>
      <c r="CC13" s="35">
        <f t="shared" si="21"/>
        <v>42.0399662</v>
      </c>
      <c r="CE13" s="33">
        <f t="shared" si="65"/>
        <v>71.448</v>
      </c>
      <c r="CF13" s="33">
        <f t="shared" si="44"/>
        <v>23.07292</v>
      </c>
      <c r="CG13" s="33">
        <f t="shared" si="75"/>
        <v>94.52091999999999</v>
      </c>
      <c r="CH13" s="35">
        <f t="shared" si="22"/>
        <v>3.3109856</v>
      </c>
      <c r="CJ13" s="33">
        <f t="shared" si="66"/>
        <v>12897.394500000002</v>
      </c>
      <c r="CK13" s="33">
        <f t="shared" si="45"/>
        <v>4164.9948425</v>
      </c>
      <c r="CL13" s="33">
        <f t="shared" si="4"/>
        <v>17062.389342500002</v>
      </c>
      <c r="CM13" s="35">
        <f t="shared" si="23"/>
        <v>597.6806554</v>
      </c>
      <c r="CO13" s="33">
        <f t="shared" si="67"/>
        <v>11443.015500000001</v>
      </c>
      <c r="CP13" s="33">
        <f t="shared" si="46"/>
        <v>3695.3278075</v>
      </c>
      <c r="CQ13" s="33">
        <f t="shared" si="68"/>
        <v>15138.343307500001</v>
      </c>
      <c r="CR13" s="35">
        <f t="shared" si="24"/>
        <v>530.2829966</v>
      </c>
      <c r="CT13" s="33">
        <f t="shared" si="69"/>
        <v>11437.5195</v>
      </c>
      <c r="CU13" s="33">
        <f t="shared" si="47"/>
        <v>3693.5529675</v>
      </c>
      <c r="CV13" s="33">
        <f t="shared" si="70"/>
        <v>15131.0724675</v>
      </c>
      <c r="CW13" s="35">
        <f t="shared" si="25"/>
        <v>530.0283054</v>
      </c>
    </row>
    <row r="14" spans="1:101" ht="12.75">
      <c r="A14" s="19">
        <v>41183</v>
      </c>
      <c r="D14" s="35">
        <v>1040575</v>
      </c>
      <c r="E14" s="35">
        <f t="shared" si="0"/>
        <v>1040575</v>
      </c>
      <c r="F14" s="35">
        <v>159182</v>
      </c>
      <c r="H14" s="71"/>
      <c r="I14" s="51">
        <f t="shared" si="26"/>
        <v>368493.1015875001</v>
      </c>
      <c r="J14" s="51">
        <f t="shared" si="71"/>
        <v>368493.1015875001</v>
      </c>
      <c r="K14" s="51">
        <f t="shared" si="26"/>
        <v>56370.246159</v>
      </c>
      <c r="N14" s="33">
        <f t="shared" si="27"/>
        <v>57148.6911725</v>
      </c>
      <c r="O14" s="33">
        <f t="shared" si="28"/>
        <v>57148.6911725</v>
      </c>
      <c r="P14" s="35">
        <f t="shared" si="5"/>
        <v>8742.3231946</v>
      </c>
      <c r="S14" s="51">
        <f t="shared" si="29"/>
        <v>67029.6792</v>
      </c>
      <c r="T14" s="51">
        <f t="shared" si="30"/>
        <v>67029.6792</v>
      </c>
      <c r="U14" s="35">
        <f t="shared" si="6"/>
        <v>10253.867712</v>
      </c>
      <c r="X14" s="33">
        <f t="shared" si="31"/>
        <v>4654.28386</v>
      </c>
      <c r="Y14" s="33">
        <f t="shared" si="32"/>
        <v>4654.28386</v>
      </c>
      <c r="Z14" s="35">
        <f t="shared" si="7"/>
        <v>711.9892496</v>
      </c>
      <c r="AB14" s="51"/>
      <c r="AC14" s="33">
        <f t="shared" si="33"/>
        <v>3885.4029925</v>
      </c>
      <c r="AD14" s="33">
        <f t="shared" si="1"/>
        <v>3885.4029925</v>
      </c>
      <c r="AE14" s="35">
        <f t="shared" si="8"/>
        <v>594.3696698</v>
      </c>
      <c r="AH14" s="33">
        <f t="shared" si="34"/>
        <v>1225.2770624999998</v>
      </c>
      <c r="AI14" s="33">
        <f t="shared" si="72"/>
        <v>1225.2770624999998</v>
      </c>
      <c r="AJ14" s="35">
        <f t="shared" si="9"/>
        <v>187.436805</v>
      </c>
      <c r="AM14" s="33">
        <f t="shared" si="35"/>
        <v>586.46807</v>
      </c>
      <c r="AN14" s="33">
        <f t="shared" si="10"/>
        <v>586.46807</v>
      </c>
      <c r="AO14" s="35">
        <f t="shared" si="11"/>
        <v>89.71497520000001</v>
      </c>
      <c r="AR14" s="33">
        <f t="shared" si="36"/>
        <v>233.50503</v>
      </c>
      <c r="AS14" s="33">
        <f t="shared" si="56"/>
        <v>233.50503</v>
      </c>
      <c r="AT14" s="35">
        <f t="shared" si="12"/>
        <v>35.7204408</v>
      </c>
      <c r="AW14" s="33">
        <f t="shared" si="37"/>
        <v>4245.1297700000005</v>
      </c>
      <c r="AX14" s="33">
        <f t="shared" si="73"/>
        <v>4245.1297700000005</v>
      </c>
      <c r="AY14" s="35">
        <f t="shared" si="13"/>
        <v>649.3988872</v>
      </c>
      <c r="BA14" s="51"/>
      <c r="BB14" s="51">
        <f t="shared" si="38"/>
        <v>5671.54998</v>
      </c>
      <c r="BC14" s="33">
        <f t="shared" si="14"/>
        <v>5671.54998</v>
      </c>
      <c r="BD14" s="35">
        <f t="shared" si="15"/>
        <v>867.6055728</v>
      </c>
      <c r="BF14" s="51"/>
      <c r="BG14" s="51">
        <f t="shared" si="39"/>
        <v>2198.8390325</v>
      </c>
      <c r="BH14" s="33">
        <f aca="true" t="shared" si="76" ref="BH14:BH33">BF14+BG14</f>
        <v>2198.8390325</v>
      </c>
      <c r="BI14" s="35">
        <f t="shared" si="16"/>
        <v>336.36748420000004</v>
      </c>
      <c r="BL14" s="33">
        <f t="shared" si="40"/>
        <v>111653.07315499999</v>
      </c>
      <c r="BM14" s="33">
        <f t="shared" si="17"/>
        <v>111653.07315499999</v>
      </c>
      <c r="BN14" s="35">
        <f t="shared" si="18"/>
        <v>17080.1330908</v>
      </c>
      <c r="BQ14" s="33">
        <f t="shared" si="41"/>
        <v>977.7242699999999</v>
      </c>
      <c r="BR14" s="33">
        <f aca="true" t="shared" si="77" ref="BR14:BR33">BP14+BQ14</f>
        <v>977.7242699999999</v>
      </c>
      <c r="BS14" s="35">
        <f t="shared" si="19"/>
        <v>149.5674072</v>
      </c>
      <c r="BV14" s="33">
        <f t="shared" si="42"/>
        <v>97848.7011475</v>
      </c>
      <c r="BW14" s="33">
        <f t="shared" si="74"/>
        <v>97848.7011475</v>
      </c>
      <c r="BX14" s="35">
        <f t="shared" si="20"/>
        <v>14968.4087606</v>
      </c>
      <c r="CA14" s="33">
        <f t="shared" si="43"/>
        <v>274.8158575</v>
      </c>
      <c r="CB14" s="33">
        <f t="shared" si="64"/>
        <v>274.8158575</v>
      </c>
      <c r="CC14" s="35">
        <f t="shared" si="21"/>
        <v>42.0399662</v>
      </c>
      <c r="CF14" s="33">
        <f t="shared" si="44"/>
        <v>21.643959999999996</v>
      </c>
      <c r="CG14" s="33">
        <f t="shared" si="75"/>
        <v>21.643959999999996</v>
      </c>
      <c r="CH14" s="35">
        <f t="shared" si="22"/>
        <v>3.3109856</v>
      </c>
      <c r="CK14" s="33">
        <f t="shared" si="45"/>
        <v>3907.0469525000003</v>
      </c>
      <c r="CL14" s="33">
        <f aca="true" t="shared" si="78" ref="CL14:CL33">CJ14+CK14</f>
        <v>3907.0469525000003</v>
      </c>
      <c r="CM14" s="35">
        <f t="shared" si="23"/>
        <v>597.6806554</v>
      </c>
      <c r="CP14" s="33">
        <f t="shared" si="46"/>
        <v>3466.4674975</v>
      </c>
      <c r="CQ14" s="33">
        <f t="shared" si="68"/>
        <v>3466.4674975</v>
      </c>
      <c r="CR14" s="35">
        <f t="shared" si="24"/>
        <v>530.2829966</v>
      </c>
      <c r="CU14" s="33">
        <f t="shared" si="47"/>
        <v>3464.8025775</v>
      </c>
      <c r="CV14" s="33">
        <f t="shared" si="70"/>
        <v>3464.8025775</v>
      </c>
      <c r="CW14" s="35">
        <f t="shared" si="25"/>
        <v>530.0283054</v>
      </c>
    </row>
    <row r="15" spans="1:101" ht="12.75">
      <c r="A15" s="19">
        <v>41365</v>
      </c>
      <c r="B15" t="s">
        <v>32</v>
      </c>
      <c r="C15" s="35">
        <v>3570000</v>
      </c>
      <c r="D15" s="35">
        <v>1040575</v>
      </c>
      <c r="E15" s="35">
        <f t="shared" si="0"/>
        <v>4610575</v>
      </c>
      <c r="F15" s="35">
        <v>159182</v>
      </c>
      <c r="H15" s="71">
        <f t="shared" si="48"/>
        <v>1264224.4650000003</v>
      </c>
      <c r="I15" s="51">
        <f t="shared" si="26"/>
        <v>368493.1015875001</v>
      </c>
      <c r="J15" s="51">
        <f t="shared" si="71"/>
        <v>1632717.5665875003</v>
      </c>
      <c r="K15" s="51">
        <f t="shared" si="26"/>
        <v>56370.246159</v>
      </c>
      <c r="M15" s="33">
        <f t="shared" si="49"/>
        <v>196065.471</v>
      </c>
      <c r="N15" s="33">
        <f t="shared" si="27"/>
        <v>57148.6911725</v>
      </c>
      <c r="O15" s="33">
        <f t="shared" si="28"/>
        <v>253214.1621725</v>
      </c>
      <c r="P15" s="35">
        <f t="shared" si="5"/>
        <v>8742.3231946</v>
      </c>
      <c r="R15" s="33">
        <f t="shared" si="50"/>
        <v>229965.12</v>
      </c>
      <c r="S15" s="51">
        <f t="shared" si="29"/>
        <v>67029.6792</v>
      </c>
      <c r="T15" s="51">
        <f t="shared" si="30"/>
        <v>296994.7992</v>
      </c>
      <c r="U15" s="35">
        <f t="shared" si="6"/>
        <v>10253.867712</v>
      </c>
      <c r="W15" s="33">
        <f t="shared" si="51"/>
        <v>15967.896</v>
      </c>
      <c r="X15" s="33">
        <f t="shared" si="31"/>
        <v>4654.28386</v>
      </c>
      <c r="Y15" s="33">
        <f t="shared" si="32"/>
        <v>20622.17986</v>
      </c>
      <c r="Z15" s="35">
        <f t="shared" si="7"/>
        <v>711.9892496</v>
      </c>
      <c r="AB15" s="51">
        <f t="shared" si="52"/>
        <v>13330.023000000001</v>
      </c>
      <c r="AC15" s="33">
        <f t="shared" si="33"/>
        <v>3885.4029925</v>
      </c>
      <c r="AD15" s="33">
        <f t="shared" si="1"/>
        <v>17215.4259925</v>
      </c>
      <c r="AE15" s="35">
        <f t="shared" si="8"/>
        <v>594.3696698</v>
      </c>
      <c r="AG15" s="33">
        <f t="shared" si="53"/>
        <v>4203.675</v>
      </c>
      <c r="AH15" s="33">
        <f t="shared" si="34"/>
        <v>1225.2770624999998</v>
      </c>
      <c r="AI15" s="33">
        <f t="shared" si="72"/>
        <v>5428.9520625000005</v>
      </c>
      <c r="AJ15" s="35">
        <f t="shared" si="9"/>
        <v>187.436805</v>
      </c>
      <c r="AL15" s="33">
        <f t="shared" si="54"/>
        <v>2012.0520000000001</v>
      </c>
      <c r="AM15" s="33">
        <f t="shared" si="35"/>
        <v>586.46807</v>
      </c>
      <c r="AN15" s="33">
        <f t="shared" si="10"/>
        <v>2598.52007</v>
      </c>
      <c r="AO15" s="35">
        <f t="shared" si="11"/>
        <v>89.71497520000001</v>
      </c>
      <c r="AQ15" s="33">
        <f t="shared" si="55"/>
        <v>801.1080000000001</v>
      </c>
      <c r="AR15" s="33">
        <f t="shared" si="36"/>
        <v>233.50503</v>
      </c>
      <c r="AS15" s="33">
        <f t="shared" si="56"/>
        <v>1034.61303</v>
      </c>
      <c r="AT15" s="35">
        <f t="shared" si="12"/>
        <v>35.7204408</v>
      </c>
      <c r="AV15" s="33">
        <f t="shared" si="57"/>
        <v>14564.171999999999</v>
      </c>
      <c r="AW15" s="33">
        <f t="shared" si="37"/>
        <v>4245.1297700000005</v>
      </c>
      <c r="AX15" s="33">
        <f t="shared" si="73"/>
        <v>18809.30177</v>
      </c>
      <c r="AY15" s="35">
        <f t="shared" si="13"/>
        <v>649.3988872</v>
      </c>
      <c r="BA15" s="51">
        <f t="shared" si="58"/>
        <v>19457.928</v>
      </c>
      <c r="BB15" s="51">
        <f t="shared" si="38"/>
        <v>5671.54998</v>
      </c>
      <c r="BC15" s="33">
        <f t="shared" si="14"/>
        <v>25129.47798</v>
      </c>
      <c r="BD15" s="35">
        <f t="shared" si="15"/>
        <v>867.6055728</v>
      </c>
      <c r="BF15" s="51">
        <f t="shared" si="59"/>
        <v>7543.767</v>
      </c>
      <c r="BG15" s="51">
        <f t="shared" si="39"/>
        <v>2198.8390325</v>
      </c>
      <c r="BH15" s="33">
        <f t="shared" si="76"/>
        <v>9742.6060325</v>
      </c>
      <c r="BI15" s="35">
        <f t="shared" si="16"/>
        <v>336.36748420000004</v>
      </c>
      <c r="BK15" s="33">
        <f t="shared" si="60"/>
        <v>383058.85799999995</v>
      </c>
      <c r="BL15" s="33">
        <f t="shared" si="40"/>
        <v>111653.07315499999</v>
      </c>
      <c r="BM15" s="33">
        <f t="shared" si="17"/>
        <v>494711.93115499994</v>
      </c>
      <c r="BN15" s="35">
        <f t="shared" si="18"/>
        <v>17080.1330908</v>
      </c>
      <c r="BP15" s="33">
        <f t="shared" si="61"/>
        <v>3354.3720000000003</v>
      </c>
      <c r="BQ15" s="33">
        <f t="shared" si="41"/>
        <v>977.7242699999999</v>
      </c>
      <c r="BR15" s="33">
        <f t="shared" si="77"/>
        <v>4332.09627</v>
      </c>
      <c r="BS15" s="35">
        <f t="shared" si="19"/>
        <v>149.5674072</v>
      </c>
      <c r="BU15" s="33">
        <f t="shared" si="62"/>
        <v>335698.881</v>
      </c>
      <c r="BV15" s="33">
        <f t="shared" si="42"/>
        <v>97848.7011475</v>
      </c>
      <c r="BW15" s="33">
        <f t="shared" si="74"/>
        <v>433547.5821475</v>
      </c>
      <c r="BX15" s="35">
        <f t="shared" si="20"/>
        <v>14968.4087606</v>
      </c>
      <c r="BZ15" s="33">
        <f t="shared" si="63"/>
        <v>942.837</v>
      </c>
      <c r="CA15" s="33">
        <f t="shared" si="43"/>
        <v>274.8158575</v>
      </c>
      <c r="CB15" s="33">
        <f t="shared" si="64"/>
        <v>1217.6528575</v>
      </c>
      <c r="CC15" s="35">
        <f t="shared" si="21"/>
        <v>42.0399662</v>
      </c>
      <c r="CE15" s="33">
        <f t="shared" si="65"/>
        <v>74.256</v>
      </c>
      <c r="CF15" s="33">
        <f t="shared" si="44"/>
        <v>21.643959999999996</v>
      </c>
      <c r="CG15" s="33">
        <f t="shared" si="75"/>
        <v>95.89996</v>
      </c>
      <c r="CH15" s="35">
        <f t="shared" si="22"/>
        <v>3.3109856</v>
      </c>
      <c r="CJ15" s="33">
        <f t="shared" si="66"/>
        <v>13404.279000000002</v>
      </c>
      <c r="CK15" s="33">
        <f t="shared" si="45"/>
        <v>3907.0469525000003</v>
      </c>
      <c r="CL15" s="33">
        <f t="shared" si="78"/>
        <v>17311.325952500003</v>
      </c>
      <c r="CM15" s="35">
        <f t="shared" si="23"/>
        <v>597.6806554</v>
      </c>
      <c r="CO15" s="33">
        <f t="shared" si="67"/>
        <v>11892.740999999998</v>
      </c>
      <c r="CP15" s="33">
        <f t="shared" si="46"/>
        <v>3466.4674975</v>
      </c>
      <c r="CQ15" s="33">
        <f t="shared" si="68"/>
        <v>15359.208497499998</v>
      </c>
      <c r="CR15" s="35">
        <f t="shared" si="24"/>
        <v>530.2829966</v>
      </c>
      <c r="CT15" s="33">
        <f t="shared" si="69"/>
        <v>11887.028999999999</v>
      </c>
      <c r="CU15" s="33">
        <f t="shared" si="47"/>
        <v>3464.8025775</v>
      </c>
      <c r="CV15" s="33">
        <f t="shared" si="70"/>
        <v>15351.8315775</v>
      </c>
      <c r="CW15" s="35">
        <f t="shared" si="25"/>
        <v>530.0283054</v>
      </c>
    </row>
    <row r="16" spans="1:101" ht="12.75">
      <c r="A16" s="19">
        <v>41548</v>
      </c>
      <c r="D16" s="35">
        <v>951325</v>
      </c>
      <c r="E16" s="35">
        <f t="shared" si="0"/>
        <v>951325</v>
      </c>
      <c r="F16" s="35">
        <v>159182</v>
      </c>
      <c r="H16" s="71"/>
      <c r="I16" s="51">
        <f t="shared" si="26"/>
        <v>336887.4899625</v>
      </c>
      <c r="J16" s="51">
        <f t="shared" si="71"/>
        <v>336887.4899625</v>
      </c>
      <c r="K16" s="51">
        <f t="shared" si="26"/>
        <v>56370.246159</v>
      </c>
      <c r="N16" s="33">
        <f t="shared" si="27"/>
        <v>52247.0543975</v>
      </c>
      <c r="O16" s="33">
        <f t="shared" si="28"/>
        <v>52247.0543975</v>
      </c>
      <c r="P16" s="35">
        <f t="shared" si="5"/>
        <v>8742.3231946</v>
      </c>
      <c r="S16" s="51">
        <f t="shared" si="29"/>
        <v>61280.5512</v>
      </c>
      <c r="T16" s="51">
        <f t="shared" si="30"/>
        <v>61280.5512</v>
      </c>
      <c r="U16" s="35">
        <f t="shared" si="6"/>
        <v>10253.867712</v>
      </c>
      <c r="X16" s="33">
        <f t="shared" si="31"/>
        <v>4255.08646</v>
      </c>
      <c r="Y16" s="33">
        <f t="shared" si="32"/>
        <v>4255.08646</v>
      </c>
      <c r="Z16" s="35">
        <f t="shared" si="7"/>
        <v>711.9892496</v>
      </c>
      <c r="AB16" s="51"/>
      <c r="AC16" s="33">
        <f t="shared" si="33"/>
        <v>3552.1524175</v>
      </c>
      <c r="AD16" s="33">
        <f t="shared" si="1"/>
        <v>3552.1524175</v>
      </c>
      <c r="AE16" s="35">
        <f t="shared" si="8"/>
        <v>594.3696698</v>
      </c>
      <c r="AH16" s="33">
        <f t="shared" si="34"/>
        <v>1120.1851875</v>
      </c>
      <c r="AI16" s="33">
        <f t="shared" si="72"/>
        <v>1120.1851875</v>
      </c>
      <c r="AJ16" s="35">
        <f t="shared" si="9"/>
        <v>187.436805</v>
      </c>
      <c r="AM16" s="33">
        <f t="shared" si="35"/>
        <v>536.16677</v>
      </c>
      <c r="AN16" s="33">
        <f t="shared" si="10"/>
        <v>536.16677</v>
      </c>
      <c r="AO16" s="35">
        <f t="shared" si="11"/>
        <v>89.71497520000001</v>
      </c>
      <c r="AR16" s="33">
        <f t="shared" si="36"/>
        <v>213.47733</v>
      </c>
      <c r="AS16" s="33">
        <f t="shared" si="56"/>
        <v>213.47733</v>
      </c>
      <c r="AT16" s="35">
        <f t="shared" si="12"/>
        <v>35.7204408</v>
      </c>
      <c r="AW16" s="33">
        <f t="shared" si="37"/>
        <v>3881.0254699999996</v>
      </c>
      <c r="AX16" s="33">
        <f t="shared" si="73"/>
        <v>3881.0254699999996</v>
      </c>
      <c r="AY16" s="35">
        <f t="shared" si="13"/>
        <v>649.3988872</v>
      </c>
      <c r="BA16" s="51"/>
      <c r="BB16" s="51">
        <f t="shared" si="38"/>
        <v>5185.10178</v>
      </c>
      <c r="BC16" s="33">
        <f t="shared" si="14"/>
        <v>5185.10178</v>
      </c>
      <c r="BD16" s="35">
        <f t="shared" si="15"/>
        <v>867.6055728</v>
      </c>
      <c r="BF16" s="51"/>
      <c r="BG16" s="51">
        <f t="shared" si="39"/>
        <v>2010.2448574999999</v>
      </c>
      <c r="BH16" s="33">
        <f t="shared" si="76"/>
        <v>2010.2448574999999</v>
      </c>
      <c r="BI16" s="35">
        <f t="shared" si="16"/>
        <v>336.36748420000004</v>
      </c>
      <c r="BL16" s="33">
        <f t="shared" si="40"/>
        <v>102076.601705</v>
      </c>
      <c r="BM16" s="33">
        <f t="shared" si="17"/>
        <v>102076.601705</v>
      </c>
      <c r="BN16" s="35">
        <f t="shared" si="18"/>
        <v>17080.1330908</v>
      </c>
      <c r="BQ16" s="33">
        <f t="shared" si="41"/>
        <v>893.8649700000001</v>
      </c>
      <c r="BR16" s="33">
        <f t="shared" si="77"/>
        <v>893.8649700000001</v>
      </c>
      <c r="BS16" s="35">
        <f t="shared" si="19"/>
        <v>149.5674072</v>
      </c>
      <c r="BV16" s="33">
        <f t="shared" si="42"/>
        <v>89456.22912250001</v>
      </c>
      <c r="BW16" s="33">
        <f t="shared" si="74"/>
        <v>89456.22912250001</v>
      </c>
      <c r="BX16" s="35">
        <f t="shared" si="20"/>
        <v>14968.4087606</v>
      </c>
      <c r="CA16" s="33">
        <f t="shared" si="43"/>
        <v>251.2449325</v>
      </c>
      <c r="CB16" s="33">
        <f t="shared" si="64"/>
        <v>251.2449325</v>
      </c>
      <c r="CC16" s="35">
        <f t="shared" si="21"/>
        <v>42.0399662</v>
      </c>
      <c r="CF16" s="33">
        <f t="shared" si="44"/>
        <v>19.78756</v>
      </c>
      <c r="CG16" s="33">
        <f t="shared" si="75"/>
        <v>19.78756</v>
      </c>
      <c r="CH16" s="35">
        <f t="shared" si="22"/>
        <v>3.3109856</v>
      </c>
      <c r="CK16" s="33">
        <f t="shared" si="45"/>
        <v>3571.9399775</v>
      </c>
      <c r="CL16" s="33">
        <f t="shared" si="78"/>
        <v>3571.9399775</v>
      </c>
      <c r="CM16" s="35">
        <f t="shared" si="23"/>
        <v>597.6806554</v>
      </c>
      <c r="CP16" s="33">
        <f t="shared" si="46"/>
        <v>3169.1489724999997</v>
      </c>
      <c r="CQ16" s="33">
        <f t="shared" si="68"/>
        <v>3169.1489724999997</v>
      </c>
      <c r="CR16" s="35">
        <f t="shared" si="24"/>
        <v>530.2829966</v>
      </c>
      <c r="CU16" s="33">
        <f t="shared" si="47"/>
        <v>3167.6268524999996</v>
      </c>
      <c r="CV16" s="33">
        <f t="shared" si="70"/>
        <v>3167.6268524999996</v>
      </c>
      <c r="CW16" s="35">
        <f t="shared" si="25"/>
        <v>530.0283054</v>
      </c>
    </row>
    <row r="17" spans="1:101" ht="12.75">
      <c r="A17" s="19">
        <v>41730</v>
      </c>
      <c r="C17" s="35">
        <v>3750000</v>
      </c>
      <c r="D17" s="35">
        <v>951325</v>
      </c>
      <c r="E17" s="35">
        <f t="shared" si="0"/>
        <v>4701325</v>
      </c>
      <c r="F17" s="35">
        <v>159182</v>
      </c>
      <c r="H17" s="71">
        <f t="shared" si="48"/>
        <v>1327966.875</v>
      </c>
      <c r="I17" s="51">
        <f t="shared" si="26"/>
        <v>336887.4899625</v>
      </c>
      <c r="J17" s="51">
        <f t="shared" si="71"/>
        <v>1664854.3649625</v>
      </c>
      <c r="K17" s="51">
        <f t="shared" si="26"/>
        <v>56370.246159</v>
      </c>
      <c r="M17" s="33">
        <f t="shared" si="49"/>
        <v>205951.125</v>
      </c>
      <c r="N17" s="33">
        <f t="shared" si="27"/>
        <v>52247.0543975</v>
      </c>
      <c r="O17" s="33">
        <f t="shared" si="28"/>
        <v>258198.1793975</v>
      </c>
      <c r="P17" s="35">
        <f t="shared" si="5"/>
        <v>8742.3231946</v>
      </c>
      <c r="R17" s="33">
        <f t="shared" si="50"/>
        <v>241560</v>
      </c>
      <c r="S17" s="51">
        <f t="shared" si="29"/>
        <v>61280.5512</v>
      </c>
      <c r="T17" s="51">
        <f t="shared" si="30"/>
        <v>302840.5512</v>
      </c>
      <c r="U17" s="35">
        <f t="shared" si="6"/>
        <v>10253.867712</v>
      </c>
      <c r="W17" s="33">
        <f t="shared" si="51"/>
        <v>16773</v>
      </c>
      <c r="X17" s="33">
        <f t="shared" si="31"/>
        <v>4255.08646</v>
      </c>
      <c r="Y17" s="33">
        <f t="shared" si="32"/>
        <v>21028.08646</v>
      </c>
      <c r="Z17" s="35">
        <f t="shared" si="7"/>
        <v>711.9892496</v>
      </c>
      <c r="AB17" s="51">
        <f t="shared" si="52"/>
        <v>14002.125</v>
      </c>
      <c r="AC17" s="33">
        <f t="shared" si="33"/>
        <v>3552.1524175</v>
      </c>
      <c r="AD17" s="33">
        <f t="shared" si="1"/>
        <v>17554.2774175</v>
      </c>
      <c r="AE17" s="35">
        <f t="shared" si="8"/>
        <v>594.3696698</v>
      </c>
      <c r="AG17" s="33">
        <f t="shared" si="53"/>
        <v>4415.625</v>
      </c>
      <c r="AH17" s="33">
        <f t="shared" si="34"/>
        <v>1120.1851875</v>
      </c>
      <c r="AI17" s="33">
        <f t="shared" si="72"/>
        <v>5535.8101875</v>
      </c>
      <c r="AJ17" s="35">
        <f t="shared" si="9"/>
        <v>187.436805</v>
      </c>
      <c r="AL17" s="33">
        <f t="shared" si="54"/>
        <v>2113.5</v>
      </c>
      <c r="AM17" s="33">
        <f t="shared" si="35"/>
        <v>536.16677</v>
      </c>
      <c r="AN17" s="33">
        <f t="shared" si="10"/>
        <v>2649.66677</v>
      </c>
      <c r="AO17" s="35">
        <f t="shared" si="11"/>
        <v>89.71497520000001</v>
      </c>
      <c r="AQ17" s="33">
        <f t="shared" si="55"/>
        <v>841.5</v>
      </c>
      <c r="AR17" s="33">
        <f t="shared" si="36"/>
        <v>213.47733</v>
      </c>
      <c r="AS17" s="33">
        <f t="shared" si="56"/>
        <v>1054.97733</v>
      </c>
      <c r="AT17" s="35">
        <f t="shared" si="12"/>
        <v>35.7204408</v>
      </c>
      <c r="AV17" s="33">
        <f t="shared" si="57"/>
        <v>15298.5</v>
      </c>
      <c r="AW17" s="33">
        <f t="shared" si="37"/>
        <v>3881.0254699999996</v>
      </c>
      <c r="AX17" s="33">
        <f t="shared" si="73"/>
        <v>19179.52547</v>
      </c>
      <c r="AY17" s="35">
        <f t="shared" si="13"/>
        <v>649.3988872</v>
      </c>
      <c r="BA17" s="51">
        <f t="shared" si="58"/>
        <v>20439</v>
      </c>
      <c r="BB17" s="51">
        <f t="shared" si="38"/>
        <v>5185.10178</v>
      </c>
      <c r="BC17" s="33">
        <f t="shared" si="14"/>
        <v>25624.10178</v>
      </c>
      <c r="BD17" s="35">
        <f t="shared" si="15"/>
        <v>867.6055728</v>
      </c>
      <c r="BF17" s="51">
        <f t="shared" si="59"/>
        <v>7924.125</v>
      </c>
      <c r="BG17" s="51">
        <f t="shared" si="39"/>
        <v>2010.2448574999999</v>
      </c>
      <c r="BH17" s="33">
        <f t="shared" si="76"/>
        <v>9934.3698575</v>
      </c>
      <c r="BI17" s="35">
        <f t="shared" si="16"/>
        <v>336.36748420000004</v>
      </c>
      <c r="BK17" s="33">
        <f t="shared" si="60"/>
        <v>402372.75</v>
      </c>
      <c r="BL17" s="33">
        <f t="shared" si="40"/>
        <v>102076.601705</v>
      </c>
      <c r="BM17" s="33">
        <f t="shared" si="17"/>
        <v>504449.351705</v>
      </c>
      <c r="BN17" s="35">
        <f t="shared" si="18"/>
        <v>17080.1330908</v>
      </c>
      <c r="BP17" s="33">
        <f t="shared" si="61"/>
        <v>3523.5</v>
      </c>
      <c r="BQ17" s="33">
        <f t="shared" si="41"/>
        <v>893.8649700000001</v>
      </c>
      <c r="BR17" s="33">
        <f t="shared" si="77"/>
        <v>4417.3649700000005</v>
      </c>
      <c r="BS17" s="35">
        <f t="shared" si="19"/>
        <v>149.5674072</v>
      </c>
      <c r="BU17" s="33">
        <f t="shared" si="62"/>
        <v>352624.875</v>
      </c>
      <c r="BV17" s="33">
        <f t="shared" si="42"/>
        <v>89456.22912250001</v>
      </c>
      <c r="BW17" s="33">
        <f t="shared" si="74"/>
        <v>442081.1041225</v>
      </c>
      <c r="BX17" s="35">
        <f t="shared" si="20"/>
        <v>14968.4087606</v>
      </c>
      <c r="BZ17" s="33">
        <f t="shared" si="63"/>
        <v>990.375</v>
      </c>
      <c r="CA17" s="33">
        <f t="shared" si="43"/>
        <v>251.2449325</v>
      </c>
      <c r="CB17" s="33">
        <f t="shared" si="64"/>
        <v>1241.6199325</v>
      </c>
      <c r="CC17" s="35">
        <f t="shared" si="21"/>
        <v>42.0399662</v>
      </c>
      <c r="CE17" s="33">
        <f t="shared" si="65"/>
        <v>77.99999999999999</v>
      </c>
      <c r="CF17" s="33">
        <f t="shared" si="44"/>
        <v>19.78756</v>
      </c>
      <c r="CG17" s="33">
        <f t="shared" si="75"/>
        <v>97.78755999999998</v>
      </c>
      <c r="CH17" s="35">
        <f t="shared" si="22"/>
        <v>3.3109856</v>
      </c>
      <c r="CJ17" s="33">
        <f t="shared" si="66"/>
        <v>14080.125</v>
      </c>
      <c r="CK17" s="33">
        <f t="shared" si="45"/>
        <v>3571.9399775</v>
      </c>
      <c r="CL17" s="33">
        <f t="shared" si="78"/>
        <v>17652.0649775</v>
      </c>
      <c r="CM17" s="35">
        <f t="shared" si="23"/>
        <v>597.6806554</v>
      </c>
      <c r="CO17" s="33">
        <f t="shared" si="67"/>
        <v>12492.375</v>
      </c>
      <c r="CP17" s="33">
        <f t="shared" si="46"/>
        <v>3169.1489724999997</v>
      </c>
      <c r="CQ17" s="33">
        <f t="shared" si="68"/>
        <v>15661.5239725</v>
      </c>
      <c r="CR17" s="35">
        <f t="shared" si="24"/>
        <v>530.2829966</v>
      </c>
      <c r="CT17" s="33">
        <f t="shared" si="69"/>
        <v>12486.375</v>
      </c>
      <c r="CU17" s="33">
        <f t="shared" si="47"/>
        <v>3167.6268524999996</v>
      </c>
      <c r="CV17" s="33">
        <f t="shared" si="70"/>
        <v>15654.0018525</v>
      </c>
      <c r="CW17" s="35">
        <f t="shared" si="25"/>
        <v>530.0283054</v>
      </c>
    </row>
    <row r="18" spans="1:101" ht="12.75">
      <c r="A18" s="19">
        <v>41913</v>
      </c>
      <c r="D18" s="35">
        <v>857575</v>
      </c>
      <c r="E18" s="35">
        <f t="shared" si="0"/>
        <v>857575</v>
      </c>
      <c r="F18" s="35">
        <v>159182</v>
      </c>
      <c r="H18" s="71"/>
      <c r="I18" s="51">
        <f t="shared" si="26"/>
        <v>303688.3180875</v>
      </c>
      <c r="J18" s="51">
        <f t="shared" si="71"/>
        <v>303688.3180875</v>
      </c>
      <c r="K18" s="51">
        <f t="shared" si="26"/>
        <v>56370.246159</v>
      </c>
      <c r="N18" s="33">
        <f t="shared" si="27"/>
        <v>47098.2762725</v>
      </c>
      <c r="O18" s="33">
        <f t="shared" si="28"/>
        <v>47098.2762725</v>
      </c>
      <c r="P18" s="35">
        <f t="shared" si="5"/>
        <v>8742.3231946</v>
      </c>
      <c r="S18" s="51">
        <f t="shared" si="29"/>
        <v>55241.5512</v>
      </c>
      <c r="T18" s="51">
        <f t="shared" si="30"/>
        <v>55241.5512</v>
      </c>
      <c r="U18" s="35">
        <f t="shared" si="6"/>
        <v>10253.867712</v>
      </c>
      <c r="X18" s="33">
        <f t="shared" si="31"/>
        <v>3835.76146</v>
      </c>
      <c r="Y18" s="33">
        <f t="shared" si="32"/>
        <v>3835.76146</v>
      </c>
      <c r="Z18" s="35">
        <f t="shared" si="7"/>
        <v>711.9892496</v>
      </c>
      <c r="AB18" s="51"/>
      <c r="AC18" s="33">
        <f t="shared" si="33"/>
        <v>3202.0992925</v>
      </c>
      <c r="AD18" s="33">
        <f t="shared" si="1"/>
        <v>3202.0992925</v>
      </c>
      <c r="AE18" s="35">
        <f t="shared" si="8"/>
        <v>594.3696698</v>
      </c>
      <c r="AH18" s="33">
        <f t="shared" si="34"/>
        <v>1009.7945624999999</v>
      </c>
      <c r="AI18" s="33">
        <f t="shared" si="72"/>
        <v>1009.7945624999999</v>
      </c>
      <c r="AJ18" s="35">
        <f t="shared" si="9"/>
        <v>187.436805</v>
      </c>
      <c r="AM18" s="33">
        <f t="shared" si="35"/>
        <v>483.32927</v>
      </c>
      <c r="AN18" s="33">
        <f t="shared" si="10"/>
        <v>483.32927</v>
      </c>
      <c r="AO18" s="35">
        <f t="shared" si="11"/>
        <v>89.71497520000001</v>
      </c>
      <c r="AR18" s="33">
        <f t="shared" si="36"/>
        <v>192.43983</v>
      </c>
      <c r="AS18" s="33">
        <f t="shared" si="56"/>
        <v>192.43983</v>
      </c>
      <c r="AT18" s="35">
        <f t="shared" si="12"/>
        <v>35.7204408</v>
      </c>
      <c r="AW18" s="33">
        <f t="shared" si="37"/>
        <v>3498.5629699999995</v>
      </c>
      <c r="AX18" s="33">
        <f t="shared" si="73"/>
        <v>3498.5629699999995</v>
      </c>
      <c r="AY18" s="35">
        <f t="shared" si="13"/>
        <v>649.3988872</v>
      </c>
      <c r="BA18" s="51"/>
      <c r="BB18" s="51">
        <f t="shared" si="38"/>
        <v>4674.12678</v>
      </c>
      <c r="BC18" s="33">
        <f t="shared" si="14"/>
        <v>4674.12678</v>
      </c>
      <c r="BD18" s="35">
        <f t="shared" si="15"/>
        <v>867.6055728</v>
      </c>
      <c r="BF18" s="51"/>
      <c r="BG18" s="51">
        <f t="shared" si="39"/>
        <v>1812.1417325</v>
      </c>
      <c r="BH18" s="33">
        <f t="shared" si="76"/>
        <v>1812.1417325</v>
      </c>
      <c r="BI18" s="35">
        <f t="shared" si="16"/>
        <v>336.36748420000004</v>
      </c>
      <c r="BL18" s="33">
        <f t="shared" si="40"/>
        <v>92017.28295499999</v>
      </c>
      <c r="BM18" s="33">
        <f t="shared" si="17"/>
        <v>92017.28295499999</v>
      </c>
      <c r="BN18" s="35">
        <f t="shared" si="18"/>
        <v>17080.1330908</v>
      </c>
      <c r="BQ18" s="33">
        <f t="shared" si="41"/>
        <v>805.77747</v>
      </c>
      <c r="BR18" s="33">
        <f t="shared" si="77"/>
        <v>805.77747</v>
      </c>
      <c r="BS18" s="35">
        <f t="shared" si="19"/>
        <v>149.5674072</v>
      </c>
      <c r="BV18" s="33">
        <f t="shared" si="42"/>
        <v>80640.6072475</v>
      </c>
      <c r="BW18" s="33">
        <f t="shared" si="74"/>
        <v>80640.6072475</v>
      </c>
      <c r="BX18" s="35">
        <f t="shared" si="20"/>
        <v>14968.4087606</v>
      </c>
      <c r="CA18" s="33">
        <f t="shared" si="43"/>
        <v>226.4855575</v>
      </c>
      <c r="CB18" s="33">
        <f t="shared" si="64"/>
        <v>226.4855575</v>
      </c>
      <c r="CC18" s="35">
        <f t="shared" si="21"/>
        <v>42.0399662</v>
      </c>
      <c r="CF18" s="33">
        <f t="shared" si="44"/>
        <v>17.83756</v>
      </c>
      <c r="CG18" s="33">
        <f t="shared" si="75"/>
        <v>17.83756</v>
      </c>
      <c r="CH18" s="35">
        <f t="shared" si="22"/>
        <v>3.3109856</v>
      </c>
      <c r="CK18" s="33">
        <f t="shared" si="45"/>
        <v>3219.9368525000004</v>
      </c>
      <c r="CL18" s="33">
        <f t="shared" si="78"/>
        <v>3219.9368525000004</v>
      </c>
      <c r="CM18" s="35">
        <f t="shared" si="23"/>
        <v>597.6806554</v>
      </c>
      <c r="CP18" s="33">
        <f t="shared" si="46"/>
        <v>2856.8395975</v>
      </c>
      <c r="CQ18" s="33">
        <f t="shared" si="68"/>
        <v>2856.8395975</v>
      </c>
      <c r="CR18" s="35">
        <f t="shared" si="24"/>
        <v>530.2829966</v>
      </c>
      <c r="CU18" s="33">
        <f t="shared" si="47"/>
        <v>2855.4674775</v>
      </c>
      <c r="CV18" s="33">
        <f t="shared" si="70"/>
        <v>2855.4674775</v>
      </c>
      <c r="CW18" s="35">
        <f t="shared" si="25"/>
        <v>530.0283054</v>
      </c>
    </row>
    <row r="19" spans="1:101" ht="12.75">
      <c r="A19" s="19">
        <v>42095</v>
      </c>
      <c r="C19" s="35">
        <v>3935000</v>
      </c>
      <c r="D19" s="35">
        <v>857575</v>
      </c>
      <c r="E19" s="35">
        <f t="shared" si="0"/>
        <v>4792575</v>
      </c>
      <c r="F19" s="35">
        <v>159182</v>
      </c>
      <c r="H19" s="71">
        <f t="shared" si="48"/>
        <v>1393479.9075000002</v>
      </c>
      <c r="I19" s="51">
        <f t="shared" si="26"/>
        <v>303688.3180875</v>
      </c>
      <c r="J19" s="51">
        <f t="shared" si="71"/>
        <v>1697168.2255875003</v>
      </c>
      <c r="K19" s="51">
        <f t="shared" si="26"/>
        <v>56370.246159</v>
      </c>
      <c r="M19" s="33">
        <f t="shared" si="49"/>
        <v>216111.3805</v>
      </c>
      <c r="N19" s="33">
        <f t="shared" si="27"/>
        <v>47098.2762725</v>
      </c>
      <c r="O19" s="33">
        <f t="shared" si="28"/>
        <v>263209.6567725</v>
      </c>
      <c r="P19" s="35">
        <f t="shared" si="5"/>
        <v>8742.3231946</v>
      </c>
      <c r="R19" s="33">
        <f t="shared" si="50"/>
        <v>253476.96</v>
      </c>
      <c r="S19" s="51">
        <f t="shared" si="29"/>
        <v>55241.5512</v>
      </c>
      <c r="T19" s="51">
        <f t="shared" si="30"/>
        <v>308718.5112</v>
      </c>
      <c r="U19" s="35">
        <f t="shared" si="6"/>
        <v>10253.867712</v>
      </c>
      <c r="W19" s="33">
        <f t="shared" si="51"/>
        <v>17600.468</v>
      </c>
      <c r="X19" s="33">
        <f t="shared" si="31"/>
        <v>3835.76146</v>
      </c>
      <c r="Y19" s="33">
        <f t="shared" si="32"/>
        <v>21436.229460000002</v>
      </c>
      <c r="Z19" s="35">
        <f t="shared" si="7"/>
        <v>711.9892496</v>
      </c>
      <c r="AB19" s="51">
        <f t="shared" si="52"/>
        <v>14692.896499999999</v>
      </c>
      <c r="AC19" s="33">
        <f t="shared" si="33"/>
        <v>3202.0992925</v>
      </c>
      <c r="AD19" s="33">
        <f t="shared" si="1"/>
        <v>17894.995792499998</v>
      </c>
      <c r="AE19" s="35">
        <f t="shared" si="8"/>
        <v>594.3696698</v>
      </c>
      <c r="AG19" s="33">
        <f t="shared" si="53"/>
        <v>4633.4625</v>
      </c>
      <c r="AH19" s="33">
        <f t="shared" si="34"/>
        <v>1009.7945624999999</v>
      </c>
      <c r="AI19" s="33">
        <f t="shared" si="72"/>
        <v>5643.2570625</v>
      </c>
      <c r="AJ19" s="35">
        <f t="shared" si="9"/>
        <v>187.436805</v>
      </c>
      <c r="AL19" s="33">
        <f t="shared" si="54"/>
        <v>2217.766</v>
      </c>
      <c r="AM19" s="33">
        <f t="shared" si="35"/>
        <v>483.32927</v>
      </c>
      <c r="AN19" s="33">
        <f t="shared" si="10"/>
        <v>2701.0952700000003</v>
      </c>
      <c r="AO19" s="35">
        <f t="shared" si="11"/>
        <v>89.71497520000001</v>
      </c>
      <c r="AQ19" s="33">
        <f t="shared" si="55"/>
        <v>883.0140000000001</v>
      </c>
      <c r="AR19" s="33">
        <f t="shared" si="36"/>
        <v>192.43983</v>
      </c>
      <c r="AS19" s="33">
        <f t="shared" si="56"/>
        <v>1075.4538300000002</v>
      </c>
      <c r="AT19" s="35">
        <f t="shared" si="12"/>
        <v>35.7204408</v>
      </c>
      <c r="AV19" s="33">
        <f t="shared" si="57"/>
        <v>16053.225999999999</v>
      </c>
      <c r="AW19" s="33">
        <f t="shared" si="37"/>
        <v>3498.5629699999995</v>
      </c>
      <c r="AX19" s="33">
        <f t="shared" si="73"/>
        <v>19551.788969999998</v>
      </c>
      <c r="AY19" s="35">
        <f t="shared" si="13"/>
        <v>649.3988872</v>
      </c>
      <c r="BA19" s="51">
        <f t="shared" si="58"/>
        <v>21447.324</v>
      </c>
      <c r="BB19" s="51">
        <f t="shared" si="38"/>
        <v>4674.12678</v>
      </c>
      <c r="BC19" s="33">
        <f t="shared" si="14"/>
        <v>26121.45078</v>
      </c>
      <c r="BD19" s="35">
        <f t="shared" si="15"/>
        <v>867.6055728</v>
      </c>
      <c r="BF19" s="51">
        <f t="shared" si="59"/>
        <v>8315.048499999999</v>
      </c>
      <c r="BG19" s="51">
        <f t="shared" si="39"/>
        <v>1812.1417325</v>
      </c>
      <c r="BH19" s="33">
        <f t="shared" si="76"/>
        <v>10127.1902325</v>
      </c>
      <c r="BI19" s="35">
        <f t="shared" si="16"/>
        <v>336.36748420000004</v>
      </c>
      <c r="BK19" s="33">
        <f t="shared" si="60"/>
        <v>422223.13899999997</v>
      </c>
      <c r="BL19" s="33">
        <f t="shared" si="40"/>
        <v>92017.28295499999</v>
      </c>
      <c r="BM19" s="33">
        <f t="shared" si="17"/>
        <v>514240.42195499997</v>
      </c>
      <c r="BN19" s="35">
        <f t="shared" si="18"/>
        <v>17080.1330908</v>
      </c>
      <c r="BP19" s="33">
        <f t="shared" si="61"/>
        <v>3697.3260000000005</v>
      </c>
      <c r="BQ19" s="33">
        <f t="shared" si="41"/>
        <v>805.77747</v>
      </c>
      <c r="BR19" s="33">
        <f t="shared" si="77"/>
        <v>4503.10347</v>
      </c>
      <c r="BS19" s="35">
        <f t="shared" si="19"/>
        <v>149.5674072</v>
      </c>
      <c r="BU19" s="33">
        <f t="shared" si="62"/>
        <v>370021.03550000006</v>
      </c>
      <c r="BV19" s="33">
        <f t="shared" si="42"/>
        <v>80640.6072475</v>
      </c>
      <c r="BW19" s="33">
        <f t="shared" si="74"/>
        <v>450661.64274750004</v>
      </c>
      <c r="BX19" s="35">
        <f t="shared" si="20"/>
        <v>14968.4087606</v>
      </c>
      <c r="BZ19" s="33">
        <f t="shared" si="63"/>
        <v>1039.2334999999998</v>
      </c>
      <c r="CA19" s="33">
        <f t="shared" si="43"/>
        <v>226.4855575</v>
      </c>
      <c r="CB19" s="33">
        <f t="shared" si="64"/>
        <v>1265.7190574999997</v>
      </c>
      <c r="CC19" s="35">
        <f t="shared" si="21"/>
        <v>42.0399662</v>
      </c>
      <c r="CE19" s="33">
        <f t="shared" si="65"/>
        <v>81.848</v>
      </c>
      <c r="CF19" s="33">
        <f t="shared" si="44"/>
        <v>17.83756</v>
      </c>
      <c r="CG19" s="33">
        <f t="shared" si="75"/>
        <v>99.68556</v>
      </c>
      <c r="CH19" s="35">
        <f t="shared" si="22"/>
        <v>3.3109856</v>
      </c>
      <c r="CJ19" s="33">
        <f t="shared" si="66"/>
        <v>14774.744500000003</v>
      </c>
      <c r="CK19" s="33">
        <f t="shared" si="45"/>
        <v>3219.9368525000004</v>
      </c>
      <c r="CL19" s="33">
        <f t="shared" si="78"/>
        <v>17994.681352500003</v>
      </c>
      <c r="CM19" s="35">
        <f t="shared" si="23"/>
        <v>597.6806554</v>
      </c>
      <c r="CO19" s="33">
        <f t="shared" si="67"/>
        <v>13108.665499999997</v>
      </c>
      <c r="CP19" s="33">
        <f t="shared" si="46"/>
        <v>2856.8395975</v>
      </c>
      <c r="CQ19" s="33">
        <f t="shared" si="68"/>
        <v>15965.505097499998</v>
      </c>
      <c r="CR19" s="35">
        <f t="shared" si="24"/>
        <v>530.2829966</v>
      </c>
      <c r="CT19" s="33">
        <f t="shared" si="69"/>
        <v>13102.369499999999</v>
      </c>
      <c r="CU19" s="33">
        <f t="shared" si="47"/>
        <v>2855.4674775</v>
      </c>
      <c r="CV19" s="33">
        <f t="shared" si="70"/>
        <v>15957.8369775</v>
      </c>
      <c r="CW19" s="35">
        <f t="shared" si="25"/>
        <v>530.0283054</v>
      </c>
    </row>
    <row r="20" spans="1:101" ht="12.75">
      <c r="A20" s="19">
        <v>42278</v>
      </c>
      <c r="D20" s="35">
        <v>759200</v>
      </c>
      <c r="E20" s="35">
        <f t="shared" si="0"/>
        <v>759200</v>
      </c>
      <c r="F20" s="35">
        <v>159182</v>
      </c>
      <c r="H20" s="71"/>
      <c r="I20" s="51">
        <f t="shared" si="26"/>
        <v>268851.3204</v>
      </c>
      <c r="J20" s="51">
        <f t="shared" si="71"/>
        <v>268851.3204</v>
      </c>
      <c r="K20" s="51">
        <f t="shared" si="26"/>
        <v>56370.246159</v>
      </c>
      <c r="N20" s="33">
        <f t="shared" si="27"/>
        <v>41695.49176</v>
      </c>
      <c r="O20" s="33">
        <f t="shared" si="28"/>
        <v>41695.49176</v>
      </c>
      <c r="P20" s="35">
        <f t="shared" si="5"/>
        <v>8742.3231946</v>
      </c>
      <c r="S20" s="51">
        <f t="shared" si="29"/>
        <v>48904.627199999995</v>
      </c>
      <c r="T20" s="51">
        <f t="shared" si="30"/>
        <v>48904.627199999995</v>
      </c>
      <c r="U20" s="35">
        <f t="shared" si="6"/>
        <v>10253.867712</v>
      </c>
      <c r="X20" s="33">
        <f t="shared" si="31"/>
        <v>3395.74976</v>
      </c>
      <c r="Y20" s="33">
        <f t="shared" si="32"/>
        <v>3395.74976</v>
      </c>
      <c r="Z20" s="35">
        <f t="shared" si="7"/>
        <v>711.9892496</v>
      </c>
      <c r="AB20" s="51"/>
      <c r="AC20" s="33">
        <f t="shared" si="33"/>
        <v>2834.7768800000003</v>
      </c>
      <c r="AD20" s="33">
        <f t="shared" si="1"/>
        <v>2834.7768800000003</v>
      </c>
      <c r="AE20" s="35">
        <f t="shared" si="8"/>
        <v>594.3696698</v>
      </c>
      <c r="AH20" s="33">
        <f t="shared" si="34"/>
        <v>893.9579999999999</v>
      </c>
      <c r="AI20" s="33">
        <f t="shared" si="72"/>
        <v>893.9579999999999</v>
      </c>
      <c r="AJ20" s="35">
        <f t="shared" si="9"/>
        <v>187.436805</v>
      </c>
      <c r="AM20" s="33">
        <f t="shared" si="35"/>
        <v>427.88512000000003</v>
      </c>
      <c r="AN20" s="33">
        <f t="shared" si="10"/>
        <v>427.88512000000003</v>
      </c>
      <c r="AO20" s="35">
        <f t="shared" si="11"/>
        <v>89.71497520000001</v>
      </c>
      <c r="AR20" s="33">
        <f t="shared" si="36"/>
        <v>170.36448000000001</v>
      </c>
      <c r="AS20" s="33">
        <f t="shared" si="56"/>
        <v>170.36448000000001</v>
      </c>
      <c r="AT20" s="35">
        <f t="shared" si="12"/>
        <v>35.7204408</v>
      </c>
      <c r="AW20" s="33">
        <f t="shared" si="37"/>
        <v>3097.23232</v>
      </c>
      <c r="AX20" s="33">
        <f t="shared" si="73"/>
        <v>3097.23232</v>
      </c>
      <c r="AY20" s="35">
        <f t="shared" si="13"/>
        <v>649.3988872</v>
      </c>
      <c r="BA20" s="51"/>
      <c r="BB20" s="51">
        <f t="shared" si="38"/>
        <v>4137.943679999999</v>
      </c>
      <c r="BC20" s="33">
        <f t="shared" si="14"/>
        <v>4137.943679999999</v>
      </c>
      <c r="BD20" s="35">
        <f t="shared" si="15"/>
        <v>867.6055728</v>
      </c>
      <c r="BF20" s="51"/>
      <c r="BG20" s="51">
        <f t="shared" si="39"/>
        <v>1604.26552</v>
      </c>
      <c r="BH20" s="33">
        <f t="shared" si="76"/>
        <v>1604.26552</v>
      </c>
      <c r="BI20" s="35">
        <f t="shared" si="16"/>
        <v>336.36748420000004</v>
      </c>
      <c r="BL20" s="33">
        <f t="shared" si="40"/>
        <v>81461.70447999999</v>
      </c>
      <c r="BM20" s="33">
        <f t="shared" si="17"/>
        <v>81461.70447999999</v>
      </c>
      <c r="BN20" s="35">
        <f t="shared" si="18"/>
        <v>17080.1330908</v>
      </c>
      <c r="BQ20" s="33">
        <f t="shared" si="41"/>
        <v>713.34432</v>
      </c>
      <c r="BR20" s="33">
        <f t="shared" si="77"/>
        <v>713.34432</v>
      </c>
      <c r="BS20" s="35">
        <f t="shared" si="19"/>
        <v>149.5674072</v>
      </c>
      <c r="BV20" s="33">
        <f t="shared" si="42"/>
        <v>71390.08136</v>
      </c>
      <c r="BW20" s="33">
        <f t="shared" si="74"/>
        <v>71390.08136</v>
      </c>
      <c r="BX20" s="35">
        <f t="shared" si="20"/>
        <v>14968.4087606</v>
      </c>
      <c r="CA20" s="33">
        <f t="shared" si="43"/>
        <v>200.50472</v>
      </c>
      <c r="CB20" s="33">
        <f t="shared" si="64"/>
        <v>200.50472</v>
      </c>
      <c r="CC20" s="35">
        <f t="shared" si="21"/>
        <v>42.0399662</v>
      </c>
      <c r="CF20" s="33">
        <f t="shared" si="44"/>
        <v>15.79136</v>
      </c>
      <c r="CG20" s="33">
        <f t="shared" si="75"/>
        <v>15.79136</v>
      </c>
      <c r="CH20" s="35">
        <f t="shared" si="22"/>
        <v>3.3109856</v>
      </c>
      <c r="CK20" s="33">
        <f t="shared" si="45"/>
        <v>2850.56824</v>
      </c>
      <c r="CL20" s="33">
        <f t="shared" si="78"/>
        <v>2850.56824</v>
      </c>
      <c r="CM20" s="35">
        <f t="shared" si="23"/>
        <v>597.6806554</v>
      </c>
      <c r="CP20" s="33">
        <f t="shared" si="46"/>
        <v>2529.1229599999997</v>
      </c>
      <c r="CQ20" s="33">
        <f t="shared" si="68"/>
        <v>2529.1229599999997</v>
      </c>
      <c r="CR20" s="35">
        <f t="shared" si="24"/>
        <v>530.2829966</v>
      </c>
      <c r="CU20" s="33">
        <f t="shared" si="47"/>
        <v>2527.9082399999998</v>
      </c>
      <c r="CV20" s="33">
        <f t="shared" si="70"/>
        <v>2527.9082399999998</v>
      </c>
      <c r="CW20" s="35">
        <f t="shared" si="25"/>
        <v>530.0283054</v>
      </c>
    </row>
    <row r="21" spans="1:101" ht="12.75">
      <c r="A21" s="19">
        <v>42461</v>
      </c>
      <c r="C21" s="35">
        <v>4135000</v>
      </c>
      <c r="D21" s="35">
        <v>759200</v>
      </c>
      <c r="E21" s="35">
        <f t="shared" si="0"/>
        <v>4894200</v>
      </c>
      <c r="F21" s="35">
        <v>159182</v>
      </c>
      <c r="H21" s="71">
        <f t="shared" si="48"/>
        <v>1464304.8074999996</v>
      </c>
      <c r="I21" s="51">
        <f t="shared" si="26"/>
        <v>268851.3204</v>
      </c>
      <c r="J21" s="51">
        <f t="shared" si="71"/>
        <v>1733156.1278999997</v>
      </c>
      <c r="K21" s="51">
        <f t="shared" si="26"/>
        <v>56370.246159</v>
      </c>
      <c r="M21" s="33">
        <f t="shared" si="49"/>
        <v>227095.4405</v>
      </c>
      <c r="N21" s="33">
        <f t="shared" si="27"/>
        <v>41695.49176</v>
      </c>
      <c r="O21" s="33">
        <f t="shared" si="28"/>
        <v>268790.93226</v>
      </c>
      <c r="P21" s="35">
        <f t="shared" si="5"/>
        <v>8742.3231946</v>
      </c>
      <c r="R21" s="33">
        <f t="shared" si="50"/>
        <v>266360.16</v>
      </c>
      <c r="S21" s="51">
        <f t="shared" si="29"/>
        <v>48904.627199999995</v>
      </c>
      <c r="T21" s="51">
        <f t="shared" si="30"/>
        <v>315264.78719999996</v>
      </c>
      <c r="U21" s="35">
        <f t="shared" si="6"/>
        <v>10253.867712</v>
      </c>
      <c r="W21" s="33">
        <f t="shared" si="51"/>
        <v>18495.028000000002</v>
      </c>
      <c r="X21" s="33">
        <f t="shared" si="31"/>
        <v>3395.74976</v>
      </c>
      <c r="Y21" s="33">
        <f t="shared" si="32"/>
        <v>21890.77776</v>
      </c>
      <c r="Z21" s="35">
        <f t="shared" si="7"/>
        <v>711.9892496</v>
      </c>
      <c r="AB21" s="51">
        <f t="shared" si="52"/>
        <v>15439.6765</v>
      </c>
      <c r="AC21" s="33">
        <f t="shared" si="33"/>
        <v>2834.7768800000003</v>
      </c>
      <c r="AD21" s="33">
        <f t="shared" si="1"/>
        <v>18274.45338</v>
      </c>
      <c r="AE21" s="35">
        <f t="shared" si="8"/>
        <v>594.3696698</v>
      </c>
      <c r="AG21" s="33">
        <f t="shared" si="53"/>
        <v>4868.9625</v>
      </c>
      <c r="AH21" s="33">
        <f t="shared" si="34"/>
        <v>893.9579999999999</v>
      </c>
      <c r="AI21" s="33">
        <f t="shared" si="72"/>
        <v>5762.920499999999</v>
      </c>
      <c r="AJ21" s="35">
        <f t="shared" si="9"/>
        <v>187.436805</v>
      </c>
      <c r="AL21" s="33">
        <f t="shared" si="54"/>
        <v>2330.486</v>
      </c>
      <c r="AM21" s="33">
        <f t="shared" si="35"/>
        <v>427.88512000000003</v>
      </c>
      <c r="AN21" s="33">
        <f t="shared" si="10"/>
        <v>2758.37112</v>
      </c>
      <c r="AO21" s="35">
        <f t="shared" si="11"/>
        <v>89.71497520000001</v>
      </c>
      <c r="AQ21" s="33">
        <f t="shared" si="55"/>
        <v>927.8940000000001</v>
      </c>
      <c r="AR21" s="33">
        <f t="shared" si="36"/>
        <v>170.36448000000001</v>
      </c>
      <c r="AS21" s="33">
        <f t="shared" si="56"/>
        <v>1098.2584800000002</v>
      </c>
      <c r="AT21" s="35">
        <f t="shared" si="12"/>
        <v>35.7204408</v>
      </c>
      <c r="AV21" s="33">
        <f t="shared" si="57"/>
        <v>16869.145999999997</v>
      </c>
      <c r="AW21" s="33">
        <f t="shared" si="37"/>
        <v>3097.23232</v>
      </c>
      <c r="AX21" s="33">
        <f t="shared" si="73"/>
        <v>19966.378319999996</v>
      </c>
      <c r="AY21" s="35">
        <f t="shared" si="13"/>
        <v>649.3988872</v>
      </c>
      <c r="BA21" s="51">
        <f t="shared" si="58"/>
        <v>22537.404</v>
      </c>
      <c r="BB21" s="51">
        <f t="shared" si="38"/>
        <v>4137.943679999999</v>
      </c>
      <c r="BC21" s="33">
        <f t="shared" si="14"/>
        <v>26675.34768</v>
      </c>
      <c r="BD21" s="35">
        <f t="shared" si="15"/>
        <v>867.6055728</v>
      </c>
      <c r="BF21" s="51">
        <f t="shared" si="59"/>
        <v>8737.6685</v>
      </c>
      <c r="BG21" s="51">
        <f t="shared" si="39"/>
        <v>1604.26552</v>
      </c>
      <c r="BH21" s="33">
        <f t="shared" si="76"/>
        <v>10341.93402</v>
      </c>
      <c r="BI21" s="35">
        <f t="shared" si="16"/>
        <v>336.36748420000004</v>
      </c>
      <c r="BK21" s="33">
        <f t="shared" si="60"/>
        <v>443683.019</v>
      </c>
      <c r="BL21" s="33">
        <f t="shared" si="40"/>
        <v>81461.70447999999</v>
      </c>
      <c r="BM21" s="33">
        <f t="shared" si="17"/>
        <v>525144.7234799999</v>
      </c>
      <c r="BN21" s="35">
        <f t="shared" si="18"/>
        <v>17080.1330908</v>
      </c>
      <c r="BP21" s="33">
        <f t="shared" si="61"/>
        <v>3885.2460000000005</v>
      </c>
      <c r="BQ21" s="33">
        <f t="shared" si="41"/>
        <v>713.34432</v>
      </c>
      <c r="BR21" s="33">
        <f t="shared" si="77"/>
        <v>4598.59032</v>
      </c>
      <c r="BS21" s="35">
        <f t="shared" si="19"/>
        <v>149.5674072</v>
      </c>
      <c r="BU21" s="33">
        <f t="shared" si="62"/>
        <v>388827.69550000003</v>
      </c>
      <c r="BV21" s="33">
        <f t="shared" si="42"/>
        <v>71390.08136</v>
      </c>
      <c r="BW21" s="33">
        <f t="shared" si="74"/>
        <v>460217.77686000004</v>
      </c>
      <c r="BX21" s="35">
        <f t="shared" si="20"/>
        <v>14968.4087606</v>
      </c>
      <c r="BZ21" s="33">
        <f t="shared" si="63"/>
        <v>1092.0535</v>
      </c>
      <c r="CA21" s="33">
        <f t="shared" si="43"/>
        <v>200.50472</v>
      </c>
      <c r="CB21" s="33">
        <f t="shared" si="64"/>
        <v>1292.55822</v>
      </c>
      <c r="CC21" s="35">
        <f t="shared" si="21"/>
        <v>42.0399662</v>
      </c>
      <c r="CE21" s="33">
        <f t="shared" si="65"/>
        <v>86.008</v>
      </c>
      <c r="CF21" s="33">
        <f t="shared" si="44"/>
        <v>15.79136</v>
      </c>
      <c r="CG21" s="33">
        <f t="shared" si="75"/>
        <v>101.79936</v>
      </c>
      <c r="CH21" s="35">
        <f t="shared" si="22"/>
        <v>3.3109856</v>
      </c>
      <c r="CJ21" s="33">
        <f t="shared" si="66"/>
        <v>15525.684500000001</v>
      </c>
      <c r="CK21" s="33">
        <f t="shared" si="45"/>
        <v>2850.56824</v>
      </c>
      <c r="CL21" s="33">
        <f t="shared" si="78"/>
        <v>18376.25274</v>
      </c>
      <c r="CM21" s="35">
        <f t="shared" si="23"/>
        <v>597.6806554</v>
      </c>
      <c r="CO21" s="33">
        <f t="shared" si="67"/>
        <v>13774.925499999998</v>
      </c>
      <c r="CP21" s="33">
        <f t="shared" si="46"/>
        <v>2529.1229599999997</v>
      </c>
      <c r="CQ21" s="33">
        <f t="shared" si="68"/>
        <v>16304.048459999998</v>
      </c>
      <c r="CR21" s="35">
        <f t="shared" si="24"/>
        <v>530.2829966</v>
      </c>
      <c r="CT21" s="33">
        <f t="shared" si="69"/>
        <v>13768.3095</v>
      </c>
      <c r="CU21" s="33">
        <f t="shared" si="47"/>
        <v>2527.9082399999998</v>
      </c>
      <c r="CV21" s="33">
        <f t="shared" si="70"/>
        <v>16296.21774</v>
      </c>
      <c r="CW21" s="35">
        <f t="shared" si="25"/>
        <v>530.0283054</v>
      </c>
    </row>
    <row r="22" spans="1:101" ht="12.75">
      <c r="A22" s="19">
        <v>42644</v>
      </c>
      <c r="D22" s="35">
        <v>655825</v>
      </c>
      <c r="E22" s="35">
        <f t="shared" si="0"/>
        <v>655825</v>
      </c>
      <c r="F22" s="35">
        <v>159182</v>
      </c>
      <c r="H22" s="71"/>
      <c r="I22" s="51">
        <f t="shared" si="26"/>
        <v>232243.7002125</v>
      </c>
      <c r="J22" s="51">
        <f t="shared" si="71"/>
        <v>232243.7002125</v>
      </c>
      <c r="K22" s="51">
        <f t="shared" si="26"/>
        <v>56370.246159</v>
      </c>
      <c r="N22" s="33">
        <f t="shared" si="27"/>
        <v>36018.1057475</v>
      </c>
      <c r="O22" s="33">
        <f t="shared" si="28"/>
        <v>36018.1057475</v>
      </c>
      <c r="P22" s="35">
        <f t="shared" si="5"/>
        <v>8742.3231946</v>
      </c>
      <c r="S22" s="51">
        <f t="shared" si="29"/>
        <v>42245.6232</v>
      </c>
      <c r="T22" s="51">
        <f t="shared" si="30"/>
        <v>42245.6232</v>
      </c>
      <c r="U22" s="35">
        <f t="shared" si="6"/>
        <v>10253.867712</v>
      </c>
      <c r="X22" s="33">
        <f t="shared" si="31"/>
        <v>2933.37406</v>
      </c>
      <c r="Y22" s="33">
        <f t="shared" si="32"/>
        <v>2933.37406</v>
      </c>
      <c r="Z22" s="35">
        <f t="shared" si="7"/>
        <v>711.9892496</v>
      </c>
      <c r="AB22" s="51"/>
      <c r="AC22" s="33">
        <f t="shared" si="33"/>
        <v>2448.7849674999998</v>
      </c>
      <c r="AD22" s="33">
        <f t="shared" si="1"/>
        <v>2448.7849674999998</v>
      </c>
      <c r="AE22" s="35">
        <f t="shared" si="8"/>
        <v>594.3696698</v>
      </c>
      <c r="AH22" s="33">
        <f t="shared" si="34"/>
        <v>772.2339375</v>
      </c>
      <c r="AI22" s="33">
        <f t="shared" si="72"/>
        <v>772.2339375</v>
      </c>
      <c r="AJ22" s="35">
        <f t="shared" si="9"/>
        <v>187.436805</v>
      </c>
      <c r="AM22" s="33">
        <f t="shared" si="35"/>
        <v>369.62297</v>
      </c>
      <c r="AN22" s="33">
        <f t="shared" si="10"/>
        <v>369.62297</v>
      </c>
      <c r="AO22" s="35">
        <f t="shared" si="11"/>
        <v>89.71497520000001</v>
      </c>
      <c r="AR22" s="33">
        <f t="shared" si="36"/>
        <v>147.16713000000001</v>
      </c>
      <c r="AS22" s="33">
        <f t="shared" si="56"/>
        <v>147.16713000000001</v>
      </c>
      <c r="AT22" s="35">
        <f t="shared" si="12"/>
        <v>35.7204408</v>
      </c>
      <c r="AW22" s="33">
        <f t="shared" si="37"/>
        <v>2675.5036699999996</v>
      </c>
      <c r="AX22" s="33">
        <f t="shared" si="73"/>
        <v>2675.5036699999996</v>
      </c>
      <c r="AY22" s="35">
        <f t="shared" si="13"/>
        <v>649.3988872</v>
      </c>
      <c r="BA22" s="51"/>
      <c r="BB22" s="51">
        <f t="shared" si="38"/>
        <v>3574.50858</v>
      </c>
      <c r="BC22" s="33">
        <f t="shared" si="14"/>
        <v>3574.50858</v>
      </c>
      <c r="BD22" s="35">
        <f t="shared" si="15"/>
        <v>867.6055728</v>
      </c>
      <c r="BF22" s="51"/>
      <c r="BG22" s="51">
        <f t="shared" si="39"/>
        <v>1385.8238075000002</v>
      </c>
      <c r="BH22" s="33">
        <f t="shared" si="76"/>
        <v>1385.8238075000002</v>
      </c>
      <c r="BI22" s="35">
        <f t="shared" si="16"/>
        <v>336.36748420000004</v>
      </c>
      <c r="BL22" s="33">
        <f t="shared" si="40"/>
        <v>70369.629005</v>
      </c>
      <c r="BM22" s="33">
        <f t="shared" si="17"/>
        <v>70369.629005</v>
      </c>
      <c r="BN22" s="35">
        <f t="shared" si="18"/>
        <v>17080.1330908</v>
      </c>
      <c r="BQ22" s="33">
        <f t="shared" si="41"/>
        <v>616.21317</v>
      </c>
      <c r="BR22" s="33">
        <f t="shared" si="77"/>
        <v>616.21317</v>
      </c>
      <c r="BS22" s="35">
        <f t="shared" si="19"/>
        <v>149.5674072</v>
      </c>
      <c r="BV22" s="33">
        <f t="shared" si="42"/>
        <v>61669.388972500004</v>
      </c>
      <c r="BW22" s="33">
        <f t="shared" si="74"/>
        <v>61669.388972500004</v>
      </c>
      <c r="BX22" s="35">
        <f t="shared" si="20"/>
        <v>14968.4087606</v>
      </c>
      <c r="CA22" s="33">
        <f t="shared" si="43"/>
        <v>173.2033825</v>
      </c>
      <c r="CB22" s="33">
        <f t="shared" si="64"/>
        <v>173.2033825</v>
      </c>
      <c r="CC22" s="35">
        <f t="shared" si="21"/>
        <v>42.0399662</v>
      </c>
      <c r="CF22" s="33">
        <f t="shared" si="44"/>
        <v>13.64116</v>
      </c>
      <c r="CG22" s="33">
        <f t="shared" si="75"/>
        <v>13.64116</v>
      </c>
      <c r="CH22" s="35">
        <f t="shared" si="22"/>
        <v>3.3109856</v>
      </c>
      <c r="CK22" s="33">
        <f t="shared" si="45"/>
        <v>2462.4261275000003</v>
      </c>
      <c r="CL22" s="33">
        <f t="shared" si="78"/>
        <v>2462.4261275000003</v>
      </c>
      <c r="CM22" s="35">
        <f t="shared" si="23"/>
        <v>597.6806554</v>
      </c>
      <c r="CP22" s="33">
        <f t="shared" si="46"/>
        <v>2184.7498225</v>
      </c>
      <c r="CQ22" s="33">
        <f t="shared" si="68"/>
        <v>2184.7498225</v>
      </c>
      <c r="CR22" s="35">
        <f t="shared" si="24"/>
        <v>530.2829966</v>
      </c>
      <c r="CU22" s="33">
        <f t="shared" si="47"/>
        <v>2183.7005025</v>
      </c>
      <c r="CV22" s="33">
        <f t="shared" si="70"/>
        <v>2183.7005025</v>
      </c>
      <c r="CW22" s="35">
        <f t="shared" si="25"/>
        <v>530.0283054</v>
      </c>
    </row>
    <row r="23" spans="1:101" ht="12.75">
      <c r="A23" s="19">
        <v>42826</v>
      </c>
      <c r="C23" s="35">
        <v>4340000</v>
      </c>
      <c r="D23" s="35">
        <v>655825</v>
      </c>
      <c r="E23" s="35">
        <f t="shared" si="0"/>
        <v>4995825</v>
      </c>
      <c r="F23" s="35">
        <v>159182</v>
      </c>
      <c r="H23" s="71">
        <f t="shared" si="48"/>
        <v>1536900.3300000003</v>
      </c>
      <c r="I23" s="51">
        <f t="shared" si="26"/>
        <v>232243.7002125</v>
      </c>
      <c r="J23" s="51">
        <f t="shared" si="71"/>
        <v>1769144.0302125004</v>
      </c>
      <c r="K23" s="51">
        <f t="shared" si="26"/>
        <v>56370.246159</v>
      </c>
      <c r="M23" s="33">
        <f t="shared" si="49"/>
        <v>238354.10199999998</v>
      </c>
      <c r="N23" s="33">
        <f t="shared" si="27"/>
        <v>36018.1057475</v>
      </c>
      <c r="O23" s="33">
        <f t="shared" si="28"/>
        <v>274372.2077475</v>
      </c>
      <c r="P23" s="35">
        <f t="shared" si="5"/>
        <v>8742.3231946</v>
      </c>
      <c r="R23" s="33">
        <f t="shared" si="50"/>
        <v>279565.44</v>
      </c>
      <c r="S23" s="51">
        <f t="shared" si="29"/>
        <v>42245.6232</v>
      </c>
      <c r="T23" s="51">
        <f t="shared" si="30"/>
        <v>321811.0632</v>
      </c>
      <c r="U23" s="35">
        <f t="shared" si="6"/>
        <v>10253.867712</v>
      </c>
      <c r="W23" s="33">
        <f t="shared" si="51"/>
        <v>19411.952</v>
      </c>
      <c r="X23" s="33">
        <f t="shared" si="31"/>
        <v>2933.37406</v>
      </c>
      <c r="Y23" s="33">
        <f t="shared" si="32"/>
        <v>22345.32606</v>
      </c>
      <c r="Z23" s="35">
        <f t="shared" si="7"/>
        <v>711.9892496</v>
      </c>
      <c r="AB23" s="51">
        <f t="shared" si="52"/>
        <v>16205.126</v>
      </c>
      <c r="AC23" s="33">
        <f t="shared" si="33"/>
        <v>2448.7849674999998</v>
      </c>
      <c r="AD23" s="33">
        <f t="shared" si="1"/>
        <v>18653.9109675</v>
      </c>
      <c r="AE23" s="35">
        <f t="shared" si="8"/>
        <v>594.3696698</v>
      </c>
      <c r="AG23" s="33">
        <f t="shared" si="53"/>
        <v>5110.35</v>
      </c>
      <c r="AH23" s="33">
        <f t="shared" si="34"/>
        <v>772.2339375</v>
      </c>
      <c r="AI23" s="33">
        <f t="shared" si="72"/>
        <v>5882.5839375000005</v>
      </c>
      <c r="AJ23" s="35">
        <f t="shared" si="9"/>
        <v>187.436805</v>
      </c>
      <c r="AL23" s="33">
        <f t="shared" si="54"/>
        <v>2446.024</v>
      </c>
      <c r="AM23" s="33">
        <f t="shared" si="35"/>
        <v>369.62297</v>
      </c>
      <c r="AN23" s="33">
        <f t="shared" si="10"/>
        <v>2815.64697</v>
      </c>
      <c r="AO23" s="35">
        <f t="shared" si="11"/>
        <v>89.71497520000001</v>
      </c>
      <c r="AQ23" s="33">
        <f t="shared" si="55"/>
        <v>973.8960000000001</v>
      </c>
      <c r="AR23" s="33">
        <f t="shared" si="36"/>
        <v>147.16713000000001</v>
      </c>
      <c r="AS23" s="33">
        <f t="shared" si="56"/>
        <v>1121.06313</v>
      </c>
      <c r="AT23" s="35">
        <f t="shared" si="12"/>
        <v>35.7204408</v>
      </c>
      <c r="AV23" s="33">
        <f t="shared" si="57"/>
        <v>17705.464</v>
      </c>
      <c r="AW23" s="33">
        <f t="shared" si="37"/>
        <v>2675.5036699999996</v>
      </c>
      <c r="AX23" s="33">
        <f t="shared" si="73"/>
        <v>20380.967669999998</v>
      </c>
      <c r="AY23" s="35">
        <f t="shared" si="13"/>
        <v>649.3988872</v>
      </c>
      <c r="BA23" s="51">
        <f t="shared" si="58"/>
        <v>23654.736</v>
      </c>
      <c r="BB23" s="51">
        <f t="shared" si="38"/>
        <v>3574.50858</v>
      </c>
      <c r="BC23" s="33">
        <f t="shared" si="14"/>
        <v>27229.244580000002</v>
      </c>
      <c r="BD23" s="35">
        <f t="shared" si="15"/>
        <v>867.6055728</v>
      </c>
      <c r="BF23" s="51">
        <f t="shared" si="59"/>
        <v>9170.854</v>
      </c>
      <c r="BG23" s="51">
        <f t="shared" si="39"/>
        <v>1385.8238075000002</v>
      </c>
      <c r="BH23" s="33">
        <f t="shared" si="76"/>
        <v>10556.6778075</v>
      </c>
      <c r="BI23" s="35">
        <f t="shared" si="16"/>
        <v>336.36748420000004</v>
      </c>
      <c r="BK23" s="33">
        <f t="shared" si="60"/>
        <v>465679.39599999995</v>
      </c>
      <c r="BL23" s="33">
        <f t="shared" si="40"/>
        <v>70369.629005</v>
      </c>
      <c r="BM23" s="33">
        <f t="shared" si="17"/>
        <v>536049.025005</v>
      </c>
      <c r="BN23" s="35">
        <f t="shared" si="18"/>
        <v>17080.1330908</v>
      </c>
      <c r="BP23" s="33">
        <f t="shared" si="61"/>
        <v>4077.864</v>
      </c>
      <c r="BQ23" s="33">
        <f t="shared" si="41"/>
        <v>616.21317</v>
      </c>
      <c r="BR23" s="33">
        <f t="shared" si="77"/>
        <v>4694.0771700000005</v>
      </c>
      <c r="BS23" s="35">
        <f t="shared" si="19"/>
        <v>149.5674072</v>
      </c>
      <c r="BU23" s="33">
        <f t="shared" si="62"/>
        <v>408104.52200000006</v>
      </c>
      <c r="BV23" s="33">
        <f t="shared" si="42"/>
        <v>61669.388972500004</v>
      </c>
      <c r="BW23" s="33">
        <f t="shared" si="74"/>
        <v>469773.91097250005</v>
      </c>
      <c r="BX23" s="35">
        <f t="shared" si="20"/>
        <v>14968.4087606</v>
      </c>
      <c r="BZ23" s="33">
        <f t="shared" si="63"/>
        <v>1146.194</v>
      </c>
      <c r="CA23" s="33">
        <f t="shared" si="43"/>
        <v>173.2033825</v>
      </c>
      <c r="CB23" s="33">
        <f t="shared" si="64"/>
        <v>1319.3973825</v>
      </c>
      <c r="CC23" s="35">
        <f t="shared" si="21"/>
        <v>42.0399662</v>
      </c>
      <c r="CE23" s="33">
        <f t="shared" si="65"/>
        <v>90.27199999999999</v>
      </c>
      <c r="CF23" s="33">
        <f t="shared" si="44"/>
        <v>13.64116</v>
      </c>
      <c r="CG23" s="33">
        <f t="shared" si="75"/>
        <v>103.91315999999999</v>
      </c>
      <c r="CH23" s="35">
        <f t="shared" si="22"/>
        <v>3.3109856</v>
      </c>
      <c r="CJ23" s="33">
        <f t="shared" si="66"/>
        <v>16295.398000000001</v>
      </c>
      <c r="CK23" s="33">
        <f t="shared" si="45"/>
        <v>2462.4261275000003</v>
      </c>
      <c r="CL23" s="33">
        <f t="shared" si="78"/>
        <v>18757.8241275</v>
      </c>
      <c r="CM23" s="35">
        <f t="shared" si="23"/>
        <v>597.6806554</v>
      </c>
      <c r="CO23" s="33">
        <f t="shared" si="67"/>
        <v>14457.841999999999</v>
      </c>
      <c r="CP23" s="33">
        <f t="shared" si="46"/>
        <v>2184.7498225</v>
      </c>
      <c r="CQ23" s="33">
        <f t="shared" si="68"/>
        <v>16642.5918225</v>
      </c>
      <c r="CR23" s="35">
        <f t="shared" si="24"/>
        <v>530.2829966</v>
      </c>
      <c r="CT23" s="33">
        <f t="shared" si="69"/>
        <v>14450.898000000001</v>
      </c>
      <c r="CU23" s="33">
        <f t="shared" si="47"/>
        <v>2183.7005025</v>
      </c>
      <c r="CV23" s="33">
        <f t="shared" si="70"/>
        <v>16634.5985025</v>
      </c>
      <c r="CW23" s="35">
        <f t="shared" si="25"/>
        <v>530.0283054</v>
      </c>
    </row>
    <row r="24" spans="1:101" ht="12.75">
      <c r="A24" s="19">
        <v>43009</v>
      </c>
      <c r="B24" s="27"/>
      <c r="D24" s="35">
        <v>547325</v>
      </c>
      <c r="E24" s="35">
        <f t="shared" si="0"/>
        <v>547325</v>
      </c>
      <c r="F24" s="35">
        <v>159182</v>
      </c>
      <c r="H24" s="71"/>
      <c r="I24" s="51">
        <f t="shared" si="26"/>
        <v>193821.1919625</v>
      </c>
      <c r="J24" s="51">
        <f t="shared" si="71"/>
        <v>193821.1919625</v>
      </c>
      <c r="K24" s="51">
        <f t="shared" si="26"/>
        <v>56370.246159</v>
      </c>
      <c r="N24" s="33">
        <f t="shared" si="27"/>
        <v>30059.2531975</v>
      </c>
      <c r="O24" s="33">
        <f t="shared" si="28"/>
        <v>30059.2531975</v>
      </c>
      <c r="P24" s="35">
        <f t="shared" si="5"/>
        <v>8742.3231946</v>
      </c>
      <c r="S24" s="51">
        <f t="shared" si="29"/>
        <v>35256.4872</v>
      </c>
      <c r="T24" s="51">
        <f t="shared" si="30"/>
        <v>35256.4872</v>
      </c>
      <c r="U24" s="35">
        <f t="shared" si="6"/>
        <v>10253.867712</v>
      </c>
      <c r="X24" s="33">
        <f t="shared" si="31"/>
        <v>2448.07526</v>
      </c>
      <c r="Y24" s="33">
        <f t="shared" si="32"/>
        <v>2448.07526</v>
      </c>
      <c r="Z24" s="35">
        <f t="shared" si="7"/>
        <v>711.9892496</v>
      </c>
      <c r="AB24" s="51"/>
      <c r="AC24" s="33">
        <f t="shared" si="33"/>
        <v>2043.6568175</v>
      </c>
      <c r="AD24" s="33">
        <f t="shared" si="1"/>
        <v>2043.6568175</v>
      </c>
      <c r="AE24" s="35">
        <f t="shared" si="8"/>
        <v>594.3696698</v>
      </c>
      <c r="AH24" s="33">
        <f t="shared" si="34"/>
        <v>644.4751875</v>
      </c>
      <c r="AI24" s="33">
        <f t="shared" si="72"/>
        <v>644.4751875</v>
      </c>
      <c r="AJ24" s="35">
        <f t="shared" si="9"/>
        <v>187.436805</v>
      </c>
      <c r="AM24" s="33">
        <f t="shared" si="35"/>
        <v>308.47237</v>
      </c>
      <c r="AN24" s="33">
        <f t="shared" si="10"/>
        <v>308.47237</v>
      </c>
      <c r="AO24" s="35">
        <f t="shared" si="11"/>
        <v>89.71497520000001</v>
      </c>
      <c r="AR24" s="33">
        <f t="shared" si="36"/>
        <v>122.81973000000002</v>
      </c>
      <c r="AS24" s="33">
        <f t="shared" si="56"/>
        <v>122.81973000000002</v>
      </c>
      <c r="AT24" s="35">
        <f t="shared" si="12"/>
        <v>35.7204408</v>
      </c>
      <c r="AW24" s="33">
        <f t="shared" si="37"/>
        <v>2232.86707</v>
      </c>
      <c r="AX24" s="33">
        <f t="shared" si="73"/>
        <v>2232.86707</v>
      </c>
      <c r="AY24" s="35">
        <f t="shared" si="13"/>
        <v>649.3988872</v>
      </c>
      <c r="BA24" s="51"/>
      <c r="BB24" s="51">
        <f t="shared" si="38"/>
        <v>2983.14018</v>
      </c>
      <c r="BC24" s="33">
        <f t="shared" si="14"/>
        <v>2983.14018</v>
      </c>
      <c r="BD24" s="35">
        <f t="shared" si="15"/>
        <v>867.6055728</v>
      </c>
      <c r="BF24" s="51"/>
      <c r="BG24" s="51">
        <f t="shared" si="39"/>
        <v>1156.5524575</v>
      </c>
      <c r="BH24" s="33">
        <f t="shared" si="76"/>
        <v>1156.5524575</v>
      </c>
      <c r="BI24" s="35">
        <f t="shared" si="16"/>
        <v>336.36748420000004</v>
      </c>
      <c r="BL24" s="33">
        <f t="shared" si="40"/>
        <v>58727.64410499999</v>
      </c>
      <c r="BM24" s="33">
        <f t="shared" si="17"/>
        <v>58727.64410499999</v>
      </c>
      <c r="BN24" s="35">
        <f t="shared" si="18"/>
        <v>17080.1330908</v>
      </c>
      <c r="BQ24" s="33">
        <f t="shared" si="41"/>
        <v>514.26657</v>
      </c>
      <c r="BR24" s="33">
        <f t="shared" si="77"/>
        <v>514.26657</v>
      </c>
      <c r="BS24" s="35">
        <f t="shared" si="19"/>
        <v>149.5674072</v>
      </c>
      <c r="BV24" s="33">
        <f t="shared" si="42"/>
        <v>51466.775922500005</v>
      </c>
      <c r="BW24" s="33">
        <f t="shared" si="74"/>
        <v>51466.775922500005</v>
      </c>
      <c r="BX24" s="35">
        <f t="shared" si="20"/>
        <v>14968.4087606</v>
      </c>
      <c r="CA24" s="33">
        <f t="shared" si="43"/>
        <v>144.5485325</v>
      </c>
      <c r="CB24" s="33">
        <f t="shared" si="64"/>
        <v>144.5485325</v>
      </c>
      <c r="CC24" s="35">
        <f t="shared" si="21"/>
        <v>42.0399662</v>
      </c>
      <c r="CF24" s="33">
        <f t="shared" si="44"/>
        <v>11.38436</v>
      </c>
      <c r="CG24" s="33">
        <f t="shared" si="75"/>
        <v>11.38436</v>
      </c>
      <c r="CH24" s="35">
        <f t="shared" si="22"/>
        <v>3.3109856</v>
      </c>
      <c r="CK24" s="33">
        <f t="shared" si="45"/>
        <v>2055.0411775000002</v>
      </c>
      <c r="CL24" s="33">
        <f t="shared" si="78"/>
        <v>2055.0411775000002</v>
      </c>
      <c r="CM24" s="35">
        <f t="shared" si="23"/>
        <v>597.6806554</v>
      </c>
      <c r="CP24" s="33">
        <f t="shared" si="46"/>
        <v>1823.3037725</v>
      </c>
      <c r="CQ24" s="33">
        <f t="shared" si="68"/>
        <v>1823.3037725</v>
      </c>
      <c r="CR24" s="35">
        <f t="shared" si="24"/>
        <v>530.2829966</v>
      </c>
      <c r="CU24" s="33">
        <f t="shared" si="47"/>
        <v>1822.4280525000001</v>
      </c>
      <c r="CV24" s="33">
        <f t="shared" si="70"/>
        <v>1822.4280525000001</v>
      </c>
      <c r="CW24" s="35">
        <f t="shared" si="25"/>
        <v>530.0283054</v>
      </c>
    </row>
    <row r="25" spans="1:101" ht="12.75">
      <c r="A25" s="19">
        <v>43191</v>
      </c>
      <c r="C25" s="35">
        <v>4560000</v>
      </c>
      <c r="D25" s="35">
        <v>547325</v>
      </c>
      <c r="E25" s="35">
        <f t="shared" si="0"/>
        <v>5107325</v>
      </c>
      <c r="F25" s="35">
        <v>159182</v>
      </c>
      <c r="H25" s="71">
        <f t="shared" si="48"/>
        <v>1614807.72</v>
      </c>
      <c r="I25" s="51">
        <f t="shared" si="26"/>
        <v>193821.1919625</v>
      </c>
      <c r="J25" s="51">
        <f t="shared" si="71"/>
        <v>1808628.9119624998</v>
      </c>
      <c r="K25" s="51">
        <f t="shared" si="26"/>
        <v>56370.246159</v>
      </c>
      <c r="M25" s="33">
        <f t="shared" si="49"/>
        <v>250436.56799999997</v>
      </c>
      <c r="N25" s="33">
        <f t="shared" si="27"/>
        <v>30059.2531975</v>
      </c>
      <c r="O25" s="33">
        <f t="shared" si="28"/>
        <v>280495.8211975</v>
      </c>
      <c r="P25" s="35">
        <f t="shared" si="5"/>
        <v>8742.3231946</v>
      </c>
      <c r="R25" s="33">
        <f t="shared" si="50"/>
        <v>293736.96</v>
      </c>
      <c r="S25" s="51">
        <f t="shared" si="29"/>
        <v>35256.4872</v>
      </c>
      <c r="T25" s="51">
        <f t="shared" si="30"/>
        <v>328993.44720000005</v>
      </c>
      <c r="U25" s="35">
        <f t="shared" si="6"/>
        <v>10253.867712</v>
      </c>
      <c r="W25" s="33">
        <f t="shared" si="51"/>
        <v>20395.968</v>
      </c>
      <c r="X25" s="33">
        <f t="shared" si="31"/>
        <v>2448.07526</v>
      </c>
      <c r="Y25" s="33">
        <f t="shared" si="32"/>
        <v>22844.043260000002</v>
      </c>
      <c r="Z25" s="35">
        <f t="shared" si="7"/>
        <v>711.9892496</v>
      </c>
      <c r="AB25" s="51">
        <f t="shared" si="52"/>
        <v>17026.584</v>
      </c>
      <c r="AC25" s="33">
        <f t="shared" si="33"/>
        <v>2043.6568175</v>
      </c>
      <c r="AD25" s="33">
        <f t="shared" si="1"/>
        <v>19070.2408175</v>
      </c>
      <c r="AE25" s="35">
        <f t="shared" si="8"/>
        <v>594.3696698</v>
      </c>
      <c r="AG25" s="33">
        <f t="shared" si="53"/>
        <v>5369.4</v>
      </c>
      <c r="AH25" s="33">
        <f t="shared" si="34"/>
        <v>644.4751875</v>
      </c>
      <c r="AI25" s="33">
        <f t="shared" si="72"/>
        <v>6013.8751875</v>
      </c>
      <c r="AJ25" s="35">
        <f t="shared" si="9"/>
        <v>187.436805</v>
      </c>
      <c r="AL25" s="33">
        <f t="shared" si="54"/>
        <v>2570.016</v>
      </c>
      <c r="AM25" s="33">
        <f t="shared" si="35"/>
        <v>308.47237</v>
      </c>
      <c r="AN25" s="33">
        <f t="shared" si="10"/>
        <v>2878.48837</v>
      </c>
      <c r="AO25" s="35">
        <f t="shared" si="11"/>
        <v>89.71497520000001</v>
      </c>
      <c r="AQ25" s="33">
        <f t="shared" si="55"/>
        <v>1023.2640000000001</v>
      </c>
      <c r="AR25" s="33">
        <f t="shared" si="36"/>
        <v>122.81973000000002</v>
      </c>
      <c r="AS25" s="33">
        <f t="shared" si="56"/>
        <v>1146.08373</v>
      </c>
      <c r="AT25" s="35">
        <f t="shared" si="12"/>
        <v>35.7204408</v>
      </c>
      <c r="AV25" s="33">
        <f t="shared" si="57"/>
        <v>18602.976</v>
      </c>
      <c r="AW25" s="33">
        <f t="shared" si="37"/>
        <v>2232.86707</v>
      </c>
      <c r="AX25" s="33">
        <f t="shared" si="73"/>
        <v>20835.84307</v>
      </c>
      <c r="AY25" s="35">
        <f t="shared" si="13"/>
        <v>649.3988872</v>
      </c>
      <c r="BA25" s="51">
        <f t="shared" si="58"/>
        <v>24853.824</v>
      </c>
      <c r="BB25" s="51">
        <f t="shared" si="38"/>
        <v>2983.14018</v>
      </c>
      <c r="BC25" s="33">
        <f t="shared" si="14"/>
        <v>27836.96418</v>
      </c>
      <c r="BD25" s="35">
        <f t="shared" si="15"/>
        <v>867.6055728</v>
      </c>
      <c r="BF25" s="51">
        <f t="shared" si="59"/>
        <v>9635.735999999999</v>
      </c>
      <c r="BG25" s="51">
        <f t="shared" si="39"/>
        <v>1156.5524575</v>
      </c>
      <c r="BH25" s="33">
        <f t="shared" si="76"/>
        <v>10792.288457499999</v>
      </c>
      <c r="BI25" s="35">
        <f t="shared" si="16"/>
        <v>336.36748420000004</v>
      </c>
      <c r="BK25" s="33">
        <f t="shared" si="60"/>
        <v>489285.26399999997</v>
      </c>
      <c r="BL25" s="33">
        <f t="shared" si="40"/>
        <v>58727.64410499999</v>
      </c>
      <c r="BM25" s="33">
        <f t="shared" si="17"/>
        <v>548012.9081049999</v>
      </c>
      <c r="BN25" s="35">
        <f t="shared" si="18"/>
        <v>17080.1330908</v>
      </c>
      <c r="BP25" s="33">
        <f t="shared" si="61"/>
        <v>4284.576</v>
      </c>
      <c r="BQ25" s="33">
        <f t="shared" si="41"/>
        <v>514.26657</v>
      </c>
      <c r="BR25" s="33">
        <f t="shared" si="77"/>
        <v>4798.84257</v>
      </c>
      <c r="BS25" s="35">
        <f t="shared" si="19"/>
        <v>149.5674072</v>
      </c>
      <c r="BU25" s="33">
        <f t="shared" si="62"/>
        <v>428791.84800000006</v>
      </c>
      <c r="BV25" s="33">
        <f t="shared" si="42"/>
        <v>51466.775922500005</v>
      </c>
      <c r="BW25" s="33">
        <f t="shared" si="74"/>
        <v>480258.62392250006</v>
      </c>
      <c r="BX25" s="35">
        <f t="shared" si="20"/>
        <v>14968.4087606</v>
      </c>
      <c r="BZ25" s="33">
        <f t="shared" si="63"/>
        <v>1204.2959999999998</v>
      </c>
      <c r="CA25" s="33">
        <f t="shared" si="43"/>
        <v>144.5485325</v>
      </c>
      <c r="CB25" s="33">
        <f t="shared" si="64"/>
        <v>1348.8445324999998</v>
      </c>
      <c r="CC25" s="35">
        <f t="shared" si="21"/>
        <v>42.0399662</v>
      </c>
      <c r="CE25" s="33">
        <f t="shared" si="65"/>
        <v>94.848</v>
      </c>
      <c r="CF25" s="33">
        <f t="shared" si="44"/>
        <v>11.38436</v>
      </c>
      <c r="CG25" s="33">
        <f t="shared" si="75"/>
        <v>106.23236</v>
      </c>
      <c r="CH25" s="35">
        <f t="shared" si="22"/>
        <v>3.3109856</v>
      </c>
      <c r="CJ25" s="33">
        <f t="shared" si="66"/>
        <v>17121.432</v>
      </c>
      <c r="CK25" s="33">
        <f t="shared" si="45"/>
        <v>2055.0411775000002</v>
      </c>
      <c r="CL25" s="33">
        <f t="shared" si="78"/>
        <v>19176.4731775</v>
      </c>
      <c r="CM25" s="35">
        <f t="shared" si="23"/>
        <v>597.6806554</v>
      </c>
      <c r="CO25" s="33">
        <f t="shared" si="67"/>
        <v>15190.727999999997</v>
      </c>
      <c r="CP25" s="33">
        <f t="shared" si="46"/>
        <v>1823.3037725</v>
      </c>
      <c r="CQ25" s="33">
        <f t="shared" si="68"/>
        <v>17014.0317725</v>
      </c>
      <c r="CR25" s="35">
        <f t="shared" si="24"/>
        <v>530.2829966</v>
      </c>
      <c r="CT25" s="33">
        <f t="shared" si="69"/>
        <v>15183.431999999999</v>
      </c>
      <c r="CU25" s="33">
        <f t="shared" si="47"/>
        <v>1822.4280525000001</v>
      </c>
      <c r="CV25" s="33">
        <f t="shared" si="70"/>
        <v>17005.8600525</v>
      </c>
      <c r="CW25" s="35">
        <f t="shared" si="25"/>
        <v>530.0283054</v>
      </c>
    </row>
    <row r="26" spans="1:101" ht="12.75">
      <c r="A26" s="19">
        <v>43374</v>
      </c>
      <c r="D26" s="35">
        <v>433325</v>
      </c>
      <c r="E26" s="35">
        <f t="shared" si="0"/>
        <v>433325</v>
      </c>
      <c r="F26" s="35">
        <v>159182</v>
      </c>
      <c r="H26" s="71"/>
      <c r="I26" s="51">
        <f t="shared" si="26"/>
        <v>153450.99896250002</v>
      </c>
      <c r="J26" s="51">
        <f t="shared" si="71"/>
        <v>153450.99896250002</v>
      </c>
      <c r="K26" s="51">
        <f t="shared" si="26"/>
        <v>56370.246159</v>
      </c>
      <c r="N26" s="33">
        <f t="shared" si="27"/>
        <v>23798.3389975</v>
      </c>
      <c r="O26" s="33">
        <f t="shared" si="28"/>
        <v>23798.3389975</v>
      </c>
      <c r="P26" s="35">
        <f t="shared" si="5"/>
        <v>8742.3231946</v>
      </c>
      <c r="S26" s="51">
        <f t="shared" si="29"/>
        <v>27913.063200000004</v>
      </c>
      <c r="T26" s="51">
        <f t="shared" si="30"/>
        <v>27913.063200000004</v>
      </c>
      <c r="U26" s="35">
        <f t="shared" si="6"/>
        <v>10253.867712</v>
      </c>
      <c r="X26" s="33">
        <f t="shared" si="31"/>
        <v>1938.17606</v>
      </c>
      <c r="Y26" s="33">
        <f t="shared" si="32"/>
        <v>1938.17606</v>
      </c>
      <c r="Z26" s="35">
        <f t="shared" si="7"/>
        <v>711.9892496</v>
      </c>
      <c r="AB26" s="51"/>
      <c r="AC26" s="33">
        <f t="shared" si="33"/>
        <v>1617.9922175</v>
      </c>
      <c r="AD26" s="33">
        <f t="shared" si="1"/>
        <v>1617.9922175</v>
      </c>
      <c r="AE26" s="35">
        <f t="shared" si="8"/>
        <v>594.3696698</v>
      </c>
      <c r="AH26" s="33">
        <f t="shared" si="34"/>
        <v>510.24018749999993</v>
      </c>
      <c r="AI26" s="33">
        <f t="shared" si="72"/>
        <v>510.24018749999993</v>
      </c>
      <c r="AJ26" s="35">
        <f t="shared" si="9"/>
        <v>187.436805</v>
      </c>
      <c r="AM26" s="33">
        <f t="shared" si="35"/>
        <v>244.22197</v>
      </c>
      <c r="AN26" s="33">
        <f t="shared" si="10"/>
        <v>244.22197</v>
      </c>
      <c r="AO26" s="35">
        <f t="shared" si="11"/>
        <v>89.71497520000001</v>
      </c>
      <c r="AR26" s="33">
        <f t="shared" si="36"/>
        <v>97.23813</v>
      </c>
      <c r="AS26" s="33">
        <f t="shared" si="56"/>
        <v>97.23813</v>
      </c>
      <c r="AT26" s="35">
        <f t="shared" si="12"/>
        <v>35.7204408</v>
      </c>
      <c r="AW26" s="33">
        <f t="shared" si="37"/>
        <v>1767.7926699999998</v>
      </c>
      <c r="AX26" s="33">
        <f t="shared" si="73"/>
        <v>1767.7926699999998</v>
      </c>
      <c r="AY26" s="35">
        <f t="shared" si="13"/>
        <v>649.3988872</v>
      </c>
      <c r="BA26" s="51"/>
      <c r="BB26" s="51">
        <f t="shared" si="38"/>
        <v>2361.7945799999998</v>
      </c>
      <c r="BC26" s="33">
        <f t="shared" si="14"/>
        <v>2361.7945799999998</v>
      </c>
      <c r="BD26" s="35">
        <f t="shared" si="15"/>
        <v>867.6055728</v>
      </c>
      <c r="BF26" s="51"/>
      <c r="BG26" s="51">
        <f t="shared" si="39"/>
        <v>915.6590575</v>
      </c>
      <c r="BH26" s="33">
        <f t="shared" si="76"/>
        <v>915.6590575</v>
      </c>
      <c r="BI26" s="35">
        <f t="shared" si="16"/>
        <v>336.36748420000004</v>
      </c>
      <c r="BL26" s="33">
        <f t="shared" si="40"/>
        <v>46495.512505</v>
      </c>
      <c r="BM26" s="33">
        <f t="shared" si="17"/>
        <v>46495.512505</v>
      </c>
      <c r="BN26" s="35">
        <f t="shared" si="18"/>
        <v>17080.1330908</v>
      </c>
      <c r="BQ26" s="33">
        <f t="shared" si="41"/>
        <v>407.15217000000007</v>
      </c>
      <c r="BR26" s="33">
        <f t="shared" si="77"/>
        <v>407.15217000000007</v>
      </c>
      <c r="BS26" s="35">
        <f t="shared" si="19"/>
        <v>149.5674072</v>
      </c>
      <c r="BV26" s="33">
        <f t="shared" si="42"/>
        <v>40746.9797225</v>
      </c>
      <c r="BW26" s="33">
        <f t="shared" si="74"/>
        <v>40746.9797225</v>
      </c>
      <c r="BX26" s="35">
        <f t="shared" si="20"/>
        <v>14968.4087606</v>
      </c>
      <c r="CA26" s="33">
        <f t="shared" si="43"/>
        <v>114.44113250000001</v>
      </c>
      <c r="CB26" s="33">
        <f t="shared" si="64"/>
        <v>114.44113250000001</v>
      </c>
      <c r="CC26" s="35">
        <f t="shared" si="21"/>
        <v>42.0399662</v>
      </c>
      <c r="CF26" s="33">
        <f t="shared" si="44"/>
        <v>9.01316</v>
      </c>
      <c r="CG26" s="33">
        <f t="shared" si="75"/>
        <v>9.01316</v>
      </c>
      <c r="CH26" s="35">
        <f t="shared" si="22"/>
        <v>3.3109856</v>
      </c>
      <c r="CK26" s="33">
        <f t="shared" si="45"/>
        <v>1627.0053775000001</v>
      </c>
      <c r="CL26" s="33">
        <f t="shared" si="78"/>
        <v>1627.0053775000001</v>
      </c>
      <c r="CM26" s="35">
        <f t="shared" si="23"/>
        <v>597.6806554</v>
      </c>
      <c r="CP26" s="33">
        <f t="shared" si="46"/>
        <v>1443.5355725</v>
      </c>
      <c r="CQ26" s="33">
        <f t="shared" si="68"/>
        <v>1443.5355725</v>
      </c>
      <c r="CR26" s="35">
        <f t="shared" si="24"/>
        <v>530.2829966</v>
      </c>
      <c r="CU26" s="33">
        <f t="shared" si="47"/>
        <v>1442.8422524999999</v>
      </c>
      <c r="CV26" s="33">
        <f t="shared" si="70"/>
        <v>1442.8422524999999</v>
      </c>
      <c r="CW26" s="35">
        <f t="shared" si="25"/>
        <v>530.0283054</v>
      </c>
    </row>
    <row r="27" spans="1:101" ht="12.75">
      <c r="A27" s="19">
        <v>43556</v>
      </c>
      <c r="C27" s="35">
        <v>4785000</v>
      </c>
      <c r="D27" s="35">
        <v>433325</v>
      </c>
      <c r="E27" s="35">
        <f t="shared" si="0"/>
        <v>5218325</v>
      </c>
      <c r="F27" s="35">
        <v>159182</v>
      </c>
      <c r="H27" s="71">
        <f t="shared" si="48"/>
        <v>1694485.7324999995</v>
      </c>
      <c r="I27" s="51">
        <f t="shared" si="26"/>
        <v>153450.99896250002</v>
      </c>
      <c r="J27" s="51">
        <f t="shared" si="71"/>
        <v>1847936.7314624996</v>
      </c>
      <c r="K27" s="51">
        <f t="shared" si="26"/>
        <v>56370.246159</v>
      </c>
      <c r="M27" s="33">
        <f t="shared" si="49"/>
        <v>262793.6355</v>
      </c>
      <c r="N27" s="33">
        <f t="shared" si="27"/>
        <v>23798.3389975</v>
      </c>
      <c r="O27" s="33">
        <f t="shared" si="28"/>
        <v>286591.9744975</v>
      </c>
      <c r="P27" s="35">
        <f t="shared" si="5"/>
        <v>8742.3231946</v>
      </c>
      <c r="R27" s="33">
        <f t="shared" si="50"/>
        <v>308230.56</v>
      </c>
      <c r="S27" s="51">
        <f t="shared" si="29"/>
        <v>27913.063200000004</v>
      </c>
      <c r="T27" s="51">
        <f t="shared" si="30"/>
        <v>336143.62320000003</v>
      </c>
      <c r="U27" s="35">
        <f t="shared" si="6"/>
        <v>10253.867712</v>
      </c>
      <c r="W27" s="33">
        <f t="shared" si="51"/>
        <v>21402.348</v>
      </c>
      <c r="X27" s="33">
        <f t="shared" si="31"/>
        <v>1938.17606</v>
      </c>
      <c r="Y27" s="33">
        <f t="shared" si="32"/>
        <v>23340.524060000003</v>
      </c>
      <c r="Z27" s="35">
        <f t="shared" si="7"/>
        <v>711.9892496</v>
      </c>
      <c r="AB27" s="51">
        <f t="shared" si="52"/>
        <v>17866.711499999998</v>
      </c>
      <c r="AC27" s="33">
        <f t="shared" si="33"/>
        <v>1617.9922175</v>
      </c>
      <c r="AD27" s="33">
        <f t="shared" si="1"/>
        <v>19484.703717499997</v>
      </c>
      <c r="AE27" s="35">
        <f t="shared" si="8"/>
        <v>594.3696698</v>
      </c>
      <c r="AG27" s="33">
        <f t="shared" si="53"/>
        <v>5634.3375</v>
      </c>
      <c r="AH27" s="33">
        <f t="shared" si="34"/>
        <v>510.24018749999993</v>
      </c>
      <c r="AI27" s="33">
        <f t="shared" si="72"/>
        <v>6144.577687499999</v>
      </c>
      <c r="AJ27" s="35">
        <f t="shared" si="9"/>
        <v>187.436805</v>
      </c>
      <c r="AL27" s="33">
        <f t="shared" si="54"/>
        <v>2696.8259999999996</v>
      </c>
      <c r="AM27" s="33">
        <f t="shared" si="35"/>
        <v>244.22197</v>
      </c>
      <c r="AN27" s="33">
        <f t="shared" si="10"/>
        <v>2941.0479699999996</v>
      </c>
      <c r="AO27" s="35">
        <f t="shared" si="11"/>
        <v>89.71497520000001</v>
      </c>
      <c r="AQ27" s="33">
        <f t="shared" si="55"/>
        <v>1073.7540000000001</v>
      </c>
      <c r="AR27" s="33">
        <f t="shared" si="36"/>
        <v>97.23813</v>
      </c>
      <c r="AS27" s="33">
        <f t="shared" si="56"/>
        <v>1170.99213</v>
      </c>
      <c r="AT27" s="35">
        <f t="shared" si="12"/>
        <v>35.7204408</v>
      </c>
      <c r="AV27" s="33">
        <f t="shared" si="57"/>
        <v>19520.886</v>
      </c>
      <c r="AW27" s="33">
        <f t="shared" si="37"/>
        <v>1767.7926699999998</v>
      </c>
      <c r="AX27" s="33">
        <f t="shared" si="73"/>
        <v>21288.678669999998</v>
      </c>
      <c r="AY27" s="35">
        <f t="shared" si="13"/>
        <v>649.3988872</v>
      </c>
      <c r="BA27" s="51">
        <f t="shared" si="58"/>
        <v>26080.164</v>
      </c>
      <c r="BB27" s="51">
        <f t="shared" si="38"/>
        <v>2361.7945799999998</v>
      </c>
      <c r="BC27" s="33">
        <f t="shared" si="14"/>
        <v>28441.95858</v>
      </c>
      <c r="BD27" s="35">
        <f t="shared" si="15"/>
        <v>867.6055728</v>
      </c>
      <c r="BF27" s="51">
        <f t="shared" si="59"/>
        <v>10111.1835</v>
      </c>
      <c r="BG27" s="51">
        <f t="shared" si="39"/>
        <v>915.6590575</v>
      </c>
      <c r="BH27" s="33">
        <f t="shared" si="76"/>
        <v>11026.8425575</v>
      </c>
      <c r="BI27" s="35">
        <f t="shared" si="16"/>
        <v>336.36748420000004</v>
      </c>
      <c r="BK27" s="33">
        <f t="shared" si="60"/>
        <v>513427.62899999996</v>
      </c>
      <c r="BL27" s="33">
        <f t="shared" si="40"/>
        <v>46495.512505</v>
      </c>
      <c r="BM27" s="33">
        <f t="shared" si="17"/>
        <v>559923.141505</v>
      </c>
      <c r="BN27" s="35">
        <f t="shared" si="18"/>
        <v>17080.1330908</v>
      </c>
      <c r="BP27" s="33">
        <f t="shared" si="61"/>
        <v>4495.986000000001</v>
      </c>
      <c r="BQ27" s="33">
        <f t="shared" si="41"/>
        <v>407.15217000000007</v>
      </c>
      <c r="BR27" s="33">
        <f t="shared" si="77"/>
        <v>4903.138170000001</v>
      </c>
      <c r="BS27" s="35">
        <f t="shared" si="19"/>
        <v>149.5674072</v>
      </c>
      <c r="BU27" s="33">
        <f t="shared" si="62"/>
        <v>449949.34050000005</v>
      </c>
      <c r="BV27" s="33">
        <f t="shared" si="42"/>
        <v>40746.9797225</v>
      </c>
      <c r="BW27" s="33">
        <f t="shared" si="74"/>
        <v>490696.3202225001</v>
      </c>
      <c r="BX27" s="35">
        <f t="shared" si="20"/>
        <v>14968.4087606</v>
      </c>
      <c r="BZ27" s="33">
        <f t="shared" si="63"/>
        <v>1263.7185</v>
      </c>
      <c r="CA27" s="33">
        <f t="shared" si="43"/>
        <v>114.44113250000001</v>
      </c>
      <c r="CB27" s="33">
        <f t="shared" si="64"/>
        <v>1378.1596325</v>
      </c>
      <c r="CC27" s="35">
        <f t="shared" si="21"/>
        <v>42.0399662</v>
      </c>
      <c r="CE27" s="33">
        <f t="shared" si="65"/>
        <v>99.52799999999999</v>
      </c>
      <c r="CF27" s="33">
        <f t="shared" si="44"/>
        <v>9.01316</v>
      </c>
      <c r="CG27" s="33">
        <f t="shared" si="75"/>
        <v>108.54115999999999</v>
      </c>
      <c r="CH27" s="35">
        <f t="shared" si="22"/>
        <v>3.3109856</v>
      </c>
      <c r="CJ27" s="33">
        <f t="shared" si="66"/>
        <v>17966.239500000003</v>
      </c>
      <c r="CK27" s="33">
        <f t="shared" si="45"/>
        <v>1627.0053775000001</v>
      </c>
      <c r="CL27" s="33">
        <f t="shared" si="78"/>
        <v>19593.244877500005</v>
      </c>
      <c r="CM27" s="35">
        <f t="shared" si="23"/>
        <v>597.6806554</v>
      </c>
      <c r="CO27" s="33">
        <f t="shared" si="67"/>
        <v>15940.270499999999</v>
      </c>
      <c r="CP27" s="33">
        <f t="shared" si="46"/>
        <v>1443.5355725</v>
      </c>
      <c r="CQ27" s="33">
        <f t="shared" si="68"/>
        <v>17383.8060725</v>
      </c>
      <c r="CR27" s="35">
        <f t="shared" si="24"/>
        <v>530.2829966</v>
      </c>
      <c r="CT27" s="33">
        <f t="shared" si="69"/>
        <v>15932.6145</v>
      </c>
      <c r="CU27" s="33">
        <f t="shared" si="47"/>
        <v>1442.8422524999999</v>
      </c>
      <c r="CV27" s="33">
        <f t="shared" si="70"/>
        <v>17375.4567525</v>
      </c>
      <c r="CW27" s="35">
        <f t="shared" si="25"/>
        <v>530.0283054</v>
      </c>
    </row>
    <row r="28" spans="1:101" ht="12.75">
      <c r="A28" s="19">
        <v>43739</v>
      </c>
      <c r="D28" s="35">
        <v>313700</v>
      </c>
      <c r="E28" s="35">
        <f t="shared" si="0"/>
        <v>313700</v>
      </c>
      <c r="F28" s="35">
        <v>159182</v>
      </c>
      <c r="H28" s="71"/>
      <c r="I28" s="51">
        <f t="shared" si="26"/>
        <v>111088.85564999998</v>
      </c>
      <c r="J28" s="51">
        <f t="shared" si="71"/>
        <v>111088.85564999998</v>
      </c>
      <c r="K28" s="51">
        <f t="shared" si="26"/>
        <v>56370.246159</v>
      </c>
      <c r="N28" s="33">
        <f t="shared" si="27"/>
        <v>17228.49811</v>
      </c>
      <c r="O28" s="33">
        <f t="shared" si="28"/>
        <v>17228.49811</v>
      </c>
      <c r="P28" s="35">
        <f t="shared" si="5"/>
        <v>8742.3231946</v>
      </c>
      <c r="S28" s="51">
        <f t="shared" si="29"/>
        <v>20207.2992</v>
      </c>
      <c r="T28" s="51">
        <f t="shared" si="30"/>
        <v>20207.2992</v>
      </c>
      <c r="U28" s="35">
        <f t="shared" si="6"/>
        <v>10253.867712</v>
      </c>
      <c r="X28" s="33">
        <f t="shared" si="31"/>
        <v>1403.11736</v>
      </c>
      <c r="Y28" s="33">
        <f t="shared" si="32"/>
        <v>1403.11736</v>
      </c>
      <c r="Z28" s="35">
        <f t="shared" si="7"/>
        <v>711.9892496</v>
      </c>
      <c r="AB28" s="51"/>
      <c r="AC28" s="33">
        <f t="shared" si="33"/>
        <v>1171.32443</v>
      </c>
      <c r="AD28" s="33">
        <f t="shared" si="1"/>
        <v>1171.32443</v>
      </c>
      <c r="AE28" s="35">
        <f t="shared" si="8"/>
        <v>594.3696698</v>
      </c>
      <c r="AH28" s="33">
        <f t="shared" si="34"/>
        <v>369.38174999999995</v>
      </c>
      <c r="AI28" s="33">
        <f t="shared" si="72"/>
        <v>369.38174999999995</v>
      </c>
      <c r="AJ28" s="35">
        <f t="shared" si="9"/>
        <v>187.436805</v>
      </c>
      <c r="AM28" s="33">
        <f t="shared" si="35"/>
        <v>176.80132</v>
      </c>
      <c r="AN28" s="33">
        <f t="shared" si="10"/>
        <v>176.80132</v>
      </c>
      <c r="AO28" s="35">
        <f t="shared" si="11"/>
        <v>89.71497520000001</v>
      </c>
      <c r="AR28" s="33">
        <f t="shared" si="36"/>
        <v>70.39428000000001</v>
      </c>
      <c r="AS28" s="33">
        <f t="shared" si="56"/>
        <v>70.39428000000001</v>
      </c>
      <c r="AT28" s="35">
        <f t="shared" si="12"/>
        <v>35.7204408</v>
      </c>
      <c r="AW28" s="33">
        <f t="shared" si="37"/>
        <v>1279.77052</v>
      </c>
      <c r="AX28" s="33">
        <f t="shared" si="73"/>
        <v>1279.77052</v>
      </c>
      <c r="AY28" s="35">
        <f t="shared" si="13"/>
        <v>649.3988872</v>
      </c>
      <c r="BA28" s="51"/>
      <c r="BB28" s="51">
        <f t="shared" si="38"/>
        <v>1709.79048</v>
      </c>
      <c r="BC28" s="33">
        <f t="shared" si="14"/>
        <v>1709.79048</v>
      </c>
      <c r="BD28" s="35">
        <f t="shared" si="15"/>
        <v>867.6055728</v>
      </c>
      <c r="BF28" s="51"/>
      <c r="BG28" s="51">
        <f t="shared" si="39"/>
        <v>662.87947</v>
      </c>
      <c r="BH28" s="33">
        <f t="shared" si="76"/>
        <v>662.87947</v>
      </c>
      <c r="BI28" s="35">
        <f t="shared" si="16"/>
        <v>336.36748420000004</v>
      </c>
      <c r="BL28" s="33">
        <f t="shared" si="40"/>
        <v>33659.82178</v>
      </c>
      <c r="BM28" s="33">
        <f t="shared" si="17"/>
        <v>33659.82178</v>
      </c>
      <c r="BN28" s="35">
        <f t="shared" si="18"/>
        <v>17080.1330908</v>
      </c>
      <c r="BQ28" s="33">
        <f t="shared" si="41"/>
        <v>294.75252</v>
      </c>
      <c r="BR28" s="33">
        <f t="shared" si="77"/>
        <v>294.75252</v>
      </c>
      <c r="BS28" s="35">
        <f t="shared" si="19"/>
        <v>149.5674072</v>
      </c>
      <c r="BV28" s="33">
        <f t="shared" si="42"/>
        <v>29498.24621</v>
      </c>
      <c r="BW28" s="33">
        <f t="shared" si="74"/>
        <v>29498.24621</v>
      </c>
      <c r="BX28" s="35">
        <f t="shared" si="20"/>
        <v>14968.4087606</v>
      </c>
      <c r="CA28" s="33">
        <f t="shared" si="43"/>
        <v>82.84817</v>
      </c>
      <c r="CB28" s="33">
        <f t="shared" si="64"/>
        <v>82.84817</v>
      </c>
      <c r="CC28" s="35">
        <f t="shared" si="21"/>
        <v>42.0399662</v>
      </c>
      <c r="CF28" s="33">
        <f t="shared" si="44"/>
        <v>6.52496</v>
      </c>
      <c r="CG28" s="33">
        <f t="shared" si="75"/>
        <v>6.52496</v>
      </c>
      <c r="CH28" s="35">
        <f t="shared" si="22"/>
        <v>3.3109856</v>
      </c>
      <c r="CK28" s="33">
        <f t="shared" si="45"/>
        <v>1177.84939</v>
      </c>
      <c r="CL28" s="33">
        <f t="shared" si="78"/>
        <v>1177.84939</v>
      </c>
      <c r="CM28" s="35">
        <f t="shared" si="23"/>
        <v>597.6806554</v>
      </c>
      <c r="CP28" s="33">
        <f t="shared" si="46"/>
        <v>1045.02881</v>
      </c>
      <c r="CQ28" s="33">
        <f t="shared" si="68"/>
        <v>1045.02881</v>
      </c>
      <c r="CR28" s="35">
        <f t="shared" si="24"/>
        <v>530.2829966</v>
      </c>
      <c r="CU28" s="33">
        <f t="shared" si="47"/>
        <v>1044.52689</v>
      </c>
      <c r="CV28" s="33">
        <f t="shared" si="70"/>
        <v>1044.52689</v>
      </c>
      <c r="CW28" s="35">
        <f t="shared" si="25"/>
        <v>530.0283054</v>
      </c>
    </row>
    <row r="29" spans="1:101" ht="12.75">
      <c r="A29" s="52">
        <v>43922</v>
      </c>
      <c r="C29" s="35">
        <v>5025000</v>
      </c>
      <c r="D29" s="35">
        <v>313700</v>
      </c>
      <c r="E29" s="35">
        <f t="shared" si="0"/>
        <v>5338700</v>
      </c>
      <c r="F29" s="35">
        <v>159182</v>
      </c>
      <c r="H29" s="71">
        <f t="shared" si="48"/>
        <v>1779475.6124999998</v>
      </c>
      <c r="I29" s="51">
        <f t="shared" si="26"/>
        <v>111088.85564999998</v>
      </c>
      <c r="J29" s="51">
        <f t="shared" si="71"/>
        <v>1890564.4681499999</v>
      </c>
      <c r="K29" s="51">
        <f t="shared" si="26"/>
        <v>56370.246159</v>
      </c>
      <c r="M29" s="33">
        <f t="shared" si="49"/>
        <v>275974.5075</v>
      </c>
      <c r="N29" s="33">
        <f t="shared" si="27"/>
        <v>17228.49811</v>
      </c>
      <c r="O29" s="33">
        <f t="shared" si="28"/>
        <v>293203.00561</v>
      </c>
      <c r="P29" s="35">
        <f t="shared" si="5"/>
        <v>8742.3231946</v>
      </c>
      <c r="R29" s="33">
        <f t="shared" si="50"/>
        <v>323690.4</v>
      </c>
      <c r="S29" s="51">
        <f t="shared" si="29"/>
        <v>20207.2992</v>
      </c>
      <c r="T29" s="51">
        <f t="shared" si="30"/>
        <v>343897.69920000003</v>
      </c>
      <c r="U29" s="35">
        <f t="shared" si="6"/>
        <v>10253.867712</v>
      </c>
      <c r="W29" s="33">
        <f t="shared" si="51"/>
        <v>22475.82</v>
      </c>
      <c r="X29" s="33">
        <f t="shared" si="31"/>
        <v>1403.11736</v>
      </c>
      <c r="Y29" s="33">
        <f t="shared" si="32"/>
        <v>23878.93736</v>
      </c>
      <c r="Z29" s="35">
        <f t="shared" si="7"/>
        <v>711.9892496</v>
      </c>
      <c r="AB29" s="51">
        <f t="shared" si="52"/>
        <v>18762.8475</v>
      </c>
      <c r="AC29" s="33">
        <f t="shared" si="33"/>
        <v>1171.32443</v>
      </c>
      <c r="AD29" s="33">
        <f t="shared" si="1"/>
        <v>19934.17193</v>
      </c>
      <c r="AE29" s="35">
        <f t="shared" si="8"/>
        <v>594.3696698</v>
      </c>
      <c r="AG29" s="33">
        <f t="shared" si="53"/>
        <v>5916.9375</v>
      </c>
      <c r="AH29" s="33">
        <f t="shared" si="34"/>
        <v>369.38174999999995</v>
      </c>
      <c r="AI29" s="33">
        <f t="shared" si="72"/>
        <v>6286.31925</v>
      </c>
      <c r="AJ29" s="35">
        <f t="shared" si="9"/>
        <v>187.436805</v>
      </c>
      <c r="AL29" s="33">
        <f t="shared" si="54"/>
        <v>2832.09</v>
      </c>
      <c r="AM29" s="33">
        <f t="shared" si="35"/>
        <v>176.80132</v>
      </c>
      <c r="AN29" s="33">
        <f t="shared" si="10"/>
        <v>3008.89132</v>
      </c>
      <c r="AO29" s="35">
        <f t="shared" si="11"/>
        <v>89.71497520000001</v>
      </c>
      <c r="AQ29" s="33">
        <f t="shared" si="55"/>
        <v>1127.6100000000001</v>
      </c>
      <c r="AR29" s="33">
        <f t="shared" si="36"/>
        <v>70.39428000000001</v>
      </c>
      <c r="AS29" s="33">
        <f t="shared" si="56"/>
        <v>1198.00428</v>
      </c>
      <c r="AT29" s="35">
        <f t="shared" si="12"/>
        <v>35.7204408</v>
      </c>
      <c r="AV29" s="33">
        <f t="shared" si="57"/>
        <v>20499.99</v>
      </c>
      <c r="AW29" s="33">
        <f t="shared" si="37"/>
        <v>1279.77052</v>
      </c>
      <c r="AX29" s="33">
        <f t="shared" si="73"/>
        <v>21779.760520000003</v>
      </c>
      <c r="AY29" s="35">
        <f t="shared" si="13"/>
        <v>649.3988872</v>
      </c>
      <c r="BA29" s="51">
        <f t="shared" si="58"/>
        <v>27388.26</v>
      </c>
      <c r="BB29" s="51">
        <f t="shared" si="38"/>
        <v>1709.79048</v>
      </c>
      <c r="BC29" s="33">
        <f t="shared" si="14"/>
        <v>29098.050479999998</v>
      </c>
      <c r="BD29" s="35">
        <f t="shared" si="15"/>
        <v>867.6055728</v>
      </c>
      <c r="BF29" s="51">
        <f t="shared" si="59"/>
        <v>10618.3275</v>
      </c>
      <c r="BG29" s="51">
        <f t="shared" si="39"/>
        <v>662.87947</v>
      </c>
      <c r="BH29" s="33">
        <f t="shared" si="76"/>
        <v>11281.20697</v>
      </c>
      <c r="BI29" s="35">
        <f t="shared" si="16"/>
        <v>336.36748420000004</v>
      </c>
      <c r="BK29" s="33">
        <f t="shared" si="60"/>
        <v>539179.4849999999</v>
      </c>
      <c r="BL29" s="33">
        <f t="shared" si="40"/>
        <v>33659.82178</v>
      </c>
      <c r="BM29" s="33">
        <f t="shared" si="17"/>
        <v>572839.3067799999</v>
      </c>
      <c r="BN29" s="35">
        <f t="shared" si="18"/>
        <v>17080.1330908</v>
      </c>
      <c r="BP29" s="33">
        <f t="shared" si="61"/>
        <v>4721.49</v>
      </c>
      <c r="BQ29" s="33">
        <f t="shared" si="41"/>
        <v>294.75252</v>
      </c>
      <c r="BR29" s="33">
        <f t="shared" si="77"/>
        <v>5016.24252</v>
      </c>
      <c r="BS29" s="35">
        <f t="shared" si="19"/>
        <v>149.5674072</v>
      </c>
      <c r="BU29" s="33">
        <f t="shared" si="62"/>
        <v>472517.3325</v>
      </c>
      <c r="BV29" s="33">
        <f t="shared" si="42"/>
        <v>29498.24621</v>
      </c>
      <c r="BW29" s="33">
        <f t="shared" si="74"/>
        <v>502015.57871000003</v>
      </c>
      <c r="BX29" s="35">
        <f t="shared" si="20"/>
        <v>14968.4087606</v>
      </c>
      <c r="BZ29" s="33">
        <f t="shared" si="63"/>
        <v>1327.1025</v>
      </c>
      <c r="CA29" s="33">
        <f t="shared" si="43"/>
        <v>82.84817</v>
      </c>
      <c r="CB29" s="33">
        <f t="shared" si="64"/>
        <v>1409.95067</v>
      </c>
      <c r="CC29" s="35">
        <f t="shared" si="21"/>
        <v>42.0399662</v>
      </c>
      <c r="CE29" s="33">
        <f t="shared" si="65"/>
        <v>104.51999999999998</v>
      </c>
      <c r="CF29" s="33">
        <f t="shared" si="44"/>
        <v>6.52496</v>
      </c>
      <c r="CG29" s="33">
        <f t="shared" si="75"/>
        <v>111.04495999999997</v>
      </c>
      <c r="CH29" s="35">
        <f t="shared" si="22"/>
        <v>3.3109856</v>
      </c>
      <c r="CJ29" s="33">
        <f t="shared" si="66"/>
        <v>18867.367500000004</v>
      </c>
      <c r="CK29" s="33">
        <f t="shared" si="45"/>
        <v>1177.84939</v>
      </c>
      <c r="CL29" s="33">
        <f t="shared" si="78"/>
        <v>20045.216890000003</v>
      </c>
      <c r="CM29" s="35">
        <f t="shared" si="23"/>
        <v>597.6806554</v>
      </c>
      <c r="CO29" s="33">
        <f t="shared" si="67"/>
        <v>16739.7825</v>
      </c>
      <c r="CP29" s="33">
        <f t="shared" si="46"/>
        <v>1045.02881</v>
      </c>
      <c r="CQ29" s="33">
        <f t="shared" si="68"/>
        <v>17784.81131</v>
      </c>
      <c r="CR29" s="35">
        <f t="shared" si="24"/>
        <v>530.2829966</v>
      </c>
      <c r="CT29" s="33">
        <f t="shared" si="69"/>
        <v>16731.7425</v>
      </c>
      <c r="CU29" s="33">
        <f t="shared" si="47"/>
        <v>1044.52689</v>
      </c>
      <c r="CV29" s="33">
        <f t="shared" si="70"/>
        <v>17776.26939</v>
      </c>
      <c r="CW29" s="35">
        <f t="shared" si="25"/>
        <v>530.0283054</v>
      </c>
    </row>
    <row r="30" spans="1:101" ht="12.75">
      <c r="A30" s="52">
        <v>44105</v>
      </c>
      <c r="D30" s="35">
        <v>213200</v>
      </c>
      <c r="E30" s="35">
        <f t="shared" si="0"/>
        <v>213200</v>
      </c>
      <c r="F30" s="35">
        <v>159182</v>
      </c>
      <c r="H30" s="71"/>
      <c r="I30" s="51">
        <f t="shared" si="26"/>
        <v>75499.34340000001</v>
      </c>
      <c r="J30" s="51">
        <f t="shared" si="71"/>
        <v>75499.34340000001</v>
      </c>
      <c r="K30" s="51">
        <f t="shared" si="26"/>
        <v>56370.246159</v>
      </c>
      <c r="N30" s="33">
        <f t="shared" si="27"/>
        <v>11709.007959999999</v>
      </c>
      <c r="O30" s="33">
        <f t="shared" si="28"/>
        <v>11709.007959999999</v>
      </c>
      <c r="P30" s="35">
        <f t="shared" si="5"/>
        <v>8742.3231946</v>
      </c>
      <c r="S30" s="51">
        <f t="shared" si="29"/>
        <v>13733.4912</v>
      </c>
      <c r="T30" s="51">
        <f t="shared" si="30"/>
        <v>13733.4912</v>
      </c>
      <c r="U30" s="35">
        <f t="shared" si="6"/>
        <v>10253.867712</v>
      </c>
      <c r="X30" s="33">
        <f t="shared" si="31"/>
        <v>953.6009600000001</v>
      </c>
      <c r="Y30" s="33">
        <f t="shared" si="32"/>
        <v>953.6009600000001</v>
      </c>
      <c r="Z30" s="35">
        <f t="shared" si="7"/>
        <v>711.9892496</v>
      </c>
      <c r="AB30" s="51"/>
      <c r="AC30" s="33">
        <f t="shared" si="33"/>
        <v>796.06748</v>
      </c>
      <c r="AD30" s="33">
        <f t="shared" si="1"/>
        <v>796.06748</v>
      </c>
      <c r="AE30" s="35">
        <f t="shared" si="8"/>
        <v>594.3696698</v>
      </c>
      <c r="AH30" s="33">
        <f t="shared" si="34"/>
        <v>251.043</v>
      </c>
      <c r="AI30" s="33">
        <f t="shared" si="72"/>
        <v>251.043</v>
      </c>
      <c r="AJ30" s="35">
        <f t="shared" si="9"/>
        <v>187.436805</v>
      </c>
      <c r="AM30" s="33">
        <f t="shared" si="35"/>
        <v>120.15951999999999</v>
      </c>
      <c r="AN30" s="33">
        <f t="shared" si="10"/>
        <v>120.15951999999999</v>
      </c>
      <c r="AO30" s="35">
        <f t="shared" si="11"/>
        <v>89.71497520000001</v>
      </c>
      <c r="AR30" s="33">
        <f t="shared" si="36"/>
        <v>47.84208</v>
      </c>
      <c r="AS30" s="33">
        <f t="shared" si="56"/>
        <v>47.84208</v>
      </c>
      <c r="AT30" s="35">
        <f t="shared" si="12"/>
        <v>35.7204408</v>
      </c>
      <c r="AW30" s="33">
        <f t="shared" si="37"/>
        <v>869.77072</v>
      </c>
      <c r="AX30" s="33">
        <f t="shared" si="73"/>
        <v>869.77072</v>
      </c>
      <c r="AY30" s="35">
        <f t="shared" si="13"/>
        <v>649.3988872</v>
      </c>
      <c r="BA30" s="51"/>
      <c r="BB30" s="51">
        <f t="shared" si="38"/>
        <v>1162.0252799999998</v>
      </c>
      <c r="BC30" s="33">
        <f t="shared" si="14"/>
        <v>1162.0252799999998</v>
      </c>
      <c r="BD30" s="35">
        <f t="shared" si="15"/>
        <v>867.6055728</v>
      </c>
      <c r="BF30" s="51"/>
      <c r="BG30" s="51">
        <f t="shared" si="39"/>
        <v>450.51292</v>
      </c>
      <c r="BH30" s="33">
        <f t="shared" si="76"/>
        <v>450.51292</v>
      </c>
      <c r="BI30" s="35">
        <f t="shared" si="16"/>
        <v>336.36748420000004</v>
      </c>
      <c r="BL30" s="33">
        <f t="shared" si="40"/>
        <v>22876.232079999998</v>
      </c>
      <c r="BM30" s="33">
        <f t="shared" si="17"/>
        <v>22876.232079999998</v>
      </c>
      <c r="BN30" s="35">
        <f t="shared" si="18"/>
        <v>17080.1330908</v>
      </c>
      <c r="BQ30" s="33">
        <f t="shared" si="41"/>
        <v>200.32272</v>
      </c>
      <c r="BR30" s="33">
        <f t="shared" si="77"/>
        <v>200.32272</v>
      </c>
      <c r="BS30" s="35">
        <f t="shared" si="19"/>
        <v>149.5674072</v>
      </c>
      <c r="BV30" s="33">
        <f t="shared" si="42"/>
        <v>20047.89956</v>
      </c>
      <c r="BW30" s="33">
        <f t="shared" si="74"/>
        <v>20047.89956</v>
      </c>
      <c r="BX30" s="35">
        <f t="shared" si="20"/>
        <v>14968.4087606</v>
      </c>
      <c r="CA30" s="33">
        <f t="shared" si="43"/>
        <v>56.30612</v>
      </c>
      <c r="CB30" s="33">
        <f t="shared" si="64"/>
        <v>56.30612</v>
      </c>
      <c r="CC30" s="35">
        <f t="shared" si="21"/>
        <v>42.0399662</v>
      </c>
      <c r="CF30" s="33">
        <f t="shared" si="44"/>
        <v>4.434559999999999</v>
      </c>
      <c r="CG30" s="33">
        <f t="shared" si="75"/>
        <v>4.434559999999999</v>
      </c>
      <c r="CH30" s="35">
        <f t="shared" si="22"/>
        <v>3.3109856</v>
      </c>
      <c r="CK30" s="33">
        <f t="shared" si="45"/>
        <v>800.5020400000001</v>
      </c>
      <c r="CL30" s="33">
        <f t="shared" si="78"/>
        <v>800.5020400000001</v>
      </c>
      <c r="CM30" s="35">
        <f t="shared" si="23"/>
        <v>597.6806554</v>
      </c>
      <c r="CP30" s="33">
        <f t="shared" si="46"/>
        <v>710.2331599999999</v>
      </c>
      <c r="CQ30" s="33">
        <f t="shared" si="68"/>
        <v>710.2331599999999</v>
      </c>
      <c r="CR30" s="35">
        <f t="shared" si="24"/>
        <v>530.2829966</v>
      </c>
      <c r="CU30" s="33">
        <f t="shared" si="47"/>
        <v>709.89204</v>
      </c>
      <c r="CV30" s="33">
        <f t="shared" si="70"/>
        <v>709.89204</v>
      </c>
      <c r="CW30" s="35">
        <f t="shared" si="25"/>
        <v>530.0283054</v>
      </c>
    </row>
    <row r="31" spans="1:101" ht="12.75">
      <c r="A31" s="52">
        <v>44287</v>
      </c>
      <c r="C31" s="35">
        <v>5225000</v>
      </c>
      <c r="D31" s="35">
        <v>213200</v>
      </c>
      <c r="E31" s="35">
        <f t="shared" si="0"/>
        <v>5438200</v>
      </c>
      <c r="F31" s="35">
        <v>159182</v>
      </c>
      <c r="H31" s="71">
        <f t="shared" si="48"/>
        <v>1850300.5125</v>
      </c>
      <c r="I31" s="51">
        <f t="shared" si="26"/>
        <v>75499.34340000001</v>
      </c>
      <c r="J31" s="51">
        <f t="shared" si="71"/>
        <v>1925799.8558999998</v>
      </c>
      <c r="K31" s="51">
        <f t="shared" si="26"/>
        <v>56370.246159</v>
      </c>
      <c r="M31" s="33">
        <f t="shared" si="49"/>
        <v>286958.5675</v>
      </c>
      <c r="N31" s="33">
        <f t="shared" si="27"/>
        <v>11709.007959999999</v>
      </c>
      <c r="O31" s="33">
        <f t="shared" si="28"/>
        <v>298667.57546</v>
      </c>
      <c r="P31" s="35">
        <f t="shared" si="5"/>
        <v>8742.3231946</v>
      </c>
      <c r="R31" s="33">
        <f t="shared" si="50"/>
        <v>336573.6</v>
      </c>
      <c r="S31" s="51">
        <f t="shared" si="29"/>
        <v>13733.4912</v>
      </c>
      <c r="T31" s="51">
        <f t="shared" si="30"/>
        <v>350307.09119999997</v>
      </c>
      <c r="U31" s="35">
        <f t="shared" si="6"/>
        <v>10253.867712</v>
      </c>
      <c r="W31" s="33">
        <f t="shared" si="51"/>
        <v>23370.38</v>
      </c>
      <c r="X31" s="33">
        <f t="shared" si="31"/>
        <v>953.6009600000001</v>
      </c>
      <c r="Y31" s="33">
        <f t="shared" si="32"/>
        <v>24323.98096</v>
      </c>
      <c r="Z31" s="35">
        <f t="shared" si="7"/>
        <v>711.9892496</v>
      </c>
      <c r="AB31" s="51">
        <f t="shared" si="52"/>
        <v>19509.6275</v>
      </c>
      <c r="AC31" s="33">
        <f t="shared" si="33"/>
        <v>796.06748</v>
      </c>
      <c r="AD31" s="33">
        <f t="shared" si="1"/>
        <v>20305.69498</v>
      </c>
      <c r="AE31" s="35">
        <f t="shared" si="8"/>
        <v>594.3696698</v>
      </c>
      <c r="AG31" s="33">
        <f t="shared" si="53"/>
        <v>6152.4375</v>
      </c>
      <c r="AH31" s="33">
        <f t="shared" si="34"/>
        <v>251.043</v>
      </c>
      <c r="AI31" s="33">
        <f t="shared" si="72"/>
        <v>6403.4805</v>
      </c>
      <c r="AJ31" s="35">
        <f t="shared" si="9"/>
        <v>187.436805</v>
      </c>
      <c r="AL31" s="33">
        <f t="shared" si="54"/>
        <v>2944.81</v>
      </c>
      <c r="AM31" s="33">
        <f t="shared" si="35"/>
        <v>120.15951999999999</v>
      </c>
      <c r="AN31" s="33">
        <f t="shared" si="10"/>
        <v>3064.96952</v>
      </c>
      <c r="AO31" s="35">
        <f t="shared" si="11"/>
        <v>89.71497520000001</v>
      </c>
      <c r="AQ31" s="33">
        <f t="shared" si="55"/>
        <v>1172.4900000000002</v>
      </c>
      <c r="AR31" s="33">
        <f t="shared" si="36"/>
        <v>47.84208</v>
      </c>
      <c r="AS31" s="33">
        <f t="shared" si="56"/>
        <v>1220.3320800000001</v>
      </c>
      <c r="AT31" s="35">
        <f t="shared" si="12"/>
        <v>35.7204408</v>
      </c>
      <c r="AV31" s="33">
        <f t="shared" si="57"/>
        <v>21315.91</v>
      </c>
      <c r="AW31" s="33">
        <f t="shared" si="37"/>
        <v>869.77072</v>
      </c>
      <c r="AX31" s="33">
        <f t="shared" si="73"/>
        <v>22185.68072</v>
      </c>
      <c r="AY31" s="35">
        <f t="shared" si="13"/>
        <v>649.3988872</v>
      </c>
      <c r="BA31" s="51">
        <f t="shared" si="58"/>
        <v>28478.34</v>
      </c>
      <c r="BB31" s="51">
        <f t="shared" si="38"/>
        <v>1162.0252799999998</v>
      </c>
      <c r="BC31" s="33">
        <f t="shared" si="14"/>
        <v>29640.365279999998</v>
      </c>
      <c r="BD31" s="35">
        <f t="shared" si="15"/>
        <v>867.6055728</v>
      </c>
      <c r="BF31" s="51">
        <f t="shared" si="59"/>
        <v>11040.9475</v>
      </c>
      <c r="BG31" s="51">
        <f t="shared" si="39"/>
        <v>450.51292</v>
      </c>
      <c r="BH31" s="33">
        <f t="shared" si="76"/>
        <v>11491.46042</v>
      </c>
      <c r="BI31" s="35">
        <f t="shared" si="16"/>
        <v>336.36748420000004</v>
      </c>
      <c r="BK31" s="33">
        <f t="shared" si="60"/>
        <v>560639.3649999999</v>
      </c>
      <c r="BL31" s="33">
        <f t="shared" si="40"/>
        <v>22876.232079999998</v>
      </c>
      <c r="BM31" s="33">
        <f t="shared" si="17"/>
        <v>583515.5970799999</v>
      </c>
      <c r="BN31" s="35">
        <f t="shared" si="18"/>
        <v>17080.1330908</v>
      </c>
      <c r="BP31" s="33">
        <f t="shared" si="61"/>
        <v>4909.41</v>
      </c>
      <c r="BQ31" s="33">
        <f t="shared" si="41"/>
        <v>200.32272</v>
      </c>
      <c r="BR31" s="33">
        <f t="shared" si="77"/>
        <v>5109.73272</v>
      </c>
      <c r="BS31" s="35">
        <f t="shared" si="19"/>
        <v>149.5674072</v>
      </c>
      <c r="BU31" s="33">
        <f t="shared" si="62"/>
        <v>491323.9925</v>
      </c>
      <c r="BV31" s="33">
        <f t="shared" si="42"/>
        <v>20047.89956</v>
      </c>
      <c r="BW31" s="33">
        <f t="shared" si="74"/>
        <v>511371.89206</v>
      </c>
      <c r="BX31" s="35">
        <f t="shared" si="20"/>
        <v>14968.4087606</v>
      </c>
      <c r="BZ31" s="33">
        <f t="shared" si="63"/>
        <v>1379.9225</v>
      </c>
      <c r="CA31" s="33">
        <f t="shared" si="43"/>
        <v>56.30612</v>
      </c>
      <c r="CB31" s="33">
        <f t="shared" si="64"/>
        <v>1436.2286199999999</v>
      </c>
      <c r="CC31" s="35">
        <f t="shared" si="21"/>
        <v>42.0399662</v>
      </c>
      <c r="CE31" s="33">
        <f t="shared" si="65"/>
        <v>108.67999999999998</v>
      </c>
      <c r="CF31" s="33">
        <f t="shared" si="44"/>
        <v>4.434559999999999</v>
      </c>
      <c r="CG31" s="33">
        <f t="shared" si="75"/>
        <v>113.11455999999998</v>
      </c>
      <c r="CH31" s="35">
        <f t="shared" si="22"/>
        <v>3.3109856</v>
      </c>
      <c r="CJ31" s="33">
        <f t="shared" si="66"/>
        <v>19618.307500000003</v>
      </c>
      <c r="CK31" s="33">
        <f t="shared" si="45"/>
        <v>800.5020400000001</v>
      </c>
      <c r="CL31" s="33">
        <f t="shared" si="78"/>
        <v>20418.809540000002</v>
      </c>
      <c r="CM31" s="35">
        <f t="shared" si="23"/>
        <v>597.6806554</v>
      </c>
      <c r="CO31" s="33">
        <f t="shared" si="67"/>
        <v>17406.0425</v>
      </c>
      <c r="CP31" s="33">
        <f t="shared" si="46"/>
        <v>710.2331599999999</v>
      </c>
      <c r="CQ31" s="33">
        <f t="shared" si="68"/>
        <v>18116.27566</v>
      </c>
      <c r="CR31" s="35">
        <f t="shared" si="24"/>
        <v>530.2829966</v>
      </c>
      <c r="CT31" s="33">
        <f t="shared" si="69"/>
        <v>17397.6825</v>
      </c>
      <c r="CU31" s="33">
        <f t="shared" si="47"/>
        <v>709.89204</v>
      </c>
      <c r="CV31" s="33">
        <f t="shared" si="70"/>
        <v>18107.574539999998</v>
      </c>
      <c r="CW31" s="35">
        <f t="shared" si="25"/>
        <v>530.0283054</v>
      </c>
    </row>
    <row r="32" spans="1:101" ht="12.75">
      <c r="A32" s="52">
        <v>44470</v>
      </c>
      <c r="D32" s="35">
        <v>108700</v>
      </c>
      <c r="E32" s="35">
        <f t="shared" si="0"/>
        <v>108700</v>
      </c>
      <c r="F32" s="35">
        <v>159182</v>
      </c>
      <c r="H32" s="71"/>
      <c r="I32" s="51">
        <f t="shared" si="26"/>
        <v>38493.33315</v>
      </c>
      <c r="J32" s="51">
        <f t="shared" si="71"/>
        <v>38493.33315</v>
      </c>
      <c r="K32" s="51">
        <f t="shared" si="26"/>
        <v>56370.246159</v>
      </c>
      <c r="N32" s="33">
        <f t="shared" si="27"/>
        <v>5969.836609999999</v>
      </c>
      <c r="O32" s="33">
        <f t="shared" si="28"/>
        <v>5969.836609999999</v>
      </c>
      <c r="P32" s="35">
        <f t="shared" si="5"/>
        <v>8742.3231946</v>
      </c>
      <c r="S32" s="51">
        <f t="shared" si="29"/>
        <v>7002.019200000001</v>
      </c>
      <c r="T32" s="51">
        <f t="shared" si="30"/>
        <v>7002.019200000001</v>
      </c>
      <c r="U32" s="35">
        <f t="shared" si="6"/>
        <v>10253.867712</v>
      </c>
      <c r="X32" s="33">
        <f t="shared" si="31"/>
        <v>486.19336000000004</v>
      </c>
      <c r="Y32" s="33">
        <f t="shared" si="32"/>
        <v>486.19336000000004</v>
      </c>
      <c r="Z32" s="35">
        <f t="shared" si="7"/>
        <v>711.9892496</v>
      </c>
      <c r="AB32" s="51"/>
      <c r="AC32" s="33">
        <f t="shared" si="33"/>
        <v>405.87493</v>
      </c>
      <c r="AD32" s="33">
        <f t="shared" si="1"/>
        <v>405.87493</v>
      </c>
      <c r="AE32" s="35">
        <f t="shared" si="8"/>
        <v>594.3696698</v>
      </c>
      <c r="AH32" s="33">
        <f t="shared" si="34"/>
        <v>127.99425</v>
      </c>
      <c r="AI32" s="33">
        <f t="shared" si="72"/>
        <v>127.99425</v>
      </c>
      <c r="AJ32" s="35">
        <f t="shared" si="9"/>
        <v>187.436805</v>
      </c>
      <c r="AM32" s="33">
        <f t="shared" si="35"/>
        <v>61.26332</v>
      </c>
      <c r="AN32" s="33">
        <f t="shared" si="10"/>
        <v>61.26332</v>
      </c>
      <c r="AO32" s="35">
        <f t="shared" si="11"/>
        <v>89.71497520000001</v>
      </c>
      <c r="AR32" s="33">
        <f t="shared" si="36"/>
        <v>24.39228</v>
      </c>
      <c r="AS32" s="33">
        <f t="shared" si="56"/>
        <v>24.39228</v>
      </c>
      <c r="AT32" s="35">
        <f t="shared" si="12"/>
        <v>35.7204408</v>
      </c>
      <c r="AW32" s="33">
        <f t="shared" si="37"/>
        <v>443.45252</v>
      </c>
      <c r="AX32" s="33">
        <f t="shared" si="73"/>
        <v>443.45252</v>
      </c>
      <c r="AY32" s="35">
        <f t="shared" si="13"/>
        <v>649.3988872</v>
      </c>
      <c r="BA32" s="51"/>
      <c r="BB32" s="51">
        <f t="shared" si="38"/>
        <v>592.45848</v>
      </c>
      <c r="BC32" s="33">
        <f t="shared" si="14"/>
        <v>592.45848</v>
      </c>
      <c r="BD32" s="35">
        <f t="shared" si="15"/>
        <v>867.6055728</v>
      </c>
      <c r="BF32" s="51"/>
      <c r="BG32" s="51">
        <f t="shared" si="39"/>
        <v>229.69397</v>
      </c>
      <c r="BH32" s="33">
        <f t="shared" si="76"/>
        <v>229.69397</v>
      </c>
      <c r="BI32" s="35">
        <f t="shared" si="16"/>
        <v>336.36748420000004</v>
      </c>
      <c r="BL32" s="33">
        <f t="shared" si="40"/>
        <v>11663.444779999998</v>
      </c>
      <c r="BM32" s="33">
        <f t="shared" si="17"/>
        <v>11663.444779999998</v>
      </c>
      <c r="BN32" s="35">
        <f t="shared" si="18"/>
        <v>17080.1330908</v>
      </c>
      <c r="BQ32" s="33">
        <f t="shared" si="41"/>
        <v>102.13452</v>
      </c>
      <c r="BR32" s="33">
        <f t="shared" si="77"/>
        <v>102.13452</v>
      </c>
      <c r="BS32" s="35">
        <f t="shared" si="19"/>
        <v>149.5674072</v>
      </c>
      <c r="BV32" s="33">
        <f t="shared" si="42"/>
        <v>10221.41971</v>
      </c>
      <c r="BW32" s="33">
        <f t="shared" si="74"/>
        <v>10221.41971</v>
      </c>
      <c r="BX32" s="35">
        <f t="shared" si="20"/>
        <v>14968.4087606</v>
      </c>
      <c r="CA32" s="33">
        <f t="shared" si="43"/>
        <v>28.707669999999997</v>
      </c>
      <c r="CB32" s="33">
        <f t="shared" si="64"/>
        <v>28.707669999999997</v>
      </c>
      <c r="CC32" s="35">
        <f t="shared" si="21"/>
        <v>42.0399662</v>
      </c>
      <c r="CF32" s="33">
        <f t="shared" si="44"/>
        <v>2.26096</v>
      </c>
      <c r="CG32" s="33">
        <f t="shared" si="75"/>
        <v>2.26096</v>
      </c>
      <c r="CH32" s="35">
        <f t="shared" si="22"/>
        <v>3.3109856</v>
      </c>
      <c r="CK32" s="33">
        <f t="shared" si="45"/>
        <v>408.13589</v>
      </c>
      <c r="CL32" s="33">
        <f t="shared" si="78"/>
        <v>408.13589</v>
      </c>
      <c r="CM32" s="35">
        <f t="shared" si="23"/>
        <v>597.6806554</v>
      </c>
      <c r="CP32" s="33">
        <f t="shared" si="46"/>
        <v>362.11231</v>
      </c>
      <c r="CQ32" s="33">
        <f t="shared" si="68"/>
        <v>362.11231</v>
      </c>
      <c r="CR32" s="35">
        <f t="shared" si="24"/>
        <v>530.2829966</v>
      </c>
      <c r="CU32" s="33">
        <f t="shared" si="47"/>
        <v>361.93839</v>
      </c>
      <c r="CV32" s="33">
        <f t="shared" si="70"/>
        <v>361.93839</v>
      </c>
      <c r="CW32" s="35">
        <f t="shared" si="25"/>
        <v>530.0283054</v>
      </c>
    </row>
    <row r="33" spans="1:101" ht="12.75">
      <c r="A33" s="52">
        <v>44652</v>
      </c>
      <c r="B33" s="53"/>
      <c r="C33" s="41">
        <v>5435000</v>
      </c>
      <c r="D33" s="41">
        <v>108700</v>
      </c>
      <c r="E33" s="35">
        <f t="shared" si="0"/>
        <v>5543700</v>
      </c>
      <c r="F33" s="35">
        <v>159175</v>
      </c>
      <c r="H33" s="71">
        <f t="shared" si="48"/>
        <v>1924666.6575000004</v>
      </c>
      <c r="I33" s="51">
        <f t="shared" si="26"/>
        <v>38493.33315</v>
      </c>
      <c r="J33" s="51">
        <f t="shared" si="71"/>
        <v>1963159.9906500005</v>
      </c>
      <c r="K33" s="51">
        <f t="shared" si="26"/>
        <v>56367.767287500006</v>
      </c>
      <c r="M33" s="33">
        <f t="shared" si="49"/>
        <v>298491.8305</v>
      </c>
      <c r="N33" s="33">
        <f t="shared" si="27"/>
        <v>5969.836609999999</v>
      </c>
      <c r="O33" s="33">
        <f t="shared" si="28"/>
        <v>304461.66711</v>
      </c>
      <c r="P33" s="35">
        <f t="shared" si="5"/>
        <v>8741.9387525</v>
      </c>
      <c r="R33" s="33">
        <f t="shared" si="50"/>
        <v>350100.96</v>
      </c>
      <c r="S33" s="51">
        <f t="shared" si="29"/>
        <v>7002.019200000001</v>
      </c>
      <c r="T33" s="51">
        <f t="shared" si="30"/>
        <v>357102.9792</v>
      </c>
      <c r="U33" s="35">
        <f t="shared" si="6"/>
        <v>10253.4168</v>
      </c>
      <c r="W33" s="33">
        <f t="shared" si="51"/>
        <v>24309.668</v>
      </c>
      <c r="X33" s="33">
        <f t="shared" si="31"/>
        <v>486.19336000000004</v>
      </c>
      <c r="Y33" s="33">
        <f t="shared" si="32"/>
        <v>24795.861360000003</v>
      </c>
      <c r="Z33" s="35">
        <f t="shared" si="7"/>
        <v>711.95794</v>
      </c>
      <c r="AB33" s="51">
        <f t="shared" si="52"/>
        <v>20293.746499999997</v>
      </c>
      <c r="AC33" s="33">
        <f t="shared" si="33"/>
        <v>405.87493</v>
      </c>
      <c r="AD33" s="33">
        <f t="shared" si="1"/>
        <v>20699.62143</v>
      </c>
      <c r="AE33" s="35">
        <f t="shared" si="8"/>
        <v>594.3435325</v>
      </c>
      <c r="AG33" s="33">
        <f t="shared" si="53"/>
        <v>6399.7125</v>
      </c>
      <c r="AH33" s="33">
        <f t="shared" si="34"/>
        <v>127.99425</v>
      </c>
      <c r="AI33" s="33">
        <f t="shared" si="72"/>
        <v>6527.706749999999</v>
      </c>
      <c r="AJ33" s="35">
        <f t="shared" si="9"/>
        <v>187.4285625</v>
      </c>
      <c r="AL33" s="33">
        <f t="shared" si="54"/>
        <v>3063.1659999999997</v>
      </c>
      <c r="AM33" s="33">
        <f t="shared" si="35"/>
        <v>61.26332</v>
      </c>
      <c r="AN33" s="33">
        <f t="shared" si="10"/>
        <v>3124.4293199999997</v>
      </c>
      <c r="AO33" s="35">
        <f t="shared" si="11"/>
        <v>89.71103000000001</v>
      </c>
      <c r="AQ33" s="33">
        <f t="shared" si="55"/>
        <v>1219.614</v>
      </c>
      <c r="AR33" s="33">
        <f t="shared" si="36"/>
        <v>24.39228</v>
      </c>
      <c r="AS33" s="33">
        <f t="shared" si="56"/>
        <v>1244.00628</v>
      </c>
      <c r="AT33" s="35">
        <f t="shared" si="12"/>
        <v>35.71887</v>
      </c>
      <c r="AV33" s="33">
        <f t="shared" si="57"/>
        <v>22172.626</v>
      </c>
      <c r="AW33" s="33">
        <f t="shared" si="37"/>
        <v>443.45252</v>
      </c>
      <c r="AX33" s="33">
        <f t="shared" si="73"/>
        <v>22616.07852</v>
      </c>
      <c r="AY33" s="35">
        <f t="shared" si="13"/>
        <v>649.37033</v>
      </c>
      <c r="BA33" s="51">
        <f t="shared" si="58"/>
        <v>29622.924</v>
      </c>
      <c r="BB33" s="51">
        <f t="shared" si="38"/>
        <v>592.45848</v>
      </c>
      <c r="BC33" s="33">
        <f t="shared" si="14"/>
        <v>30215.38248</v>
      </c>
      <c r="BD33" s="35">
        <f t="shared" si="15"/>
        <v>867.5674200000001</v>
      </c>
      <c r="BF33" s="51">
        <f t="shared" si="59"/>
        <v>11484.6985</v>
      </c>
      <c r="BG33" s="51">
        <f t="shared" si="39"/>
        <v>229.69397</v>
      </c>
      <c r="BH33" s="33">
        <f t="shared" si="76"/>
        <v>11714.39247</v>
      </c>
      <c r="BI33" s="35">
        <f t="shared" si="16"/>
        <v>336.35269250000005</v>
      </c>
      <c r="BK33" s="33">
        <f t="shared" si="60"/>
        <v>583172.239</v>
      </c>
      <c r="BL33" s="33">
        <f t="shared" si="40"/>
        <v>11663.444779999998</v>
      </c>
      <c r="BM33" s="33">
        <f t="shared" si="17"/>
        <v>594835.68378</v>
      </c>
      <c r="BN33" s="35">
        <f t="shared" si="18"/>
        <v>17079.381995</v>
      </c>
      <c r="BP33" s="33">
        <f t="shared" si="61"/>
        <v>5106.726000000001</v>
      </c>
      <c r="BQ33" s="33">
        <f t="shared" si="41"/>
        <v>102.13452</v>
      </c>
      <c r="BR33" s="33">
        <f t="shared" si="77"/>
        <v>5208.86052</v>
      </c>
      <c r="BS33" s="35">
        <f t="shared" si="19"/>
        <v>149.56082999999998</v>
      </c>
      <c r="BU33" s="33">
        <f t="shared" si="62"/>
        <v>511070.98550000007</v>
      </c>
      <c r="BV33" s="33">
        <f t="shared" si="42"/>
        <v>10221.41971</v>
      </c>
      <c r="BW33" s="33">
        <f t="shared" si="74"/>
        <v>521292.40521000006</v>
      </c>
      <c r="BX33" s="35">
        <f t="shared" si="20"/>
        <v>14967.7505275</v>
      </c>
      <c r="BZ33" s="33">
        <f t="shared" si="63"/>
        <v>1435.3835000000001</v>
      </c>
      <c r="CA33" s="33">
        <f t="shared" si="43"/>
        <v>28.707669999999997</v>
      </c>
      <c r="CB33" s="33">
        <f t="shared" si="64"/>
        <v>1464.0911700000001</v>
      </c>
      <c r="CC33" s="35">
        <f t="shared" si="21"/>
        <v>42.038117500000006</v>
      </c>
      <c r="CE33" s="33">
        <f t="shared" si="65"/>
        <v>113.04799999999999</v>
      </c>
      <c r="CF33" s="33">
        <f t="shared" si="44"/>
        <v>2.26096</v>
      </c>
      <c r="CG33" s="33">
        <f t="shared" si="75"/>
        <v>115.30895999999998</v>
      </c>
      <c r="CH33" s="35">
        <f t="shared" si="22"/>
        <v>3.3108400000000002</v>
      </c>
      <c r="CJ33" s="33">
        <f t="shared" si="66"/>
        <v>20406.794500000004</v>
      </c>
      <c r="CK33" s="33">
        <f t="shared" si="45"/>
        <v>408.13589</v>
      </c>
      <c r="CL33" s="33">
        <f t="shared" si="78"/>
        <v>20814.930390000005</v>
      </c>
      <c r="CM33" s="35">
        <f t="shared" si="23"/>
        <v>597.6543725</v>
      </c>
      <c r="CO33" s="33">
        <f t="shared" si="67"/>
        <v>18105.6155</v>
      </c>
      <c r="CP33" s="33">
        <f t="shared" si="46"/>
        <v>362.11231</v>
      </c>
      <c r="CQ33" s="33">
        <f t="shared" si="68"/>
        <v>18467.72781</v>
      </c>
      <c r="CR33" s="35">
        <f t="shared" si="24"/>
        <v>530.2596775000001</v>
      </c>
      <c r="CT33" s="33">
        <f t="shared" si="69"/>
        <v>18096.9195</v>
      </c>
      <c r="CU33" s="33">
        <f t="shared" si="47"/>
        <v>361.93839</v>
      </c>
      <c r="CV33" s="33">
        <f t="shared" si="70"/>
        <v>18458.85789</v>
      </c>
      <c r="CW33" s="35">
        <f t="shared" si="25"/>
        <v>530.0049975000001</v>
      </c>
    </row>
    <row r="34" spans="3:101" ht="12.75">
      <c r="C34" s="41"/>
      <c r="D34" s="41"/>
      <c r="E34" s="41"/>
      <c r="F34" s="41"/>
      <c r="H34" s="71"/>
      <c r="I34" s="51"/>
      <c r="J34" s="51"/>
      <c r="K34" s="41"/>
      <c r="P34" s="41"/>
      <c r="S34" s="51"/>
      <c r="T34" s="51"/>
      <c r="U34" s="41"/>
      <c r="Z34" s="41"/>
      <c r="AB34" s="51"/>
      <c r="AE34" s="41"/>
      <c r="AJ34" s="41"/>
      <c r="AO34" s="41"/>
      <c r="AT34" s="41"/>
      <c r="AY34" s="41"/>
      <c r="BA34" s="51"/>
      <c r="BB34" s="51"/>
      <c r="BD34" s="41"/>
      <c r="BF34" s="51"/>
      <c r="BG34" s="51"/>
      <c r="BI34" s="41"/>
      <c r="BN34" s="41"/>
      <c r="BS34" s="41"/>
      <c r="BX34" s="41"/>
      <c r="CC34" s="41"/>
      <c r="CH34" s="41"/>
      <c r="CM34" s="41"/>
      <c r="CR34" s="41"/>
      <c r="CW34" s="41"/>
    </row>
    <row r="35" spans="1:101" ht="13.5" thickBot="1">
      <c r="A35" s="31" t="s">
        <v>4</v>
      </c>
      <c r="C35" s="50">
        <f>SUM(C8:C34)</f>
        <v>55710000</v>
      </c>
      <c r="D35" s="50">
        <f>SUM(D8:D34)</f>
        <v>18165594</v>
      </c>
      <c r="E35" s="50">
        <f>SUM(E8:E34)</f>
        <v>73875594</v>
      </c>
      <c r="F35" s="50">
        <f>SUM(F8:F34)</f>
        <v>3979543</v>
      </c>
      <c r="H35" s="50">
        <f>SUM(H8:H34)</f>
        <v>19728275.895</v>
      </c>
      <c r="I35" s="50">
        <f>SUM(I8:I34)</f>
        <v>6204491.420925001</v>
      </c>
      <c r="J35" s="50">
        <f>SUM(J8:J34)</f>
        <v>25932767.315925006</v>
      </c>
      <c r="K35" s="50">
        <f>SUM(K8:K34)</f>
        <v>1409253.6751035</v>
      </c>
      <c r="M35" s="50">
        <f>SUM(M8:M34)</f>
        <v>3059609.9129999997</v>
      </c>
      <c r="N35" s="50">
        <f>SUM(N8:N34)</f>
        <v>962239.3541950001</v>
      </c>
      <c r="O35" s="50">
        <f>SUM(O8:O34)</f>
        <v>4021849.267194999</v>
      </c>
      <c r="P35" s="50">
        <f>SUM(P8:P34)</f>
        <v>218557.6954229</v>
      </c>
      <c r="R35" s="50">
        <f>SUM(R8:R34)</f>
        <v>3588615.36</v>
      </c>
      <c r="S35" s="50">
        <f>SUM(S8:S34)</f>
        <v>1128610.1904</v>
      </c>
      <c r="T35" s="50">
        <f>SUM(T8:T34)</f>
        <v>4717225.550399999</v>
      </c>
      <c r="U35" s="50">
        <f>SUM(U8:U34)</f>
        <v>256346.2418880001</v>
      </c>
      <c r="W35" s="50">
        <f>SUM(W8:W34)</f>
        <v>249179.68800000002</v>
      </c>
      <c r="X35" s="50">
        <f>SUM(X8:X34)</f>
        <v>78366.36332</v>
      </c>
      <c r="Y35" s="50">
        <f>SUM(Y8:Y34)</f>
        <v>327546.05132</v>
      </c>
      <c r="Z35" s="50">
        <f>SUM(Z8:Z34)</f>
        <v>17799.699930399995</v>
      </c>
      <c r="AB35" s="50">
        <f>SUM(AB8:AB34)</f>
        <v>208015.56900000002</v>
      </c>
      <c r="AC35" s="50">
        <f>SUM(AC8:AC34)</f>
        <v>65420.355035</v>
      </c>
      <c r="AD35" s="50">
        <f>SUM(AD8:AD34)</f>
        <v>273435.92403500003</v>
      </c>
      <c r="AE35" s="50">
        <f>SUM(AE8:AE34)</f>
        <v>14859.215607700004</v>
      </c>
      <c r="AG35" s="50">
        <f>SUM(AG8:AG34)</f>
        <v>65598.525</v>
      </c>
      <c r="AH35" s="50">
        <f>SUM(AH8:AH34)</f>
        <v>20630.565375</v>
      </c>
      <c r="AI35" s="50">
        <f>SUM(AI8:AI34)</f>
        <v>86229.09037500001</v>
      </c>
      <c r="AJ35" s="50">
        <f>SUM(AJ8:AJ34)</f>
        <v>4685.9118825</v>
      </c>
      <c r="AL35" s="50">
        <f>SUM(AL8:AL34)</f>
        <v>31398.156000000003</v>
      </c>
      <c r="AM35" s="50">
        <f>SUM(AM8:AM34)</f>
        <v>9874.638340000001</v>
      </c>
      <c r="AN35" s="50">
        <f>SUM(AN8:AN34)</f>
        <v>41272.79433999999</v>
      </c>
      <c r="AO35" s="50">
        <f>SUM(AO8:AO34)</f>
        <v>2242.8704348</v>
      </c>
      <c r="AQ35" s="50">
        <f>SUM(AQ8:AQ34)</f>
        <v>12501.324</v>
      </c>
      <c r="AR35" s="50">
        <f>SUM(AR8:AR34)</f>
        <v>3931.6338600000004</v>
      </c>
      <c r="AS35" s="50">
        <f>SUM(AS8:AS34)</f>
        <v>16432.957860000002</v>
      </c>
      <c r="AT35" s="50">
        <f>SUM(AT8:AT34)</f>
        <v>893.0094492000001</v>
      </c>
      <c r="AV35" s="50">
        <f>SUM(AV8:AV34)</f>
        <v>227274.51599999995</v>
      </c>
      <c r="AW35" s="50">
        <f>SUM(AW8:AW34)</f>
        <v>71477.24374000002</v>
      </c>
      <c r="AX35" s="50">
        <f>SUM(AX8:AX34)</f>
        <v>298751.75973999995</v>
      </c>
      <c r="AY35" s="50">
        <f>SUM(AY8:AY34)</f>
        <v>16234.94362280001</v>
      </c>
      <c r="BA35" s="50">
        <f>SUM(BA8:BA34)</f>
        <v>303641.784</v>
      </c>
      <c r="BB35" s="50">
        <f>SUM(BB8:BB34)</f>
        <v>95494.55075999997</v>
      </c>
      <c r="BC35" s="50">
        <f>SUM(BC8:BC34)</f>
        <v>399136.3347599999</v>
      </c>
      <c r="BD35" s="50">
        <f>SUM(BD8:BD34)</f>
        <v>21690.101167199988</v>
      </c>
      <c r="BF35" s="50">
        <f>SUM(BF8:BF34)</f>
        <v>117720.80099999999</v>
      </c>
      <c r="BG35" s="50">
        <f>SUM(BG8:BG34)</f>
        <v>37022.88551500001</v>
      </c>
      <c r="BH35" s="50">
        <f>SUM(BH8:BH34)</f>
        <v>154743.68651499998</v>
      </c>
      <c r="BI35" s="50">
        <f>SUM(BI8:BI34)</f>
        <v>8409.172313300001</v>
      </c>
      <c r="BK35" s="50">
        <f>SUM(BK8:BK34)</f>
        <v>5977649.574000001</v>
      </c>
      <c r="BL35" s="50">
        <f>SUM(BL8:BL34)</f>
        <v>1879955.2326099998</v>
      </c>
      <c r="BM35" s="50">
        <f>SUM(BM8:BM34)</f>
        <v>7857604.806609999</v>
      </c>
      <c r="BN35" s="50">
        <f>SUM(BN8:BN34)</f>
        <v>427002.57617420016</v>
      </c>
      <c r="BP35" s="50">
        <f>SUM(BP8:BP34)</f>
        <v>52345.116</v>
      </c>
      <c r="BQ35" s="50">
        <f>SUM(BQ8:BQ34)</f>
        <v>16462.402739999998</v>
      </c>
      <c r="BR35" s="50">
        <f>SUM(BR8:BR34)</f>
        <v>68807.51874</v>
      </c>
      <c r="BS35" s="50">
        <f>SUM(BS8:BS34)</f>
        <v>3739.178602800001</v>
      </c>
      <c r="BU35" s="50">
        <f>SUM(BU8:BU34)</f>
        <v>5238595.143</v>
      </c>
      <c r="BV35" s="50">
        <f>SUM(BV8:BV34)</f>
        <v>1647524.5376450007</v>
      </c>
      <c r="BW35" s="50">
        <f>SUM(BW8:BW34)</f>
        <v>6886119.680644998</v>
      </c>
      <c r="BX35" s="50">
        <f>SUM(BX8:BX34)</f>
        <v>374209.56078190013</v>
      </c>
      <c r="BZ35" s="50">
        <f>SUM(BZ8:BZ34)</f>
        <v>14713.011000000002</v>
      </c>
      <c r="CA35" s="50">
        <f>SUM(CA8:CA34)</f>
        <v>4627.203665</v>
      </c>
      <c r="CB35" s="50">
        <f>SUM(CB8:CB34)</f>
        <v>19340.214664999996</v>
      </c>
      <c r="CC35" s="50">
        <f>SUM(CC8:CC34)</f>
        <v>1050.9973062999998</v>
      </c>
      <c r="CE35" s="50">
        <f>SUM(CE8:CE34)</f>
        <v>1158.768</v>
      </c>
      <c r="CF35" s="50">
        <f>SUM(CF8:CF34)</f>
        <v>364.42952</v>
      </c>
      <c r="CG35" s="50">
        <f>SUM(CG8:CG34)</f>
        <v>1523.19752</v>
      </c>
      <c r="CH35" s="50">
        <f>SUM(CH8:CH34)</f>
        <v>82.7744944</v>
      </c>
      <c r="CJ35" s="50">
        <f>SUM(CJ8:CJ34)</f>
        <v>209174.337</v>
      </c>
      <c r="CK35" s="50">
        <f>SUM(CK8:CK34)</f>
        <v>65784.78455500002</v>
      </c>
      <c r="CL35" s="50">
        <f>SUM(CL8:CL34)</f>
        <v>274959.121555</v>
      </c>
      <c r="CM35" s="50">
        <f>SUM(CM8:CM34)</f>
        <v>14941.990102099991</v>
      </c>
      <c r="CO35" s="50">
        <f>SUM(CO8:CO34)</f>
        <v>185586.723</v>
      </c>
      <c r="CP35" s="50">
        <f>SUM(CP8:CP34)</f>
        <v>58366.54134500002</v>
      </c>
      <c r="CQ35" s="50">
        <f>SUM(CQ8:CQ34)</f>
        <v>243953.26434499997</v>
      </c>
      <c r="CR35" s="50">
        <f>SUM(CR8:CR34)</f>
        <v>13257.051595900008</v>
      </c>
      <c r="CT35" s="50">
        <f>SUM(CT8:CT34)</f>
        <v>185497.58699999997</v>
      </c>
      <c r="CU35" s="50">
        <f>SUM(CU8:CU34)</f>
        <v>58338.508304999996</v>
      </c>
      <c r="CV35" s="50">
        <f>SUM(CV8:CV34)</f>
        <v>243836.09530500008</v>
      </c>
      <c r="CW35" s="50">
        <f>SUM(CW8:CW34)</f>
        <v>13250.684327099994</v>
      </c>
    </row>
    <row r="36" spans="1:6" ht="13.5" thickTop="1">
      <c r="A36"/>
      <c r="C36"/>
      <c r="D36"/>
      <c r="E36"/>
      <c r="F36"/>
    </row>
    <row r="37" spans="1:6" ht="12.75">
      <c r="A37"/>
      <c r="C37"/>
      <c r="D37"/>
      <c r="E37"/>
      <c r="F37"/>
    </row>
    <row r="38" spans="1:6" ht="12.75">
      <c r="A38"/>
      <c r="C38"/>
      <c r="D38"/>
      <c r="E38"/>
      <c r="F38"/>
    </row>
    <row r="39" spans="1:6" ht="12.75">
      <c r="A39"/>
      <c r="C39"/>
      <c r="D39"/>
      <c r="E39"/>
      <c r="F39"/>
    </row>
    <row r="40" spans="1:6" ht="12.75">
      <c r="A40"/>
      <c r="C40"/>
      <c r="D40"/>
      <c r="E40"/>
      <c r="F40"/>
    </row>
    <row r="41" spans="1:6" ht="12.75">
      <c r="A41"/>
      <c r="C41"/>
      <c r="D41"/>
      <c r="E41"/>
      <c r="F41"/>
    </row>
    <row r="42" spans="1:6" ht="12.75">
      <c r="A42"/>
      <c r="C42"/>
      <c r="D42"/>
      <c r="E42"/>
      <c r="F42"/>
    </row>
    <row r="43" spans="1:6" ht="12.75">
      <c r="A43"/>
      <c r="C43"/>
      <c r="D43"/>
      <c r="E43"/>
      <c r="F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4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7:44" ht="12.75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7:44" ht="12.75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7:44" ht="12.75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7:44" ht="12.75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7:44" ht="12.75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7:44" ht="12.75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7:44" ht="12.75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7:44" ht="12.75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7:44" ht="12.75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7:44" ht="12.75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8:44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8:44" ht="12.7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</sheetData>
  <sheetProtection/>
  <printOptions/>
  <pageMargins left="0.5" right="0" top="0.75" bottom="0.25" header="0.25" footer="0.25"/>
  <pageSetup horizontalDpi="600" verticalDpi="600" orientation="landscape" scale="90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9" sqref="D49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93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8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37</v>
      </c>
      <c r="H4" s="4" t="s">
        <v>37</v>
      </c>
      <c r="I4" s="4" t="s">
        <v>17</v>
      </c>
      <c r="J4" s="4" t="s">
        <v>18</v>
      </c>
      <c r="K4" s="4" t="s">
        <v>100</v>
      </c>
      <c r="L4" s="4" t="s">
        <v>24</v>
      </c>
      <c r="M4" s="4" t="s">
        <v>19</v>
      </c>
      <c r="N4" s="4" t="s">
        <v>48</v>
      </c>
      <c r="O4" s="4" t="s">
        <v>20</v>
      </c>
      <c r="P4" s="4" t="s">
        <v>50</v>
      </c>
      <c r="Q4" s="4" t="s">
        <v>21</v>
      </c>
      <c r="R4" s="4" t="s">
        <v>22</v>
      </c>
      <c r="S4" s="4" t="s">
        <v>22</v>
      </c>
      <c r="T4" s="59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55710000</v>
      </c>
      <c r="E5" s="9">
        <f aca="true" t="shared" si="0" ref="E5:S5">SUM(E6:E45)</f>
        <v>16383095.969999999</v>
      </c>
      <c r="F5" s="9">
        <f t="shared" si="0"/>
        <v>6405571.1899999995</v>
      </c>
      <c r="G5" s="9">
        <f t="shared" si="0"/>
        <v>0</v>
      </c>
      <c r="H5" s="9">
        <f t="shared" si="0"/>
        <v>65597.23</v>
      </c>
      <c r="I5" s="9">
        <f t="shared" si="0"/>
        <v>1105957.05</v>
      </c>
      <c r="J5" s="9">
        <f t="shared" si="0"/>
        <v>1469208.2</v>
      </c>
      <c r="K5" s="9">
        <f t="shared" si="0"/>
        <v>303641.6</v>
      </c>
      <c r="L5" s="9">
        <f t="shared" si="0"/>
        <v>786715.3099999999</v>
      </c>
      <c r="M5" s="9">
        <f t="shared" si="0"/>
        <v>6107929.54</v>
      </c>
      <c r="N5" s="9">
        <f t="shared" si="0"/>
        <v>5503326.9399999995</v>
      </c>
      <c r="O5" s="9">
        <f t="shared" si="0"/>
        <v>533663.17</v>
      </c>
      <c r="P5" s="9">
        <f t="shared" si="0"/>
        <v>12264204.71</v>
      </c>
      <c r="Q5" s="9">
        <f t="shared" si="0"/>
        <v>4595589.09</v>
      </c>
      <c r="R5" s="9">
        <f t="shared" si="0"/>
        <v>0</v>
      </c>
      <c r="S5" s="9">
        <f t="shared" si="0"/>
        <v>185500</v>
      </c>
      <c r="T5" s="15"/>
    </row>
    <row r="6" spans="1:20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5" t="s">
        <v>5</v>
      </c>
      <c r="B7" s="55" t="s">
        <v>99</v>
      </c>
      <c r="C7" s="55" t="s">
        <v>96</v>
      </c>
      <c r="D7" s="5">
        <f aca="true" t="shared" si="1" ref="D7:D44">SUM(E7:S7)</f>
        <v>3059608.2800000003</v>
      </c>
      <c r="E7" s="76">
        <f>1546923.37+1512684.91</f>
        <v>3059608.2800000003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4">D7/$D$5</f>
        <v>0.05492027068748879</v>
      </c>
    </row>
    <row r="8" spans="1:20" ht="12.75">
      <c r="A8" s="55" t="s">
        <v>5</v>
      </c>
      <c r="B8" s="55" t="s">
        <v>97</v>
      </c>
      <c r="C8" s="55" t="s">
        <v>98</v>
      </c>
      <c r="D8" s="5">
        <f t="shared" si="1"/>
        <v>3588616.28</v>
      </c>
      <c r="E8" s="76">
        <v>3588616.28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0.06441601651409082</v>
      </c>
    </row>
    <row r="9" spans="1:20" ht="12.75">
      <c r="A9" s="55" t="s">
        <v>16</v>
      </c>
      <c r="B9" s="55" t="s">
        <v>102</v>
      </c>
      <c r="C9" s="55" t="s">
        <v>96</v>
      </c>
      <c r="D9" s="5">
        <f t="shared" si="1"/>
        <v>249179.47000000003</v>
      </c>
      <c r="E9" s="76"/>
      <c r="F9" s="76">
        <f>121126.6+107270.3+20782.57</f>
        <v>249179.47000000003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0.004472796086878479</v>
      </c>
    </row>
    <row r="10" spans="1:20" ht="12.75">
      <c r="A10" s="55" t="s">
        <v>16</v>
      </c>
      <c r="B10" s="55" t="s">
        <v>108</v>
      </c>
      <c r="C10" s="55" t="s">
        <v>104</v>
      </c>
      <c r="D10" s="5">
        <f t="shared" si="1"/>
        <v>208013.9</v>
      </c>
      <c r="E10" s="76"/>
      <c r="F10" s="76">
        <f>208013.9</f>
        <v>208013.9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0.003733870041285227</v>
      </c>
    </row>
    <row r="11" spans="1:20" ht="12.75">
      <c r="A11" s="55" t="s">
        <v>37</v>
      </c>
      <c r="B11" s="55" t="s">
        <v>105</v>
      </c>
      <c r="C11" s="55" t="s">
        <v>104</v>
      </c>
      <c r="D11" s="5">
        <f t="shared" si="1"/>
        <v>65597.23</v>
      </c>
      <c r="E11" s="76"/>
      <c r="F11" s="76"/>
      <c r="G11" s="7"/>
      <c r="H11" s="76">
        <f>65597.23</f>
        <v>65597.23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0.0011774767546221504</v>
      </c>
    </row>
    <row r="12" spans="1:20" ht="12.75">
      <c r="A12" s="55" t="s">
        <v>17</v>
      </c>
      <c r="B12" s="55" t="s">
        <v>97</v>
      </c>
      <c r="C12" s="55" t="s">
        <v>96</v>
      </c>
      <c r="D12" s="5">
        <f t="shared" si="1"/>
        <v>31400</v>
      </c>
      <c r="E12" s="76"/>
      <c r="F12" s="76"/>
      <c r="G12" s="7"/>
      <c r="H12" s="7"/>
      <c r="I12" s="76">
        <f>31400</f>
        <v>31400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0.0005636330999820499</v>
      </c>
    </row>
    <row r="13" spans="1:20" ht="12.75">
      <c r="A13" s="55" t="s">
        <v>17</v>
      </c>
      <c r="B13" s="55" t="s">
        <v>110</v>
      </c>
      <c r="C13" s="55" t="s">
        <v>111</v>
      </c>
      <c r="D13" s="5">
        <f t="shared" si="1"/>
        <v>12504.05</v>
      </c>
      <c r="E13" s="76"/>
      <c r="F13" s="76"/>
      <c r="G13" s="7"/>
      <c r="H13" s="7"/>
      <c r="I13" s="76">
        <f>12504.05</f>
        <v>12504.05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0.00022444893196912582</v>
      </c>
    </row>
    <row r="14" spans="1:20" ht="12.75">
      <c r="A14" s="55" t="s">
        <v>18</v>
      </c>
      <c r="B14" s="55" t="s">
        <v>101</v>
      </c>
      <c r="C14" s="55" t="s">
        <v>96</v>
      </c>
      <c r="D14" s="5">
        <f t="shared" si="1"/>
        <v>227274.04</v>
      </c>
      <c r="E14" s="76"/>
      <c r="F14" s="76"/>
      <c r="G14" s="7"/>
      <c r="H14" s="7"/>
      <c r="I14" s="76"/>
      <c r="J14" s="76">
        <f>227274.04</f>
        <v>227274.04</v>
      </c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0.004079591455753007</v>
      </c>
    </row>
    <row r="15" spans="1:20" ht="12.75">
      <c r="A15" s="55" t="s">
        <v>100</v>
      </c>
      <c r="B15" s="55" t="s">
        <v>103</v>
      </c>
      <c r="C15" s="55" t="s">
        <v>96</v>
      </c>
      <c r="D15" s="5">
        <f t="shared" si="1"/>
        <v>303641.6</v>
      </c>
      <c r="E15" s="76"/>
      <c r="F15" s="76"/>
      <c r="G15" s="7"/>
      <c r="H15" s="7"/>
      <c r="I15" s="76"/>
      <c r="J15" s="7"/>
      <c r="K15" s="76">
        <f>299999.6+3642</f>
        <v>303641.6</v>
      </c>
      <c r="L15" s="76"/>
      <c r="M15" s="7"/>
      <c r="N15" s="7"/>
      <c r="O15" s="7"/>
      <c r="P15" s="7"/>
      <c r="Q15" s="7"/>
      <c r="R15" s="7"/>
      <c r="S15" s="7"/>
      <c r="T15" s="12">
        <f t="shared" si="2"/>
        <v>0.005450396697181834</v>
      </c>
    </row>
    <row r="16" spans="1:20" ht="12.75">
      <c r="A16" s="55" t="s">
        <v>24</v>
      </c>
      <c r="B16" s="55" t="s">
        <v>105</v>
      </c>
      <c r="C16" s="55" t="s">
        <v>106</v>
      </c>
      <c r="D16" s="5">
        <f t="shared" si="1"/>
        <v>117720.73</v>
      </c>
      <c r="E16" s="76"/>
      <c r="F16" s="76"/>
      <c r="G16" s="7"/>
      <c r="H16" s="7"/>
      <c r="I16" s="76"/>
      <c r="J16" s="7"/>
      <c r="K16" s="76"/>
      <c r="L16" s="76">
        <f>117720.73</f>
        <v>117720.73</v>
      </c>
      <c r="M16" s="7"/>
      <c r="N16" s="7"/>
      <c r="O16" s="7"/>
      <c r="P16" s="7"/>
      <c r="Q16" s="7"/>
      <c r="R16" s="7"/>
      <c r="S16" s="7"/>
      <c r="T16" s="12">
        <f t="shared" si="2"/>
        <v>0.0021130987255429906</v>
      </c>
    </row>
    <row r="17" spans="1:20" ht="12.75">
      <c r="A17" s="55" t="s">
        <v>19</v>
      </c>
      <c r="B17" s="55" t="s">
        <v>95</v>
      </c>
      <c r="C17" s="55" t="s">
        <v>117</v>
      </c>
      <c r="D17" s="5">
        <f t="shared" si="1"/>
        <v>5977649.54</v>
      </c>
      <c r="E17" s="76"/>
      <c r="F17" s="7"/>
      <c r="G17" s="7"/>
      <c r="H17" s="7"/>
      <c r="I17" s="7"/>
      <c r="J17" s="7"/>
      <c r="K17" s="7"/>
      <c r="L17" s="7"/>
      <c r="M17" s="76">
        <f>5977649.54</f>
        <v>5977649.54</v>
      </c>
      <c r="N17" s="7"/>
      <c r="O17" s="7"/>
      <c r="P17" s="7"/>
      <c r="Q17" s="7"/>
      <c r="R17" s="7"/>
      <c r="S17" s="7"/>
      <c r="T17" s="12">
        <f t="shared" si="2"/>
        <v>0.10729939938969664</v>
      </c>
    </row>
    <row r="18" spans="1:20" ht="12.75">
      <c r="A18" s="55" t="s">
        <v>48</v>
      </c>
      <c r="B18" s="55" t="s">
        <v>97</v>
      </c>
      <c r="C18" s="55" t="s">
        <v>96</v>
      </c>
      <c r="D18" s="5">
        <f t="shared" si="1"/>
        <v>52345</v>
      </c>
      <c r="E18" s="76"/>
      <c r="F18" s="7"/>
      <c r="G18" s="7"/>
      <c r="H18" s="7"/>
      <c r="I18" s="7"/>
      <c r="J18" s="7"/>
      <c r="K18" s="7"/>
      <c r="L18" s="7"/>
      <c r="M18" s="76"/>
      <c r="N18" s="76">
        <f>52345</f>
        <v>52345</v>
      </c>
      <c r="O18" s="7"/>
      <c r="P18" s="7"/>
      <c r="Q18" s="7"/>
      <c r="R18" s="7"/>
      <c r="S18" s="7"/>
      <c r="T18" s="12">
        <f t="shared" si="2"/>
        <v>0.0009395979177885479</v>
      </c>
    </row>
    <row r="19" spans="1:20" ht="12.75">
      <c r="A19" s="55" t="s">
        <v>48</v>
      </c>
      <c r="B19" s="55" t="s">
        <v>101</v>
      </c>
      <c r="C19" s="55" t="s">
        <v>116</v>
      </c>
      <c r="D19" s="5">
        <f t="shared" si="1"/>
        <v>5238590.59</v>
      </c>
      <c r="E19" s="76"/>
      <c r="F19" s="7"/>
      <c r="G19" s="7"/>
      <c r="H19" s="7"/>
      <c r="I19" s="7"/>
      <c r="J19" s="7"/>
      <c r="K19" s="7"/>
      <c r="L19" s="7"/>
      <c r="M19" s="76"/>
      <c r="N19" s="76">
        <f>8229563.9-2990973.31</f>
        <v>5238590.59</v>
      </c>
      <c r="O19" s="7"/>
      <c r="P19" s="7"/>
      <c r="Q19" s="7"/>
      <c r="R19" s="7"/>
      <c r="S19" s="7"/>
      <c r="T19" s="12">
        <f t="shared" si="2"/>
        <v>0.0940332182732005</v>
      </c>
    </row>
    <row r="20" spans="1:20" ht="12.75">
      <c r="A20" s="55" t="s">
        <v>20</v>
      </c>
      <c r="B20" s="55" t="s">
        <v>97</v>
      </c>
      <c r="C20" s="55" t="s">
        <v>96</v>
      </c>
      <c r="D20" s="5">
        <f t="shared" si="1"/>
        <v>14712.46</v>
      </c>
      <c r="E20" s="76"/>
      <c r="F20" s="7"/>
      <c r="G20" s="7"/>
      <c r="H20" s="7"/>
      <c r="I20" s="7"/>
      <c r="J20" s="7"/>
      <c r="K20" s="7"/>
      <c r="L20" s="7"/>
      <c r="M20" s="76"/>
      <c r="N20" s="76"/>
      <c r="O20" s="76">
        <f>14712.46</f>
        <v>14712.46</v>
      </c>
      <c r="P20" s="7"/>
      <c r="Q20" s="7"/>
      <c r="R20" s="7"/>
      <c r="S20" s="7"/>
      <c r="T20" s="12">
        <f t="shared" si="2"/>
        <v>0.00026409010949560223</v>
      </c>
    </row>
    <row r="21" spans="1:20" ht="12.75">
      <c r="A21" s="55" t="s">
        <v>20</v>
      </c>
      <c r="B21" s="55" t="s">
        <v>110</v>
      </c>
      <c r="C21" s="55" t="s">
        <v>104</v>
      </c>
      <c r="D21" s="5">
        <f t="shared" si="1"/>
        <v>1159.34</v>
      </c>
      <c r="E21" s="76"/>
      <c r="F21" s="7"/>
      <c r="G21" s="7"/>
      <c r="H21" s="7"/>
      <c r="I21" s="7"/>
      <c r="J21" s="7"/>
      <c r="K21" s="7"/>
      <c r="L21" s="7"/>
      <c r="M21" s="76"/>
      <c r="N21" s="76"/>
      <c r="O21" s="76">
        <f>1159.34</f>
        <v>1159.34</v>
      </c>
      <c r="P21" s="7"/>
      <c r="Q21" s="7"/>
      <c r="R21" s="7"/>
      <c r="S21" s="7"/>
      <c r="T21" s="12">
        <f t="shared" si="2"/>
        <v>2.0810267456471008E-05</v>
      </c>
    </row>
    <row r="22" spans="1:20" ht="12.75">
      <c r="A22" s="55" t="s">
        <v>50</v>
      </c>
      <c r="B22" s="55" t="s">
        <v>101</v>
      </c>
      <c r="C22" s="55" t="s">
        <v>96</v>
      </c>
      <c r="D22" s="5">
        <f t="shared" si="1"/>
        <v>209172.72</v>
      </c>
      <c r="E22" s="76"/>
      <c r="F22" s="7"/>
      <c r="G22" s="7"/>
      <c r="H22" s="7"/>
      <c r="I22" s="7"/>
      <c r="J22" s="7"/>
      <c r="K22" s="7"/>
      <c r="L22" s="7"/>
      <c r="M22" s="76"/>
      <c r="N22" s="76"/>
      <c r="O22" s="76"/>
      <c r="P22" s="76">
        <f>209172.72</f>
        <v>209172.72</v>
      </c>
      <c r="Q22" s="7"/>
      <c r="R22" s="7"/>
      <c r="S22" s="7"/>
      <c r="T22" s="12">
        <f t="shared" si="2"/>
        <v>0.003754670974690361</v>
      </c>
    </row>
    <row r="23" spans="1:20" ht="12.75">
      <c r="A23" s="55" t="s">
        <v>21</v>
      </c>
      <c r="B23" s="55" t="s">
        <v>107</v>
      </c>
      <c r="C23" s="55" t="s">
        <v>96</v>
      </c>
      <c r="D23" s="5">
        <f t="shared" si="1"/>
        <v>185586.81</v>
      </c>
      <c r="E23" s="76"/>
      <c r="F23" s="7"/>
      <c r="G23" s="7"/>
      <c r="H23" s="7"/>
      <c r="I23" s="7"/>
      <c r="J23" s="7"/>
      <c r="K23" s="7"/>
      <c r="L23" s="7"/>
      <c r="M23" s="76"/>
      <c r="N23" s="76"/>
      <c r="O23" s="76"/>
      <c r="P23" s="7"/>
      <c r="Q23" s="76">
        <f>42996.8+915.5+950+140724.51</f>
        <v>185586.81</v>
      </c>
      <c r="R23" s="7"/>
      <c r="S23" s="7"/>
      <c r="T23" s="12">
        <f t="shared" si="2"/>
        <v>0.003331301561658589</v>
      </c>
    </row>
    <row r="24" spans="1:20" ht="12.75">
      <c r="A24" s="55" t="s">
        <v>22</v>
      </c>
      <c r="B24" s="55" t="s">
        <v>109</v>
      </c>
      <c r="C24" s="55" t="s">
        <v>104</v>
      </c>
      <c r="D24" s="5">
        <f t="shared" si="1"/>
        <v>185500</v>
      </c>
      <c r="E24" s="76"/>
      <c r="F24" s="7"/>
      <c r="G24" s="7"/>
      <c r="H24" s="7"/>
      <c r="I24" s="7"/>
      <c r="J24" s="7"/>
      <c r="K24" s="7"/>
      <c r="L24" s="7"/>
      <c r="M24" s="76"/>
      <c r="N24" s="76"/>
      <c r="O24" s="76"/>
      <c r="P24" s="7"/>
      <c r="Q24" s="76"/>
      <c r="R24" s="7"/>
      <c r="S24" s="76">
        <f>140799.09+42800+1900.91</f>
        <v>185500</v>
      </c>
      <c r="T24" s="12">
        <f t="shared" si="2"/>
        <v>0.003329743313588225</v>
      </c>
    </row>
    <row r="25" spans="1:21" ht="12.75">
      <c r="A25" s="30" t="s">
        <v>5</v>
      </c>
      <c r="B25" s="30" t="s">
        <v>38</v>
      </c>
      <c r="C25" t="s">
        <v>64</v>
      </c>
      <c r="D25" s="5">
        <f t="shared" si="1"/>
        <v>5610738.3</v>
      </c>
      <c r="E25" s="5">
        <f>5610738.3</f>
        <v>5610738.3</v>
      </c>
      <c r="T25" s="12">
        <f aca="true" t="shared" si="3" ref="T25:T44">D25/$D$5</f>
        <v>0.10071330640818524</v>
      </c>
      <c r="U25" s="12"/>
    </row>
    <row r="26" spans="1:21" ht="12.75">
      <c r="A26" s="30" t="s">
        <v>5</v>
      </c>
      <c r="B26" s="30" t="s">
        <v>67</v>
      </c>
      <c r="C26" t="s">
        <v>45</v>
      </c>
      <c r="D26" s="5">
        <f t="shared" si="1"/>
        <v>2882462.83</v>
      </c>
      <c r="E26" s="5">
        <f>2882462.83</f>
        <v>2882462.83</v>
      </c>
      <c r="T26" s="12">
        <f t="shared" si="3"/>
        <v>0.05174049237120804</v>
      </c>
      <c r="U26" s="12"/>
    </row>
    <row r="27" spans="1:21" ht="12.75">
      <c r="A27" s="30" t="s">
        <v>5</v>
      </c>
      <c r="B27" s="30" t="s">
        <v>44</v>
      </c>
      <c r="C27" t="s">
        <v>46</v>
      </c>
      <c r="D27" s="5">
        <f t="shared" si="1"/>
        <v>21743.03</v>
      </c>
      <c r="E27" s="5">
        <f>21743.03</f>
        <v>21743.03</v>
      </c>
      <c r="T27" s="12">
        <f t="shared" si="3"/>
        <v>0.000390289535092443</v>
      </c>
      <c r="U27" s="12"/>
    </row>
    <row r="28" spans="1:21" ht="12.75">
      <c r="A28" s="30" t="s">
        <v>5</v>
      </c>
      <c r="B28" s="30" t="s">
        <v>38</v>
      </c>
      <c r="C28" t="s">
        <v>47</v>
      </c>
      <c r="D28" s="5">
        <f t="shared" si="1"/>
        <v>1219927.25</v>
      </c>
      <c r="E28" s="5">
        <f>1219927.25</f>
        <v>1219927.25</v>
      </c>
      <c r="T28" s="12">
        <f t="shared" si="3"/>
        <v>0.021897814575480165</v>
      </c>
      <c r="U28" s="12"/>
    </row>
    <row r="29" spans="1:20" ht="12.75">
      <c r="A29" s="30" t="s">
        <v>16</v>
      </c>
      <c r="B29" s="30" t="s">
        <v>89</v>
      </c>
      <c r="C29" t="s">
        <v>29</v>
      </c>
      <c r="D29" s="5">
        <f t="shared" si="1"/>
        <v>5948377.819999999</v>
      </c>
      <c r="F29" s="5">
        <f>4651282.72+1236484+60611.1</f>
        <v>5948377.819999999</v>
      </c>
      <c r="T29" s="12">
        <f t="shared" si="3"/>
        <v>0.10677396912583018</v>
      </c>
    </row>
    <row r="30" spans="1:20" ht="12.75">
      <c r="A30" s="30" t="s">
        <v>17</v>
      </c>
      <c r="B30" s="30" t="s">
        <v>81</v>
      </c>
      <c r="C30" t="s">
        <v>61</v>
      </c>
      <c r="D30" s="5">
        <f t="shared" si="1"/>
        <v>1062053</v>
      </c>
      <c r="I30" s="5">
        <f>355365+706688</f>
        <v>1062053</v>
      </c>
      <c r="T30" s="12">
        <f t="shared" si="3"/>
        <v>0.01906395620175911</v>
      </c>
    </row>
    <row r="31" spans="1:20" ht="12.75">
      <c r="A31" s="30" t="s">
        <v>18</v>
      </c>
      <c r="B31" s="30" t="s">
        <v>44</v>
      </c>
      <c r="C31" t="s">
        <v>66</v>
      </c>
      <c r="D31" s="5">
        <f t="shared" si="1"/>
        <v>43555.86</v>
      </c>
      <c r="J31" s="5">
        <f>43555.86</f>
        <v>43555.86</v>
      </c>
      <c r="T31" s="12">
        <f t="shared" si="3"/>
        <v>0.0007818319870759289</v>
      </c>
    </row>
    <row r="32" spans="1:20" ht="12.75">
      <c r="A32" s="30" t="s">
        <v>18</v>
      </c>
      <c r="B32" s="30" t="s">
        <v>44</v>
      </c>
      <c r="C32" t="s">
        <v>82</v>
      </c>
      <c r="D32" s="5">
        <f t="shared" si="1"/>
        <v>645690.73</v>
      </c>
      <c r="J32" s="5">
        <f>645690.73</f>
        <v>645690.73</v>
      </c>
      <c r="T32" s="12">
        <f t="shared" si="3"/>
        <v>0.011590212349667922</v>
      </c>
    </row>
    <row r="33" spans="1:20" ht="12.75">
      <c r="A33" s="30" t="s">
        <v>18</v>
      </c>
      <c r="B33" s="30" t="s">
        <v>67</v>
      </c>
      <c r="C33" t="s">
        <v>23</v>
      </c>
      <c r="D33" s="5">
        <f t="shared" si="1"/>
        <v>552687.57</v>
      </c>
      <c r="J33" s="5">
        <f>552687.57</f>
        <v>552687.57</v>
      </c>
      <c r="T33" s="12">
        <f t="shared" si="3"/>
        <v>0.009920796445880451</v>
      </c>
    </row>
    <row r="34" spans="1:20" ht="12.75">
      <c r="A34" s="30" t="s">
        <v>24</v>
      </c>
      <c r="B34" s="30" t="s">
        <v>44</v>
      </c>
      <c r="C34" t="s">
        <v>68</v>
      </c>
      <c r="D34" s="5">
        <f t="shared" si="1"/>
        <v>668994.58</v>
      </c>
      <c r="L34" s="5">
        <f>668994.58</f>
        <v>668994.58</v>
      </c>
      <c r="T34" s="12">
        <f t="shared" si="3"/>
        <v>0.012008518757853167</v>
      </c>
    </row>
    <row r="35" spans="1:20" ht="12.75">
      <c r="A35" s="30" t="s">
        <v>19</v>
      </c>
      <c r="B35" s="30" t="s">
        <v>27</v>
      </c>
      <c r="C35" t="s">
        <v>52</v>
      </c>
      <c r="D35" s="5">
        <f t="shared" si="1"/>
        <v>130280</v>
      </c>
      <c r="M35" s="5">
        <f>130280</f>
        <v>130280</v>
      </c>
      <c r="T35" s="12">
        <f t="shared" si="3"/>
        <v>0.0023385388619637406</v>
      </c>
    </row>
    <row r="36" spans="1:20" ht="12.75">
      <c r="A36" s="30" t="s">
        <v>48</v>
      </c>
      <c r="B36" s="30" t="s">
        <v>38</v>
      </c>
      <c r="C36" t="s">
        <v>49</v>
      </c>
      <c r="D36" s="5">
        <f t="shared" si="1"/>
        <v>212391.35</v>
      </c>
      <c r="N36" s="5">
        <f>212391.35</f>
        <v>212391.35</v>
      </c>
      <c r="T36" s="12">
        <f t="shared" si="3"/>
        <v>0.0038124457009513554</v>
      </c>
    </row>
    <row r="37" spans="1:20" ht="12.75">
      <c r="A37" s="30" t="s">
        <v>20</v>
      </c>
      <c r="B37" s="30" t="s">
        <v>88</v>
      </c>
      <c r="C37" t="s">
        <v>51</v>
      </c>
      <c r="D37" s="5">
        <f t="shared" si="1"/>
        <v>517791.37</v>
      </c>
      <c r="O37" s="5">
        <f>234980.06+282811.31</f>
        <v>517791.37</v>
      </c>
      <c r="T37" s="12">
        <f t="shared" si="3"/>
        <v>0.00929440621073416</v>
      </c>
    </row>
    <row r="38" spans="1:20" ht="12.75">
      <c r="A38" s="30" t="s">
        <v>50</v>
      </c>
      <c r="B38" s="30" t="s">
        <v>112</v>
      </c>
      <c r="C38" t="s">
        <v>69</v>
      </c>
      <c r="D38" s="5">
        <f t="shared" si="1"/>
        <v>9932571.32</v>
      </c>
      <c r="P38" s="5">
        <f>310399.54+2172082.44+7354399.76+95689.58</f>
        <v>9932571.32</v>
      </c>
      <c r="T38" s="12">
        <f t="shared" si="3"/>
        <v>0.17829063579249688</v>
      </c>
    </row>
    <row r="39" spans="1:20" ht="12.75">
      <c r="A39" s="30" t="s">
        <v>50</v>
      </c>
      <c r="B39" s="30" t="s">
        <v>60</v>
      </c>
      <c r="C39" t="s">
        <v>70</v>
      </c>
      <c r="D39" s="5">
        <f t="shared" si="1"/>
        <v>2122460.67</v>
      </c>
      <c r="P39" s="5">
        <f>2122460.67</f>
        <v>2122460.67</v>
      </c>
      <c r="T39" s="12">
        <f t="shared" si="3"/>
        <v>0.03809837856758212</v>
      </c>
    </row>
    <row r="40" spans="1:20" ht="12.75">
      <c r="A40" s="30" t="s">
        <v>21</v>
      </c>
      <c r="B40" s="30" t="s">
        <v>38</v>
      </c>
      <c r="C40" t="s">
        <v>33</v>
      </c>
      <c r="D40" s="5">
        <f t="shared" si="1"/>
        <v>187820.61</v>
      </c>
      <c r="Q40" s="5">
        <f>187820.61</f>
        <v>187820.61</v>
      </c>
      <c r="T40" s="12">
        <f t="shared" si="3"/>
        <v>0.003371398492191707</v>
      </c>
    </row>
    <row r="41" spans="1:20" ht="12.75">
      <c r="A41" s="30" t="s">
        <v>21</v>
      </c>
      <c r="B41" s="30" t="s">
        <v>38</v>
      </c>
      <c r="C41" t="s">
        <v>34</v>
      </c>
      <c r="D41" s="5">
        <f t="shared" si="1"/>
        <v>34195</v>
      </c>
      <c r="Q41" s="5">
        <f>34195</f>
        <v>34195</v>
      </c>
      <c r="T41" s="12">
        <f t="shared" si="3"/>
        <v>0.0006138036259199425</v>
      </c>
    </row>
    <row r="42" spans="1:20" ht="12.75">
      <c r="A42" s="30" t="s">
        <v>21</v>
      </c>
      <c r="B42" s="30" t="s">
        <v>113</v>
      </c>
      <c r="C42" t="s">
        <v>59</v>
      </c>
      <c r="D42" s="5">
        <f t="shared" si="1"/>
        <v>4111870.46</v>
      </c>
      <c r="Q42" s="5">
        <f>3849859.26+262011.2</f>
        <v>4111870.46</v>
      </c>
      <c r="T42" s="12">
        <f t="shared" si="3"/>
        <v>0.07380848070364388</v>
      </c>
    </row>
    <row r="43" spans="1:20" ht="12.75">
      <c r="A43" s="30" t="s">
        <v>21</v>
      </c>
      <c r="B43" s="30" t="s">
        <v>44</v>
      </c>
      <c r="C43" t="s">
        <v>39</v>
      </c>
      <c r="D43" s="5">
        <f t="shared" si="1"/>
        <v>75926.21</v>
      </c>
      <c r="Q43" s="5">
        <f>75926.21</f>
        <v>75926.21</v>
      </c>
      <c r="T43" s="12">
        <f t="shared" si="3"/>
        <v>0.0013628829653563096</v>
      </c>
    </row>
    <row r="44" spans="1:20" ht="12.75">
      <c r="A44" s="30" t="s">
        <v>21</v>
      </c>
      <c r="B44" s="30" t="s">
        <v>114</v>
      </c>
      <c r="C44" t="s">
        <v>115</v>
      </c>
      <c r="D44" s="5">
        <f t="shared" si="1"/>
        <v>190</v>
      </c>
      <c r="Q44" s="5">
        <f>190</f>
        <v>190</v>
      </c>
      <c r="T44" s="12">
        <f t="shared" si="3"/>
        <v>3.4105187578531684E-06</v>
      </c>
    </row>
    <row r="45" spans="5:20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7"/>
    </row>
    <row r="46" spans="2:20" s="12" customFormat="1" ht="13.5" thickBot="1">
      <c r="B46" s="56"/>
      <c r="C46" s="13" t="s">
        <v>8</v>
      </c>
      <c r="D46" s="60">
        <f>SUM(E46:S46)</f>
        <v>1</v>
      </c>
      <c r="E46" s="14">
        <f>E5/D5</f>
        <v>0.29407819009154545</v>
      </c>
      <c r="F46" s="14">
        <f>F5/D5</f>
        <v>0.1149806352539939</v>
      </c>
      <c r="G46" s="14">
        <f>G5/D5</f>
        <v>0</v>
      </c>
      <c r="H46" s="14">
        <f>H5/D5</f>
        <v>0.0011774767546221504</v>
      </c>
      <c r="I46" s="14">
        <f>I5/D5</f>
        <v>0.019852038233710286</v>
      </c>
      <c r="J46" s="14">
        <f>J5/D5</f>
        <v>0.02637243223837731</v>
      </c>
      <c r="K46" s="14">
        <f>K5/D5</f>
        <v>0.005450396697181834</v>
      </c>
      <c r="L46" s="14">
        <f>L5/D5</f>
        <v>0.014121617483396158</v>
      </c>
      <c r="M46" s="14">
        <f>M5/D5</f>
        <v>0.10963793825166039</v>
      </c>
      <c r="N46" s="14">
        <f>N5/D5</f>
        <v>0.0987852618919404</v>
      </c>
      <c r="O46" s="14">
        <f>O5/D5</f>
        <v>0.009579306587686232</v>
      </c>
      <c r="P46" s="14">
        <f>P5/D5</f>
        <v>0.22014368533476936</v>
      </c>
      <c r="Q46" s="14">
        <f>Q5/D5</f>
        <v>0.08249127786752827</v>
      </c>
      <c r="R46" s="14">
        <f>R5/D5</f>
        <v>0</v>
      </c>
      <c r="S46" s="14">
        <f>S5/D5</f>
        <v>0.003329743313588225</v>
      </c>
      <c r="T46" s="14">
        <f>SUM(T6:T45)</f>
        <v>1</v>
      </c>
    </row>
    <row r="47" spans="1:20" s="12" customFormat="1" ht="13.5" thickTop="1">
      <c r="A47" s="34"/>
      <c r="C47" s="1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53" customFormat="1" ht="12.75">
      <c r="A48" s="55" t="s">
        <v>118</v>
      </c>
      <c r="B48" s="6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/>
    </row>
  </sheetData>
  <sheetProtection/>
  <printOptions/>
  <pageMargins left="0.25" right="0" top="1" bottom="0.5" header="0.5" footer="0.25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" sqref="E14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9" width="13.7109375" style="5" customWidth="1"/>
    <col min="10" max="10" width="13.7109375" style="5" hidden="1" customWidth="1"/>
    <col min="11" max="15" width="13.7109375" style="5" customWidth="1"/>
    <col min="16" max="16" width="13.7109375" style="5" hidden="1" customWidth="1"/>
    <col min="17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93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40</v>
      </c>
      <c r="R3" s="58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37</v>
      </c>
      <c r="H4" s="4" t="s">
        <v>17</v>
      </c>
      <c r="I4" s="4" t="s">
        <v>18</v>
      </c>
      <c r="J4" s="4" t="s">
        <v>24</v>
      </c>
      <c r="K4" s="4" t="s">
        <v>19</v>
      </c>
      <c r="L4" s="4" t="s">
        <v>48</v>
      </c>
      <c r="M4" s="4" t="s">
        <v>20</v>
      </c>
      <c r="N4" s="4" t="s">
        <v>50</v>
      </c>
      <c r="O4" s="4" t="s">
        <v>21</v>
      </c>
      <c r="P4" s="4" t="s">
        <v>22</v>
      </c>
      <c r="Q4" s="4" t="s">
        <v>41</v>
      </c>
      <c r="R4" s="59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59483195.08</v>
      </c>
      <c r="E5" s="9">
        <f aca="true" t="shared" si="0" ref="E5:Q5">SUM(E6:E28)</f>
        <v>3422775.93</v>
      </c>
      <c r="F5" s="9">
        <f t="shared" si="0"/>
        <v>1916580.95</v>
      </c>
      <c r="G5" s="9">
        <f t="shared" si="0"/>
        <v>0</v>
      </c>
      <c r="H5" s="9">
        <f t="shared" si="0"/>
        <v>592774</v>
      </c>
      <c r="I5" s="9">
        <f t="shared" si="0"/>
        <v>1171000.2</v>
      </c>
      <c r="J5" s="9">
        <f t="shared" si="0"/>
        <v>0</v>
      </c>
      <c r="K5" s="9">
        <f t="shared" si="0"/>
        <v>75120</v>
      </c>
      <c r="L5" s="9">
        <f t="shared" si="0"/>
        <v>42014.5</v>
      </c>
      <c r="M5" s="9">
        <f t="shared" si="0"/>
        <v>215069.55</v>
      </c>
      <c r="N5" s="9">
        <f t="shared" si="0"/>
        <v>4584199.05</v>
      </c>
      <c r="O5" s="9">
        <f t="shared" si="0"/>
        <v>116113.54000000001</v>
      </c>
      <c r="P5" s="9">
        <f t="shared" si="0"/>
        <v>0</v>
      </c>
      <c r="Q5" s="9">
        <f t="shared" si="0"/>
        <v>47347547.36</v>
      </c>
      <c r="R5" s="15"/>
    </row>
    <row r="6" spans="1:18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30" t="s">
        <v>5</v>
      </c>
      <c r="B7" s="30" t="s">
        <v>38</v>
      </c>
      <c r="C7" t="s">
        <v>64</v>
      </c>
      <c r="D7" s="5">
        <f aca="true" t="shared" si="1" ref="D7:D27">SUM(E7:Q7)</f>
        <v>2330392.66</v>
      </c>
      <c r="E7" s="5">
        <f>2330392.66</f>
        <v>2330392.66</v>
      </c>
      <c r="R7" s="12">
        <f aca="true" t="shared" si="2" ref="R7:R27">D7/$D$5</f>
        <v>0.039177328266677906</v>
      </c>
      <c r="S7" s="12"/>
    </row>
    <row r="8" spans="1:19" ht="12.75">
      <c r="A8" s="30" t="s">
        <v>5</v>
      </c>
      <c r="B8" s="30" t="s">
        <v>67</v>
      </c>
      <c r="C8" t="s">
        <v>45</v>
      </c>
      <c r="D8" s="5">
        <f t="shared" si="1"/>
        <v>454734.43</v>
      </c>
      <c r="E8" s="5">
        <f>454734.43</f>
        <v>454734.43</v>
      </c>
      <c r="R8" s="12">
        <f t="shared" si="2"/>
        <v>0.007644754613272196</v>
      </c>
      <c r="S8" s="12"/>
    </row>
    <row r="9" spans="1:19" ht="12.75">
      <c r="A9" s="30" t="s">
        <v>5</v>
      </c>
      <c r="B9" s="30" t="s">
        <v>44</v>
      </c>
      <c r="C9" t="s">
        <v>46</v>
      </c>
      <c r="D9" s="5">
        <f t="shared" si="1"/>
        <v>3398.69</v>
      </c>
      <c r="E9" s="5">
        <f>3398.69</f>
        <v>3398.69</v>
      </c>
      <c r="R9" s="12">
        <f t="shared" si="2"/>
        <v>5.713697785448549E-05</v>
      </c>
      <c r="S9" s="12"/>
    </row>
    <row r="10" spans="1:19" ht="12.75">
      <c r="A10" s="30" t="s">
        <v>5</v>
      </c>
      <c r="B10" s="30" t="s">
        <v>38</v>
      </c>
      <c r="C10" t="s">
        <v>47</v>
      </c>
      <c r="D10" s="5">
        <f t="shared" si="1"/>
        <v>634250.15</v>
      </c>
      <c r="E10" s="5">
        <f>634250.15</f>
        <v>634250.15</v>
      </c>
      <c r="R10" s="12">
        <f t="shared" si="2"/>
        <v>0.010662677906709378</v>
      </c>
      <c r="S10" s="12"/>
    </row>
    <row r="11" spans="1:18" ht="12.75">
      <c r="A11" s="30" t="s">
        <v>16</v>
      </c>
      <c r="B11" s="30" t="s">
        <v>89</v>
      </c>
      <c r="C11" t="s">
        <v>29</v>
      </c>
      <c r="D11" s="5">
        <f t="shared" si="1"/>
        <v>1916580.95</v>
      </c>
      <c r="F11" s="5">
        <f>652329.25+1236484+27767.7</f>
        <v>1916580.95</v>
      </c>
      <c r="R11" s="12">
        <f t="shared" si="2"/>
        <v>0.03222054476768365</v>
      </c>
    </row>
    <row r="12" spans="1:18" ht="12.75">
      <c r="A12" s="30" t="s">
        <v>17</v>
      </c>
      <c r="B12" s="30" t="s">
        <v>60</v>
      </c>
      <c r="C12" t="s">
        <v>61</v>
      </c>
      <c r="D12" s="5">
        <f t="shared" si="1"/>
        <v>592774</v>
      </c>
      <c r="H12" s="5">
        <f>592774</f>
        <v>592774</v>
      </c>
      <c r="R12" s="12">
        <f t="shared" si="2"/>
        <v>0.009965402820120334</v>
      </c>
    </row>
    <row r="13" spans="1:18" ht="12.75">
      <c r="A13" s="30" t="s">
        <v>18</v>
      </c>
      <c r="B13" s="30" t="s">
        <v>44</v>
      </c>
      <c r="C13" t="s">
        <v>66</v>
      </c>
      <c r="D13" s="5">
        <f t="shared" si="1"/>
        <v>2493.5</v>
      </c>
      <c r="I13" s="5">
        <f>2493.5</f>
        <v>2493.5</v>
      </c>
      <c r="R13" s="12">
        <f t="shared" si="2"/>
        <v>4.191940255809137E-05</v>
      </c>
    </row>
    <row r="14" spans="1:18" ht="12.75">
      <c r="A14" s="30" t="s">
        <v>18</v>
      </c>
      <c r="B14" s="30" t="s">
        <v>44</v>
      </c>
      <c r="C14" t="s">
        <v>82</v>
      </c>
      <c r="D14" s="5">
        <f t="shared" si="1"/>
        <v>300858.09</v>
      </c>
      <c r="I14" s="5">
        <f>300858.09</f>
        <v>300858.09</v>
      </c>
      <c r="R14" s="12">
        <f t="shared" si="2"/>
        <v>0.0050578670092514474</v>
      </c>
    </row>
    <row r="15" spans="1:18" ht="12.75">
      <c r="A15" s="30" t="s">
        <v>18</v>
      </c>
      <c r="B15" s="30" t="s">
        <v>87</v>
      </c>
      <c r="C15" t="s">
        <v>23</v>
      </c>
      <c r="D15" s="5">
        <f t="shared" si="1"/>
        <v>867648.6099999999</v>
      </c>
      <c r="I15" s="5">
        <f>314961.04+552687.57</f>
        <v>867648.6099999999</v>
      </c>
      <c r="R15" s="12">
        <f t="shared" si="2"/>
        <v>0.014586449312836742</v>
      </c>
    </row>
    <row r="16" spans="1:4" ht="12.75">
      <c r="A16" s="30" t="s">
        <v>18</v>
      </c>
      <c r="B16" s="30" t="s">
        <v>44</v>
      </c>
      <c r="C16" t="s">
        <v>25</v>
      </c>
      <c r="D16" s="5">
        <f t="shared" si="1"/>
        <v>0</v>
      </c>
    </row>
    <row r="17" spans="1:4" ht="12.75">
      <c r="A17" s="30" t="s">
        <v>24</v>
      </c>
      <c r="B17" s="30" t="s">
        <v>44</v>
      </c>
      <c r="C17" t="s">
        <v>68</v>
      </c>
      <c r="D17" s="5">
        <f t="shared" si="1"/>
        <v>0</v>
      </c>
    </row>
    <row r="18" spans="1:18" ht="12.75">
      <c r="A18" s="30" t="s">
        <v>19</v>
      </c>
      <c r="B18" s="30" t="s">
        <v>27</v>
      </c>
      <c r="C18" t="s">
        <v>52</v>
      </c>
      <c r="D18" s="5">
        <f t="shared" si="1"/>
        <v>75120</v>
      </c>
      <c r="K18" s="5">
        <f>75120</f>
        <v>75120</v>
      </c>
      <c r="R18" s="12">
        <f t="shared" si="2"/>
        <v>0.0012628776900596847</v>
      </c>
    </row>
    <row r="19" spans="1:18" ht="12.75">
      <c r="A19" s="30" t="s">
        <v>48</v>
      </c>
      <c r="B19" s="30" t="s">
        <v>38</v>
      </c>
      <c r="C19" t="s">
        <v>49</v>
      </c>
      <c r="D19" s="5">
        <f t="shared" si="1"/>
        <v>42014.5</v>
      </c>
      <c r="L19" s="5">
        <f>42014.5</f>
        <v>42014.5</v>
      </c>
      <c r="R19" s="12">
        <f t="shared" si="2"/>
        <v>0.0007063255419197633</v>
      </c>
    </row>
    <row r="20" spans="1:18" ht="12.75">
      <c r="A20" s="30" t="s">
        <v>20</v>
      </c>
      <c r="B20" s="30" t="s">
        <v>88</v>
      </c>
      <c r="C20" t="s">
        <v>51</v>
      </c>
      <c r="D20" s="5">
        <f t="shared" si="1"/>
        <v>215069.55</v>
      </c>
      <c r="M20" s="5">
        <f>13000+202069.55</f>
        <v>215069.55</v>
      </c>
      <c r="R20" s="12">
        <f t="shared" si="2"/>
        <v>0.003615635469997016</v>
      </c>
    </row>
    <row r="21" spans="1:18" ht="12.75">
      <c r="A21" s="30" t="s">
        <v>50</v>
      </c>
      <c r="B21" s="30" t="s">
        <v>81</v>
      </c>
      <c r="C21" t="s">
        <v>69</v>
      </c>
      <c r="D21" s="5">
        <f t="shared" si="1"/>
        <v>4584199.05</v>
      </c>
      <c r="N21" s="5">
        <f>88153.6+4400355.87+95689.58</f>
        <v>4584199.05</v>
      </c>
      <c r="R21" s="12">
        <f t="shared" si="2"/>
        <v>0.07706712868793665</v>
      </c>
    </row>
    <row r="22" spans="1:4" ht="12.75">
      <c r="A22" s="30" t="s">
        <v>50</v>
      </c>
      <c r="B22" s="30" t="s">
        <v>60</v>
      </c>
      <c r="C22" t="s">
        <v>70</v>
      </c>
      <c r="D22" s="5">
        <f t="shared" si="1"/>
        <v>0</v>
      </c>
    </row>
    <row r="23" spans="1:18" ht="12.75">
      <c r="A23" s="30" t="s">
        <v>21</v>
      </c>
      <c r="B23" s="30" t="s">
        <v>38</v>
      </c>
      <c r="C23" t="s">
        <v>33</v>
      </c>
      <c r="D23" s="5">
        <f t="shared" si="1"/>
        <v>107260</v>
      </c>
      <c r="O23" s="5">
        <f>107260</f>
        <v>107260</v>
      </c>
      <c r="R23" s="12">
        <f t="shared" si="2"/>
        <v>0.0018031983630964028</v>
      </c>
    </row>
    <row r="24" spans="1:4" ht="12.75">
      <c r="A24" s="30" t="s">
        <v>21</v>
      </c>
      <c r="B24" s="30" t="s">
        <v>38</v>
      </c>
      <c r="C24" t="s">
        <v>34</v>
      </c>
      <c r="D24" s="5">
        <f t="shared" si="1"/>
        <v>0</v>
      </c>
    </row>
    <row r="25" spans="1:18" ht="12.75">
      <c r="A25" s="30" t="s">
        <v>21</v>
      </c>
      <c r="B25" s="30" t="s">
        <v>44</v>
      </c>
      <c r="C25" t="s">
        <v>59</v>
      </c>
      <c r="D25" s="5">
        <f t="shared" si="1"/>
        <v>8853.54</v>
      </c>
      <c r="O25" s="5">
        <f>8853.54</f>
        <v>8853.54</v>
      </c>
      <c r="R25" s="12">
        <f t="shared" si="2"/>
        <v>0.000148841029606643</v>
      </c>
    </row>
    <row r="26" spans="1:4" ht="12.75">
      <c r="A26" s="30" t="s">
        <v>21</v>
      </c>
      <c r="B26" s="30" t="s">
        <v>44</v>
      </c>
      <c r="C26" t="s">
        <v>39</v>
      </c>
      <c r="D26" s="5">
        <f t="shared" si="1"/>
        <v>0</v>
      </c>
    </row>
    <row r="27" spans="1:18" ht="12.75">
      <c r="A27" s="30"/>
      <c r="B27" s="30"/>
      <c r="C27" t="s">
        <v>42</v>
      </c>
      <c r="D27" s="5">
        <f t="shared" si="1"/>
        <v>47347547.36</v>
      </c>
      <c r="Q27" s="5">
        <f>59483195.08-12135647.72</f>
        <v>47347547.36</v>
      </c>
      <c r="R27" s="12">
        <f t="shared" si="2"/>
        <v>0.7959819121404196</v>
      </c>
    </row>
    <row r="28" spans="5:18" ht="12.7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7"/>
    </row>
    <row r="29" spans="2:18" s="12" customFormat="1" ht="13.5" thickBot="1">
      <c r="B29" s="56"/>
      <c r="C29" s="13" t="s">
        <v>8</v>
      </c>
      <c r="D29" s="60">
        <f>SUM(E29:Q29)</f>
        <v>1</v>
      </c>
      <c r="E29" s="14">
        <f>E5/D5</f>
        <v>0.05754189776451397</v>
      </c>
      <c r="F29" s="14">
        <f>F5/D5</f>
        <v>0.03222054476768365</v>
      </c>
      <c r="G29" s="14">
        <f>G5/D5</f>
        <v>0</v>
      </c>
      <c r="H29" s="14">
        <f>H5/D5</f>
        <v>0.009965402820120334</v>
      </c>
      <c r="I29" s="14">
        <f>I5/D5</f>
        <v>0.019686235724646284</v>
      </c>
      <c r="J29" s="14">
        <f>J5/D5</f>
        <v>0</v>
      </c>
      <c r="K29" s="14">
        <f>K5/D5</f>
        <v>0.0012628776900596847</v>
      </c>
      <c r="L29" s="14">
        <f>L5/D5</f>
        <v>0.0007063255419197633</v>
      </c>
      <c r="M29" s="14">
        <f>M5/D5</f>
        <v>0.003615635469997016</v>
      </c>
      <c r="N29" s="14">
        <f>N5/D5</f>
        <v>0.07706712868793665</v>
      </c>
      <c r="O29" s="14">
        <f>O5/D5</f>
        <v>0.001952039392703046</v>
      </c>
      <c r="P29" s="14">
        <f>P5/D5</f>
        <v>0</v>
      </c>
      <c r="Q29" s="14">
        <f>Q5/D5</f>
        <v>0.7959819121404196</v>
      </c>
      <c r="R29" s="14">
        <f>SUM(R6:R28)</f>
        <v>1</v>
      </c>
    </row>
    <row r="30" spans="1:18" s="12" customFormat="1" ht="13.5" thickTop="1">
      <c r="A30" s="34"/>
      <c r="C30" s="1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53" customFormat="1" ht="12.75">
      <c r="A31" s="6"/>
      <c r="B31" s="6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</row>
  </sheetData>
  <sheetProtection/>
  <printOptions/>
  <pageMargins left="0" right="0" top="0.75" bottom="0.5" header="0.5" footer="0.25"/>
  <pageSetup horizontalDpi="300" verticalDpi="300" orientation="landscape" paperSize="5" scale="75" r:id="rId1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2010-02-25T19:59:51Z</cp:lastPrinted>
  <dcterms:created xsi:type="dcterms:W3CDTF">1998-02-23T20:58:01Z</dcterms:created>
  <dcterms:modified xsi:type="dcterms:W3CDTF">2010-03-10T19:24:06Z</dcterms:modified>
  <cp:category/>
  <cp:version/>
  <cp:contentType/>
  <cp:contentStatus/>
</cp:coreProperties>
</file>