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708" activeTab="0"/>
  </bookViews>
  <sheets>
    <sheet name="2009D" sheetId="1" r:id="rId1"/>
    <sheet name="2009D Academic" sheetId="2" r:id="rId2"/>
    <sheet name="2010C" sheetId="3" r:id="rId3"/>
    <sheet name="2010C Academic" sheetId="4" r:id="rId4"/>
    <sheet name="2011B" sheetId="5" r:id="rId5"/>
    <sheet name="2011B Academic" sheetId="6" r:id="rId6"/>
    <sheet name="Percentage" sheetId="7" r:id="rId7"/>
  </sheets>
  <definedNames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<sst xmlns="http://schemas.openxmlformats.org/spreadsheetml/2006/main" count="1903" uniqueCount="185">
  <si>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</si>
  <si>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</si>
  <si>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</si>
  <si>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</si>
  <si>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</si>
  <si>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</si>
  <si>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</si>
  <si>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</si>
  <si>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</si>
  <si>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</si>
  <si>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</si>
  <si>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</si>
  <si>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</si>
  <si>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>18th Aux</t>
  </si>
  <si>
    <t xml:space="preserve">  Debt Svc from Earnings and Accrued Interest</t>
  </si>
  <si>
    <t>Stamp Student Union</t>
  </si>
  <si>
    <t>2003 Series A Bonds</t>
  </si>
  <si>
    <t>UMB</t>
  </si>
  <si>
    <t>New Dental School</t>
  </si>
  <si>
    <t>22th Acad</t>
  </si>
  <si>
    <t>UMES</t>
  </si>
  <si>
    <t>Utilities Upgrade/Site Improve</t>
  </si>
  <si>
    <t>CSC</t>
  </si>
  <si>
    <t>Upgrade Utilities/Security Sys</t>
  </si>
  <si>
    <t>Facilities Renewal</t>
  </si>
  <si>
    <t>UMBC</t>
  </si>
  <si>
    <t>UMCES</t>
  </si>
  <si>
    <t>BSU</t>
  </si>
  <si>
    <t>FSU</t>
  </si>
  <si>
    <t>SU</t>
  </si>
  <si>
    <t>TU</t>
  </si>
  <si>
    <t>UB</t>
  </si>
  <si>
    <t>21,22th Acad</t>
  </si>
  <si>
    <t>21th Acad</t>
  </si>
  <si>
    <t>Eqip Information Tech Bldg</t>
  </si>
  <si>
    <t>Aquaculture Building</t>
  </si>
  <si>
    <t>Equip Compton Sci Center</t>
  </si>
  <si>
    <t>Health/Human Service Bldg</t>
  </si>
  <si>
    <t>20th Acad</t>
  </si>
  <si>
    <t>Hornbake/McKeldin Libraries</t>
  </si>
  <si>
    <t>Howard Hall PH IV</t>
  </si>
  <si>
    <t>Social Sci/Education/Health</t>
  </si>
  <si>
    <t>20,21,22th Acad</t>
  </si>
  <si>
    <t>Emergency Fund Projects</t>
  </si>
  <si>
    <t>19,20th Acad</t>
  </si>
  <si>
    <t>19th Acad</t>
  </si>
  <si>
    <t>7800 York Road Renovation</t>
  </si>
  <si>
    <t>19,20,21,22th Acad</t>
  </si>
  <si>
    <t>18th Acad</t>
  </si>
  <si>
    <t>17th Acad</t>
  </si>
  <si>
    <t>Performing Arts Center</t>
  </si>
  <si>
    <t>School of Nursing Equipment</t>
  </si>
  <si>
    <t>School of Law:Marshall Libr</t>
  </si>
  <si>
    <t>15th Acad</t>
  </si>
  <si>
    <t>Steam Plant Improvements</t>
  </si>
  <si>
    <t>17,18,19,20,21,22 Acad</t>
  </si>
  <si>
    <t>22th Aux</t>
  </si>
  <si>
    <t>New Parking Lot</t>
  </si>
  <si>
    <t>Resident Hall Renovations</t>
  </si>
  <si>
    <t>Dining Hall: HVAC Upgrade</t>
  </si>
  <si>
    <t>New Student Center</t>
  </si>
  <si>
    <t>USMO</t>
  </si>
  <si>
    <t>21th Aux</t>
  </si>
  <si>
    <t>Health Center Addition/Renov</t>
  </si>
  <si>
    <t>Queen Anne's Hall Renovation</t>
  </si>
  <si>
    <t>New Campus Center Bldg</t>
  </si>
  <si>
    <t>New Recreation &amp; Athletic Fac</t>
  </si>
  <si>
    <t>UMUC</t>
  </si>
  <si>
    <t>Hotel Addition at Inn &amp; Conference</t>
  </si>
  <si>
    <t>Land Acquisition at Shady Grove Parking</t>
  </si>
  <si>
    <t>20th Aux</t>
  </si>
  <si>
    <t>South Campus Parking Garage #5</t>
  </si>
  <si>
    <t>Saratoga Street Garage</t>
  </si>
  <si>
    <t>Murphy Hall Annex Renovation</t>
  </si>
  <si>
    <t>New Dining Hall</t>
  </si>
  <si>
    <t>Prettyman/Scarborough HVAC/Fire Protection</t>
  </si>
  <si>
    <t>Interim Fitness Center</t>
  </si>
  <si>
    <t>20,22th Aux</t>
  </si>
  <si>
    <t>19th Aux</t>
  </si>
  <si>
    <t>Housing Cetral Utility Plant</t>
  </si>
  <si>
    <t>7800 York Road Garage</t>
  </si>
  <si>
    <t>North Campus Parking Garage #4</t>
  </si>
  <si>
    <t>New Residence Hall</t>
  </si>
  <si>
    <t>16th Aux</t>
  </si>
  <si>
    <t>Student Service Center</t>
  </si>
  <si>
    <t xml:space="preserve">           Total Academic Projects - 2003A</t>
  </si>
  <si>
    <t xml:space="preserve">       UMCP Facilities Renewal (Academic)</t>
  </si>
  <si>
    <t xml:space="preserve">   UMCP Hornbake &amp; McKeldin Libr (Academic)</t>
  </si>
  <si>
    <t xml:space="preserve">    UMCP Performing Arts Center (Academic)</t>
  </si>
  <si>
    <t xml:space="preserve">  UMCP Steam Plant Improvement (Academic)</t>
  </si>
  <si>
    <t xml:space="preserve">        UMB Facilities Renewal (Academic)</t>
  </si>
  <si>
    <t xml:space="preserve">        UMB New Dental School (Academic)</t>
  </si>
  <si>
    <t xml:space="preserve">        UMB Howard Hall PH IV (Academic)</t>
  </si>
  <si>
    <t xml:space="preserve">     UMB School of Nursing Equip (Academic)</t>
  </si>
  <si>
    <t xml:space="preserve">  UMB School of Law: Marshall Libr (Academic)</t>
  </si>
  <si>
    <t xml:space="preserve">    UMB Emergency Fund Projects (Academic)</t>
  </si>
  <si>
    <t xml:space="preserve">       UMES Facilities Renewal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</si>
  <si>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</si>
  <si>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</si>
  <si>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</si>
  <si>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</si>
  <si>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Facilities Renewal (Academic)</t>
  </si>
  <si>
    <t xml:space="preserve">     UMCES Aquaculture Building (Academic)</t>
  </si>
  <si>
    <t xml:space="preserve">     UMCES Emergency Projects (Academic)</t>
  </si>
  <si>
    <t xml:space="preserve">         BSU Facilities Renewal (Academic)</t>
  </si>
  <si>
    <t xml:space="preserve">         BSU Emergency Projects (Academic)</t>
  </si>
  <si>
    <t xml:space="preserve">         CSC Facilities Renewal (Academic)</t>
  </si>
  <si>
    <t xml:space="preserve">         CSC Upgrade Utilities (Academic)</t>
  </si>
  <si>
    <t xml:space="preserve">   CSC Health/Human Service Bldg (Academic)</t>
  </si>
  <si>
    <t xml:space="preserve">         FSU Facilities Renewal (Academic)</t>
  </si>
  <si>
    <t>FSU Equip Compton Science Center (Academic)</t>
  </si>
  <si>
    <t xml:space="preserve">          SU Facilities Renewal (Academic)</t>
  </si>
  <si>
    <t xml:space="preserve">          SU Emergency Projects (Academic)</t>
  </si>
  <si>
    <t xml:space="preserve">          TU Facilities Renewal (Academic)</t>
  </si>
  <si>
    <t xml:space="preserve">        TU 7800 York Road Renov (Academic)</t>
  </si>
  <si>
    <t xml:space="preserve">          UB Facilities Renewal (Academic)</t>
  </si>
  <si>
    <t xml:space="preserve">           Total Auxiliary Projects - 2003A</t>
  </si>
  <si>
    <t xml:space="preserve">     UMCP Health Center Addition (Auxiliary)</t>
  </si>
  <si>
    <t>UMCP South Campus Parking Garage (Auxiliary)</t>
  </si>
  <si>
    <t xml:space="preserve">      UMCP Stamp Student Union (Auxiliary)</t>
  </si>
  <si>
    <t xml:space="preserve">      UMCP North Campus Parking (Auxiliary)</t>
  </si>
  <si>
    <t xml:space="preserve">        UMB Pine Street Annex (Auxiliary)</t>
  </si>
  <si>
    <t xml:space="preserve">        UMB New Campus Center  (Auxiliary)</t>
  </si>
  <si>
    <t xml:space="preserve">      UMB Saratoga Street Garage  (Auxiliary)</t>
  </si>
  <si>
    <t xml:space="preserve">       UMES Murphy Hall Annex  (Auxiliary)</t>
  </si>
  <si>
    <t xml:space="preserve">       UMES New Residence Hall  (Auxiliary)</t>
  </si>
  <si>
    <t xml:space="preserve">     UMES Student Service Center  (Auxiliary)</t>
  </si>
  <si>
    <t xml:space="preserve">       UMBC New Parking Lot  (Auxiliary)</t>
  </si>
  <si>
    <t xml:space="preserve">    UMBC Resident Hall Renovation  (Auxiliary)</t>
  </si>
  <si>
    <t xml:space="preserve">  UMBC Dining Hall: HVAC Upgrade  (Auxiliary)</t>
  </si>
  <si>
    <t xml:space="preserve">  UMBC New Recreation &amp; Athletic (Auxiliary)</t>
  </si>
  <si>
    <t xml:space="preserve">  UMBC Housing Central Utility Plant (Auxiliary)</t>
  </si>
  <si>
    <t>USMO Land Acq/Shady Grove Parking(Auxiliary)</t>
  </si>
  <si>
    <t xml:space="preserve">              CSC New Dining Hall (Auxiliary)</t>
  </si>
  <si>
    <t xml:space="preserve">    TU Prettyman/Scarborough HVAC (Auxiliary)</t>
  </si>
  <si>
    <t xml:space="preserve">       TU Interim Fitness Center (Auxiliary)</t>
  </si>
  <si>
    <t xml:space="preserve">       TU 7800 York Road Garage (Auxiliary)</t>
  </si>
  <si>
    <t xml:space="preserve">          UB New Student Center (Auxiliary)</t>
  </si>
  <si>
    <t>Engineering/Applied Sciences Building</t>
  </si>
  <si>
    <t>Temporary Building #2/Pine Street Annex</t>
  </si>
  <si>
    <t>Par Amount</t>
  </si>
  <si>
    <t>Net Premium/OID</t>
  </si>
  <si>
    <t xml:space="preserve"> UMCP Engineering/Applied Sci Bldg (Academic)</t>
  </si>
  <si>
    <t>Shady Grove Parking Lot 2</t>
  </si>
  <si>
    <t xml:space="preserve">  USMO Shady Grove Parking Lot 2 (Auxiliary)</t>
  </si>
  <si>
    <t>22, 24th Acad</t>
  </si>
  <si>
    <t>Chemical/Nuclear Engineering</t>
  </si>
  <si>
    <t>15,17,18,19,20,21,22,24 Acad</t>
  </si>
  <si>
    <t>18,19,20,21,22, 24th Acad</t>
  </si>
  <si>
    <t>19,21,22th Acad</t>
  </si>
  <si>
    <t>USM</t>
  </si>
  <si>
    <t>15, 19th Acad</t>
  </si>
  <si>
    <t>21, 22th Aux</t>
  </si>
  <si>
    <t>21,22,24th Aux</t>
  </si>
  <si>
    <t>18,21,22,24th Acad</t>
  </si>
  <si>
    <t>19,20,21,22,24th Acad</t>
  </si>
  <si>
    <t>cost of issue</t>
  </si>
  <si>
    <t>disbursement</t>
  </si>
  <si>
    <t>pay debt service from earning</t>
  </si>
  <si>
    <t>Interest Earning in FY04</t>
  </si>
  <si>
    <t>Interest Earning in FY05</t>
  </si>
  <si>
    <t>Different</t>
  </si>
  <si>
    <t>Different transfer from 2003B</t>
  </si>
  <si>
    <t>Different transfer from 2004B</t>
  </si>
  <si>
    <t xml:space="preserve">       UMCP Chemical/Nuclear Eng (Academic)</t>
  </si>
  <si>
    <t xml:space="preserve">       USM Emergency Projects (Academic)</t>
  </si>
  <si>
    <t xml:space="preserve">   UMCP Queen Anne's Hall Renov (Auxiliary)</t>
  </si>
  <si>
    <t>17,18,19th Acad</t>
  </si>
  <si>
    <t>Amort of</t>
  </si>
  <si>
    <t>Premium</t>
  </si>
  <si>
    <t>Loss on Refunding</t>
  </si>
  <si>
    <t xml:space="preserve">                University System of Maryland</t>
  </si>
  <si>
    <t>Distribution of Debt Services after 2009D Bond Issue</t>
  </si>
  <si>
    <t xml:space="preserve">            2003 Series A Bond Funded Projects</t>
  </si>
  <si>
    <t>Revised 2003A debt after 2009D</t>
  </si>
  <si>
    <t>2003A Refinanced on 2009D</t>
  </si>
  <si>
    <t xml:space="preserve">Amort of </t>
  </si>
  <si>
    <t xml:space="preserve">  USM (Paid off by UMUC) (Auxiliary)</t>
  </si>
  <si>
    <t>Distribution of Debt Services after 2010C Bond Issue</t>
  </si>
  <si>
    <t>Revised 2003A debt after 2010C</t>
  </si>
  <si>
    <t>2003A Refinanced on 2010C</t>
  </si>
  <si>
    <t>Distribution of Debt Services after 2011B Bond Issue</t>
  </si>
  <si>
    <t>Revised 2003A debt after 2011B</t>
  </si>
  <si>
    <t>2003A Refinanced on 2011B</t>
  </si>
  <si>
    <t>Gain on Refunding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</si>
</sst>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left"/>
    </xf>
    <xf numFmtId="164" fontId="0" fillId="0" borderId="16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38" fontId="0" fillId="0" borderId="13" xfId="0" applyNumberFormat="1" applyBorder="1" applyAlignment="1">
      <alignment/>
    </xf>
    <xf numFmtId="164" fontId="0" fillId="0" borderId="20" xfId="0" applyNumberFormat="1" applyBorder="1" applyAlignment="1">
      <alignment/>
    </xf>
    <xf numFmtId="167" fontId="0" fillId="0" borderId="15" xfId="0" applyNumberFormat="1" applyBorder="1" applyAlignment="1">
      <alignment horizontal="center"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40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21" xfId="0" applyNumberFormat="1" applyBorder="1" applyAlignment="1">
      <alignment/>
    </xf>
    <xf numFmtId="167" fontId="0" fillId="0" borderId="0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33" borderId="10" xfId="0" applyNumberFormat="1" applyFill="1" applyBorder="1" applyAlignment="1">
      <alignment horizontal="centerContinuous"/>
    </xf>
    <xf numFmtId="38" fontId="0" fillId="33" borderId="15" xfId="0" applyNumberFormat="1" applyFill="1" applyBorder="1" applyAlignment="1">
      <alignment horizontal="centerContinuous"/>
    </xf>
    <xf numFmtId="38" fontId="0" fillId="33" borderId="16" xfId="0" applyNumberFormat="1" applyFill="1" applyBorder="1" applyAlignment="1">
      <alignment horizontal="centerContinuous"/>
    </xf>
    <xf numFmtId="38" fontId="0" fillId="0" borderId="10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33" borderId="10" xfId="0" applyNumberFormat="1" applyFill="1" applyBorder="1" applyAlignment="1">
      <alignment horizontal="left"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3" fontId="1" fillId="0" borderId="10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64" fontId="1" fillId="0" borderId="10" xfId="0" applyNumberFormat="1" applyFont="1" applyBorder="1" applyAlignment="1" quotePrefix="1">
      <alignment horizontal="left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8" fontId="1" fillId="0" borderId="0" xfId="0" applyNumberFormat="1" applyFont="1" applyAlignment="1" quotePrefix="1">
      <alignment horizontal="left"/>
    </xf>
    <xf numFmtId="38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38" fontId="0" fillId="0" borderId="17" xfId="0" applyNumberFormat="1" applyBorder="1" applyAlignment="1">
      <alignment horizontal="center"/>
    </xf>
    <xf numFmtId="38" fontId="41" fillId="0" borderId="18" xfId="0" applyNumberFormat="1" applyFont="1" applyBorder="1" applyAlignment="1">
      <alignment horizontal="center"/>
    </xf>
    <xf numFmtId="38" fontId="4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9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">
      <c r="A1" s="44"/>
      <c r="B1" s="30"/>
      <c r="C1" s="45" t="s">
        <v>171</v>
      </c>
      <c r="H1"/>
      <c r="I1"/>
      <c r="J1"/>
      <c r="L1" s="45"/>
      <c r="M1" s="45"/>
      <c r="N1"/>
      <c r="Q1" s="45" t="s">
        <v>171</v>
      </c>
      <c r="T1"/>
      <c r="AA1" s="45"/>
      <c r="AD1" s="20"/>
      <c r="AE1" s="20"/>
      <c r="AF1" s="45" t="s">
        <v>171</v>
      </c>
      <c r="AG1" s="20"/>
      <c r="AH1" s="20"/>
      <c r="AI1" s="20"/>
      <c r="AJ1" s="20"/>
      <c r="AK1" s="20"/>
      <c r="AL1" s="20"/>
      <c r="AM1" s="20"/>
      <c r="AN1" s="20"/>
      <c r="AO1" s="45"/>
      <c r="AP1" s="20"/>
      <c r="AQ1" s="20"/>
      <c r="AT1" s="45" t="s">
        <v>171</v>
      </c>
      <c r="BD1" s="45"/>
      <c r="BH1" s="45" t="s">
        <v>171</v>
      </c>
      <c r="BI1" s="45"/>
      <c r="BR1" s="45"/>
      <c r="BW1" s="45" t="s">
        <v>171</v>
      </c>
      <c r="CF1" s="45"/>
      <c r="CG1" s="45"/>
      <c r="CK1" s="45" t="s">
        <v>171</v>
      </c>
      <c r="CU1" s="45"/>
      <c r="CZ1" s="45" t="s">
        <v>171</v>
      </c>
      <c r="DI1" s="45"/>
      <c r="DN1" s="92" t="s">
        <v>171</v>
      </c>
      <c r="DX1" s="45"/>
      <c r="EA1" s="45" t="s">
        <v>171</v>
      </c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">
      <c r="A2" s="44"/>
      <c r="B2" s="30"/>
      <c r="C2" s="43" t="s">
        <v>172</v>
      </c>
      <c r="H2"/>
      <c r="I2"/>
      <c r="J2"/>
      <c r="L2" s="45"/>
      <c r="M2" s="45"/>
      <c r="N2"/>
      <c r="Q2" s="43" t="s">
        <v>172</v>
      </c>
      <c r="T2"/>
      <c r="AA2" s="45"/>
      <c r="AD2" s="20"/>
      <c r="AE2" s="20"/>
      <c r="AF2" s="43" t="s">
        <v>172</v>
      </c>
      <c r="AG2" s="20"/>
      <c r="AH2" s="20"/>
      <c r="AI2" s="20"/>
      <c r="AJ2" s="20"/>
      <c r="AK2" s="20"/>
      <c r="AL2" s="20"/>
      <c r="AM2" s="20"/>
      <c r="AN2" s="20"/>
      <c r="AO2" s="45"/>
      <c r="AP2" s="20"/>
      <c r="AQ2" s="20"/>
      <c r="AT2" s="43" t="s">
        <v>172</v>
      </c>
      <c r="BD2" s="45"/>
      <c r="BH2" s="43" t="s">
        <v>172</v>
      </c>
      <c r="BI2" s="43"/>
      <c r="BR2" s="45"/>
      <c r="BW2" s="43" t="s">
        <v>172</v>
      </c>
      <c r="CF2" s="45"/>
      <c r="CG2" s="45"/>
      <c r="CK2" s="43" t="s">
        <v>172</v>
      </c>
      <c r="CU2" s="45"/>
      <c r="CZ2" s="43" t="s">
        <v>172</v>
      </c>
      <c r="DI2" s="45"/>
      <c r="DN2" s="93" t="s">
        <v>172</v>
      </c>
      <c r="DX2" s="45"/>
      <c r="EA2" s="43" t="s">
        <v>172</v>
      </c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">
      <c r="A3" s="44"/>
      <c r="B3" s="30"/>
      <c r="C3" s="45" t="s">
        <v>173</v>
      </c>
      <c r="H3"/>
      <c r="I3" s="12"/>
      <c r="J3"/>
      <c r="L3" s="45"/>
      <c r="M3" s="45"/>
      <c r="N3"/>
      <c r="Q3" s="45" t="s">
        <v>173</v>
      </c>
      <c r="T3"/>
      <c r="AA3" s="45"/>
      <c r="AD3" s="20"/>
      <c r="AE3" s="20"/>
      <c r="AF3" s="45" t="s">
        <v>173</v>
      </c>
      <c r="AG3" s="20"/>
      <c r="AH3" s="20"/>
      <c r="AI3" s="20"/>
      <c r="AJ3" s="20"/>
      <c r="AK3" s="20"/>
      <c r="AL3" s="20"/>
      <c r="AM3" s="20"/>
      <c r="AN3" s="20"/>
      <c r="AO3" s="45"/>
      <c r="AP3" s="20"/>
      <c r="AQ3" s="20"/>
      <c r="AT3" s="45" t="s">
        <v>173</v>
      </c>
      <c r="BD3" s="45"/>
      <c r="BH3" s="45" t="s">
        <v>173</v>
      </c>
      <c r="BI3" s="45"/>
      <c r="BR3" s="45"/>
      <c r="BW3" s="45" t="s">
        <v>173</v>
      </c>
      <c r="CF3" s="45"/>
      <c r="CG3" s="45"/>
      <c r="CK3" s="45" t="s">
        <v>173</v>
      </c>
      <c r="CU3" s="45"/>
      <c r="CZ3" s="45" t="s">
        <v>173</v>
      </c>
      <c r="DI3" s="45"/>
      <c r="DN3" s="92" t="s">
        <v>173</v>
      </c>
      <c r="DX3" s="45"/>
      <c r="EA3" s="45" t="s">
        <v>173</v>
      </c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">
      <c r="A4" s="44"/>
      <c r="B4" s="30"/>
      <c r="FI4" s="21"/>
    </row>
    <row r="5" spans="1:169" ht="12">
      <c r="A5" s="22" t="s">
        <v>9</v>
      </c>
      <c r="C5" s="70" t="s">
        <v>174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">
      <c r="A6" s="46" t="s">
        <v>10</v>
      </c>
      <c r="C6" s="73" t="s">
        <v>175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ht="12">
      <c r="A8" s="19">
        <v>41913</v>
      </c>
      <c r="C8" s="77"/>
      <c r="D8" s="77">
        <v>268375</v>
      </c>
      <c r="E8" s="77">
        <f aca="true" t="shared" si="0" ref="E8:E27">C8+D8</f>
        <v>268375</v>
      </c>
      <c r="F8" s="77">
        <v>61306</v>
      </c>
      <c r="G8" s="77">
        <v>25821</v>
      </c>
      <c r="H8" s="78"/>
      <c r="I8" s="79">
        <f>'2009D Academic'!I8</f>
        <v>0</v>
      </c>
      <c r="J8" s="79">
        <f>'2009D Academic'!J8</f>
        <v>145680.90091250002</v>
      </c>
      <c r="K8" s="79">
        <f aca="true" t="shared" si="1" ref="K8:K17">I8+J8</f>
        <v>145680.90091250002</v>
      </c>
      <c r="L8" s="79">
        <f>'2009D Academic'!L8</f>
        <v>33278.484625400015</v>
      </c>
      <c r="M8" s="79">
        <f>'2009D Academic'!M8</f>
        <v>14016.3075639</v>
      </c>
      <c r="N8" s="78"/>
      <c r="O8" s="78">
        <f aca="true" t="shared" si="2" ref="O8:O27">U8+AA8+AG8+AM8+AS8+AY8+BE8+BK8+BQ8+BW8+CC8+CI8+CO8+CU8+DA8+DG8+DM8+DS8+DY8+EE8+EK8+EQ8+EW8+FC8</f>
        <v>0</v>
      </c>
      <c r="P8" s="80">
        <f aca="true" t="shared" si="3" ref="P8:P27">V8+AB8+AH8+AN8+AT8+AZ8+BF8+BL8+BR8+BX8+CD8+CJ8+CP8+CV8+DB8+DH8+DN8+DT8+DZ8+EF8+EL8+ER8+EX8+FD8</f>
        <v>122694.09908750001</v>
      </c>
      <c r="Q8" s="78">
        <f aca="true" t="shared" si="4" ref="Q8:Q27">O8+P8</f>
        <v>122694.09908750001</v>
      </c>
      <c r="R8" s="78">
        <f aca="true" t="shared" si="5" ref="R8:S27">X8+AD8+AJ8+AP8+AV8+BB8+BH8+BN8+BT8+BZ8+CF8+CL8+CR8+CX8+DD8+DJ8+DP8+DV8+EB8+EH8+EN8+ET8+EZ8+FF8+FL8</f>
        <v>28027.515374600007</v>
      </c>
      <c r="S8" s="78">
        <f t="shared" si="5"/>
        <v>11804.692436099998</v>
      </c>
      <c r="T8" s="78"/>
      <c r="U8" s="78"/>
      <c r="V8" s="77">
        <f aca="true" t="shared" si="6" ref="V8:V27">D8*8.1724/100</f>
        <v>21932.6785</v>
      </c>
      <c r="W8" s="78">
        <f aca="true" t="shared" si="7" ref="W8:W27">U8+V8</f>
        <v>21932.6785</v>
      </c>
      <c r="X8" s="78">
        <f aca="true" t="shared" si="8" ref="X8:X27">V$6*$F8</f>
        <v>5010.171544000001</v>
      </c>
      <c r="Y8" s="77">
        <f aca="true" t="shared" si="9" ref="Y8:Y27">V$6*$G8</f>
        <v>2110.195404</v>
      </c>
      <c r="Z8" s="78"/>
      <c r="AA8" s="78"/>
      <c r="AB8" s="78">
        <f aca="true" t="shared" si="10" ref="AB8:AB27">D8*5.95646/100</f>
        <v>15985.649524999999</v>
      </c>
      <c r="AC8" s="78">
        <f aca="true" t="shared" si="11" ref="AC8:AC27">AA8+AB8</f>
        <v>15985.649524999999</v>
      </c>
      <c r="AD8" s="78">
        <f aca="true" t="shared" si="12" ref="AD8:AD27">AB$6*$F8</f>
        <v>3651.6673676</v>
      </c>
      <c r="AE8" s="77">
        <f aca="true" t="shared" si="13" ref="AE8:AE27">AB$6*$G8</f>
        <v>1538.0175366</v>
      </c>
      <c r="AF8" s="78"/>
      <c r="AG8" s="78"/>
      <c r="AH8" s="78">
        <f aca="true" t="shared" si="14" ref="AH8:AH27">D8*3.15804/100</f>
        <v>8475.389850000001</v>
      </c>
      <c r="AI8" s="78">
        <f aca="true" t="shared" si="15" ref="AI8:AI27">AG8+AH8</f>
        <v>8475.389850000001</v>
      </c>
      <c r="AJ8" s="78">
        <f aca="true" t="shared" si="16" ref="AJ8:AJ27">AH$6*$F8</f>
        <v>1936.0680024</v>
      </c>
      <c r="AK8" s="77">
        <f aca="true" t="shared" si="17" ref="AK8:AK27">AH$6*$G8</f>
        <v>815.4375084000001</v>
      </c>
      <c r="AL8" s="78"/>
      <c r="AM8" s="78"/>
      <c r="AN8" s="78">
        <f aca="true" t="shared" si="18" ref="AN8:AN27">D8*2.2968/100</f>
        <v>6164.037</v>
      </c>
      <c r="AO8" s="78">
        <f aca="true" t="shared" si="19" ref="AO8:AO27">AM8+AN8</f>
        <v>6164.037</v>
      </c>
      <c r="AP8" s="78">
        <f aca="true" t="shared" si="20" ref="AP8:AP27">AN$6*$F8</f>
        <v>1408.076208</v>
      </c>
      <c r="AQ8" s="77">
        <f aca="true" t="shared" si="21" ref="AQ8:AQ27">AN$6*$G8</f>
        <v>593.056728</v>
      </c>
      <c r="AR8" s="78"/>
      <c r="AS8" s="78"/>
      <c r="AT8" s="78">
        <f aca="true" t="shared" si="22" ref="AT8:AT27">D8*0.26309/100</f>
        <v>706.0677875</v>
      </c>
      <c r="AU8" s="78">
        <f aca="true" t="shared" si="23" ref="AU8:AU27">AS8+AT8</f>
        <v>706.0677875</v>
      </c>
      <c r="AV8" s="78">
        <f aca="true" t="shared" si="24" ref="AV8:AV27">AT$6*$F8</f>
        <v>161.2899554</v>
      </c>
      <c r="AW8" s="77">
        <f aca="true" t="shared" si="25" ref="AW8:AW27">AT$6*$G8</f>
        <v>67.93246889999999</v>
      </c>
      <c r="AX8" s="78"/>
      <c r="AY8" s="78"/>
      <c r="AZ8" s="78">
        <f aca="true" t="shared" si="26" ref="AZ8:AZ27">D8*4.16229/100</f>
        <v>11170.5457875</v>
      </c>
      <c r="BA8" s="78">
        <f aca="true" t="shared" si="27" ref="BA8:BA27">AY8+AZ8</f>
        <v>11170.5457875</v>
      </c>
      <c r="BB8" s="78">
        <f aca="true" t="shared" si="28" ref="BB8:BB27">AZ$6*$F8</f>
        <v>2551.7335074</v>
      </c>
      <c r="BC8" s="77">
        <f aca="true" t="shared" si="29" ref="BC8:BC27">AZ$6*$G8</f>
        <v>1074.7449009</v>
      </c>
      <c r="BD8" s="78"/>
      <c r="BE8" s="78"/>
      <c r="BF8" s="78">
        <f aca="true" t="shared" si="30" ref="BF8:BF27">D8*0.45121/100</f>
        <v>1210.9348375</v>
      </c>
      <c r="BG8" s="78">
        <f aca="true" t="shared" si="31" ref="BG8:BG27">BE8+BF8</f>
        <v>1210.9348375</v>
      </c>
      <c r="BH8" s="78">
        <f aca="true" t="shared" si="32" ref="BH8:BH27">BF$6*$F8</f>
        <v>276.6188026</v>
      </c>
      <c r="BI8" s="77">
        <f aca="true" t="shared" si="33" ref="BI8:BI27">BF$6*$G8</f>
        <v>116.5069341</v>
      </c>
      <c r="BJ8" s="78"/>
      <c r="BK8" s="78"/>
      <c r="BL8" s="78">
        <f aca="true" t="shared" si="34" ref="BL8:BL27">D8*1.41147/100</f>
        <v>3788.0326124999997</v>
      </c>
      <c r="BM8" s="78">
        <f aca="true" t="shared" si="35" ref="BM8:BM27">BK8+BL8</f>
        <v>3788.0326124999997</v>
      </c>
      <c r="BN8" s="78">
        <f aca="true" t="shared" si="36" ref="BN8:BN27">BL$6*$F8</f>
        <v>865.3157982</v>
      </c>
      <c r="BO8" s="77">
        <f aca="true" t="shared" si="37" ref="BO8:BO27">BL$6*$G8</f>
        <v>364.45566870000005</v>
      </c>
      <c r="BP8" s="78"/>
      <c r="BQ8" s="78"/>
      <c r="BR8" s="78">
        <f aca="true" t="shared" si="38" ref="BR8:BR27">D8*0.71579/100</f>
        <v>1921.0014125000002</v>
      </c>
      <c r="BS8" s="78">
        <f aca="true" t="shared" si="39" ref="BS8:BS27">BQ8+BR8</f>
        <v>1921.0014125000002</v>
      </c>
      <c r="BT8" s="78">
        <f aca="true" t="shared" si="40" ref="BT8:BT27">BR$6*$F8</f>
        <v>438.8222174</v>
      </c>
      <c r="BU8" s="77">
        <f aca="true" t="shared" si="41" ref="BU8:BU27">BR$6*$G8</f>
        <v>184.8241359</v>
      </c>
      <c r="BV8" s="78"/>
      <c r="BW8" s="78"/>
      <c r="BX8" s="78">
        <f aca="true" t="shared" si="42" ref="BX8:BX27">D8*0.13901/100</f>
        <v>373.0680875</v>
      </c>
      <c r="BY8" s="78">
        <f aca="true" t="shared" si="43" ref="BY8:BY27">BW8+BX8</f>
        <v>373.0680875</v>
      </c>
      <c r="BZ8" s="78">
        <f aca="true" t="shared" si="44" ref="BZ8:BZ27">BX$6*$F8</f>
        <v>85.2214706</v>
      </c>
      <c r="CA8" s="77">
        <f aca="true" t="shared" si="45" ref="CA8:CA27">BX$6*$G8</f>
        <v>35.8937721</v>
      </c>
      <c r="CB8" s="78"/>
      <c r="CC8" s="78"/>
      <c r="CD8" s="78">
        <f aca="true" t="shared" si="46" ref="CD8:CD27">D8*0.55234/100</f>
        <v>1482.3424750000004</v>
      </c>
      <c r="CE8" s="78">
        <f aca="true" t="shared" si="47" ref="CE8:CE27">CC8+CD8</f>
        <v>1482.3424750000004</v>
      </c>
      <c r="CF8" s="78">
        <f aca="true" t="shared" si="48" ref="CF8:CF27">CD$6*$F8</f>
        <v>338.6175604</v>
      </c>
      <c r="CG8" s="77">
        <f aca="true" t="shared" si="49" ref="CG8:CG27">CD$6*$G8</f>
        <v>142.6197114</v>
      </c>
      <c r="CH8" s="78"/>
      <c r="CI8" s="78"/>
      <c r="CJ8" s="78">
        <f aca="true" t="shared" si="50" ref="CJ8:CJ27">D8*1.34713/100</f>
        <v>3615.3601375</v>
      </c>
      <c r="CK8" s="78">
        <f aca="true" t="shared" si="51" ref="CK8:CK27">CI8+CJ8</f>
        <v>3615.3601375</v>
      </c>
      <c r="CL8" s="78">
        <f aca="true" t="shared" si="52" ref="CL8:CL27">CJ$6*$F8</f>
        <v>825.8715178</v>
      </c>
      <c r="CM8" s="77">
        <f aca="true" t="shared" si="53" ref="CM8:CM27">CJ$6*$G8</f>
        <v>347.84243730000003</v>
      </c>
      <c r="CN8" s="78"/>
      <c r="CO8" s="78"/>
      <c r="CP8" s="78">
        <f aca="true" t="shared" si="54" ref="CP8:CP27">D8*3.01524/100</f>
        <v>8092.15035</v>
      </c>
      <c r="CQ8" s="78">
        <f aca="true" t="shared" si="55" ref="CQ8:CQ27">CO8+CP8</f>
        <v>8092.15035</v>
      </c>
      <c r="CR8" s="78">
        <f aca="true" t="shared" si="56" ref="CR8:CR27">CP$6*$F8</f>
        <v>1848.5230344</v>
      </c>
      <c r="CS8" s="77">
        <f aca="true" t="shared" si="57" ref="CS8:CS27">CP$6*$G8</f>
        <v>778.5651204</v>
      </c>
      <c r="CT8" s="78"/>
      <c r="CU8" s="78"/>
      <c r="CV8" s="78">
        <f aca="true" t="shared" si="58" ref="CV8:CV27">D8*0.45619/100</f>
        <v>1224.2999125</v>
      </c>
      <c r="CW8" s="78">
        <f aca="true" t="shared" si="59" ref="CW8:CW27">CU8+CV8</f>
        <v>1224.2999125</v>
      </c>
      <c r="CX8" s="78">
        <f aca="true" t="shared" si="60" ref="CX8:CX27">CV$6*$F8</f>
        <v>279.6718414</v>
      </c>
      <c r="CY8" s="77">
        <f aca="true" t="shared" si="61" ref="CY8:CY27">CV$6*$G8</f>
        <v>117.7928199</v>
      </c>
      <c r="CZ8" s="78"/>
      <c r="DA8" s="78"/>
      <c r="DB8" s="78">
        <f aca="true" t="shared" si="62" ref="DB8:DB27">D8*1.31079/100</f>
        <v>3517.8326625</v>
      </c>
      <c r="DC8" s="78">
        <f aca="true" t="shared" si="63" ref="DC8:DC27">DA8+DB8</f>
        <v>3517.8326625</v>
      </c>
      <c r="DD8" s="78">
        <f aca="true" t="shared" si="64" ref="DD8:DD27">DB$6*$F8</f>
        <v>803.5929174</v>
      </c>
      <c r="DE8" s="77">
        <f aca="true" t="shared" si="65" ref="DE8:DE27">DB$6*$G8</f>
        <v>338.4590859</v>
      </c>
      <c r="DF8" s="78"/>
      <c r="DG8" s="78"/>
      <c r="DH8" s="78">
        <f aca="true" t="shared" si="66" ref="DH8:DH27">D8*0.05051/100</f>
        <v>135.55621250000002</v>
      </c>
      <c r="DI8" s="78">
        <f aca="true" t="shared" si="67" ref="DI8:DI27">DG8+DH8</f>
        <v>135.55621250000002</v>
      </c>
      <c r="DJ8" s="78">
        <f aca="true" t="shared" si="68" ref="DJ8:DJ27">DH$6*$F8</f>
        <v>30.9656606</v>
      </c>
      <c r="DK8" s="77">
        <f aca="true" t="shared" si="69" ref="DK8:DK27">DH$6*$G8</f>
        <v>13.0421871</v>
      </c>
      <c r="DL8" s="78"/>
      <c r="DM8" s="90"/>
      <c r="DN8" s="90">
        <f aca="true" t="shared" si="70" ref="DN8:DN27">D8*2.76518/100</f>
        <v>7421.051825</v>
      </c>
      <c r="DO8" s="90">
        <f aca="true" t="shared" si="71" ref="DO8:DO27">DM8+DN8</f>
        <v>7421.051825</v>
      </c>
      <c r="DP8" s="90">
        <f aca="true" t="shared" si="72" ref="DP8:DP27">DN$6*$F8</f>
        <v>1695.2212508</v>
      </c>
      <c r="DQ8" s="94">
        <f aca="true" t="shared" si="73" ref="DQ8:DQ27">DN$6*$G8</f>
        <v>713.9971278</v>
      </c>
      <c r="DR8" s="78"/>
      <c r="DS8" s="78"/>
      <c r="DT8" s="78">
        <f aca="true" t="shared" si="74" ref="DT8:DT27">D8*0.43534/100</f>
        <v>1168.343725</v>
      </c>
      <c r="DU8" s="78">
        <f aca="true" t="shared" si="75" ref="DU8:DU27">DS8+DT8</f>
        <v>1168.343725</v>
      </c>
      <c r="DV8" s="78">
        <f aca="true" t="shared" si="76" ref="DV8:DV27">DT$6*$F8</f>
        <v>266.88954040000004</v>
      </c>
      <c r="DW8" s="77">
        <f aca="true" t="shared" si="77" ref="DW8:DW27">DT$6*$G8</f>
        <v>112.40914140000001</v>
      </c>
      <c r="DX8" s="78"/>
      <c r="DY8" s="78"/>
      <c r="DZ8" s="78">
        <f aca="true" t="shared" si="78" ref="DZ8:DZ27">D8*2.24029/100</f>
        <v>6012.3782875</v>
      </c>
      <c r="EA8" s="78">
        <f aca="true" t="shared" si="79" ref="EA8:EA27">DY8+DZ8</f>
        <v>6012.3782875</v>
      </c>
      <c r="EB8" s="78">
        <f aca="true" t="shared" si="80" ref="EB8:EB27">DZ$6*$F8</f>
        <v>1373.4321874</v>
      </c>
      <c r="EC8" s="77">
        <f aca="true" t="shared" si="81" ref="EC8:EC27">DZ$6*$G8</f>
        <v>578.4652809</v>
      </c>
      <c r="ED8" s="78"/>
      <c r="EE8" s="78"/>
      <c r="EF8" s="78">
        <f aca="true" t="shared" si="82" ref="EF8:EF27">D8*0.63958/100</f>
        <v>1716.472825</v>
      </c>
      <c r="EG8" s="78">
        <f aca="true" t="shared" si="83" ref="EG8:EG27">EE8+EF8</f>
        <v>1716.472825</v>
      </c>
      <c r="EH8" s="78">
        <f aca="true" t="shared" si="84" ref="EH8:EH27">EF$6*$F8</f>
        <v>392.1009148</v>
      </c>
      <c r="EI8" s="77">
        <f aca="true" t="shared" si="85" ref="EI8:EI27">EF$6*$G8</f>
        <v>165.1459518</v>
      </c>
      <c r="EJ8" s="78"/>
      <c r="EK8" s="78"/>
      <c r="EL8" s="78">
        <f aca="true" t="shared" si="86" ref="EL8:EL27">D8*0.00642/100</f>
        <v>17.229675</v>
      </c>
      <c r="EM8" s="78">
        <f aca="true" t="shared" si="87" ref="EM8:EM27">EK8+EL8</f>
        <v>17.229675</v>
      </c>
      <c r="EN8" s="78">
        <f aca="true" t="shared" si="88" ref="EN8:EN27">EL$6*$F8</f>
        <v>3.9358452</v>
      </c>
      <c r="EO8" s="77">
        <f aca="true" t="shared" si="89" ref="EO8:EO27">EL$6*$G8</f>
        <v>1.6577082</v>
      </c>
      <c r="EP8" s="78"/>
      <c r="EQ8" s="78"/>
      <c r="ER8" s="78">
        <f aca="true" t="shared" si="90" ref="ER8:ER27">D8*0.01192/100</f>
        <v>31.9903</v>
      </c>
      <c r="ES8" s="78">
        <f aca="true" t="shared" si="91" ref="ES8:ES27">EQ8+ER8</f>
        <v>31.9903</v>
      </c>
      <c r="ET8" s="78">
        <f aca="true" t="shared" si="92" ref="ET8:ET27">ER$6*$F8</f>
        <v>7.3076752</v>
      </c>
      <c r="EU8" s="77">
        <f aca="true" t="shared" si="93" ref="EU8:EU27">ER$6*$G8</f>
        <v>3.0778632</v>
      </c>
      <c r="EV8" s="78"/>
      <c r="EW8" s="78"/>
      <c r="EX8" s="78">
        <f aca="true" t="shared" si="94" ref="EX8:EX27">D8*2.15476/100</f>
        <v>5782.837149999999</v>
      </c>
      <c r="EY8" s="78">
        <f aca="true" t="shared" si="95" ref="EY8:EY27">EW8+EX8</f>
        <v>5782.837149999999</v>
      </c>
      <c r="EZ8" s="78">
        <f aca="true" t="shared" si="96" ref="EZ8:EZ27">EX$6*$F8</f>
        <v>1320.9971656</v>
      </c>
      <c r="FA8" s="77">
        <f aca="true" t="shared" si="97" ref="FA8:FA27">EX$6*$G8</f>
        <v>556.3805796</v>
      </c>
      <c r="FB8" s="78"/>
      <c r="FC8" s="78"/>
      <c r="FD8" s="78">
        <f aca="true" t="shared" si="98" ref="FD8:FD27">D8*4.00516/100</f>
        <v>10748.84815</v>
      </c>
      <c r="FE8" s="78">
        <f aca="true" t="shared" si="99" ref="FE8:FE27">FC8+FD8</f>
        <v>10748.84815</v>
      </c>
      <c r="FF8" s="78">
        <f aca="true" t="shared" si="100" ref="FF8:FF27">FD$6*$F8</f>
        <v>2455.4033896</v>
      </c>
      <c r="FG8" s="77">
        <f aca="true" t="shared" si="101" ref="FG8:FG27">FD$6*$G8</f>
        <v>1034.1723636</v>
      </c>
      <c r="FH8" s="78"/>
      <c r="FI8" s="80"/>
      <c r="FJ8" s="78"/>
      <c r="FK8" s="78"/>
      <c r="FL8" s="78"/>
      <c r="FM8" s="77">
        <f aca="true" t="shared" si="102" ref="FM8:FM27">FJ$6*$G8</f>
        <v>0</v>
      </c>
    </row>
    <row r="9" spans="1:169" ht="12">
      <c r="A9" s="19">
        <v>42095</v>
      </c>
      <c r="C9" s="77">
        <v>135000</v>
      </c>
      <c r="D9" s="77">
        <v>268375</v>
      </c>
      <c r="E9" s="77">
        <f t="shared" si="0"/>
        <v>403375</v>
      </c>
      <c r="F9" s="77">
        <v>61306</v>
      </c>
      <c r="G9" s="77">
        <v>25821</v>
      </c>
      <c r="H9" s="78"/>
      <c r="I9" s="79">
        <f>'2009D Academic'!I9</f>
        <v>73281.4965</v>
      </c>
      <c r="J9" s="79">
        <f>'2009D Academic'!J9</f>
        <v>145680.90091250002</v>
      </c>
      <c r="K9" s="79">
        <f t="shared" si="1"/>
        <v>218962.3974125</v>
      </c>
      <c r="L9" s="79">
        <f>'2009D Academic'!L9</f>
        <v>33278.484625400015</v>
      </c>
      <c r="M9" s="79">
        <f>'2009D Academic'!M9</f>
        <v>14016.3075639</v>
      </c>
      <c r="N9" s="78"/>
      <c r="O9" s="78">
        <f t="shared" si="2"/>
        <v>61718.5035</v>
      </c>
      <c r="P9" s="80">
        <f t="shared" si="3"/>
        <v>122694.09908750001</v>
      </c>
      <c r="Q9" s="78">
        <f t="shared" si="4"/>
        <v>184412.6025875</v>
      </c>
      <c r="R9" s="78">
        <f t="shared" si="5"/>
        <v>28027.515374600007</v>
      </c>
      <c r="S9" s="78">
        <f t="shared" si="5"/>
        <v>11804.692436099998</v>
      </c>
      <c r="T9" s="78"/>
      <c r="U9" s="78">
        <f aca="true" t="shared" si="103" ref="U9:U27">C9*8.1724/100</f>
        <v>11032.74</v>
      </c>
      <c r="V9" s="77">
        <f t="shared" si="6"/>
        <v>21932.6785</v>
      </c>
      <c r="W9" s="78">
        <f t="shared" si="7"/>
        <v>32965.4185</v>
      </c>
      <c r="X9" s="78">
        <f t="shared" si="8"/>
        <v>5010.171544000001</v>
      </c>
      <c r="Y9" s="77">
        <f t="shared" si="9"/>
        <v>2110.195404</v>
      </c>
      <c r="Z9" s="78"/>
      <c r="AA9" s="78">
        <f aca="true" t="shared" si="104" ref="AA9:AA27">C9*5.95646/100</f>
        <v>8041.221</v>
      </c>
      <c r="AB9" s="78">
        <f t="shared" si="10"/>
        <v>15985.649524999999</v>
      </c>
      <c r="AC9" s="78">
        <f t="shared" si="11"/>
        <v>24026.870525</v>
      </c>
      <c r="AD9" s="78">
        <f t="shared" si="12"/>
        <v>3651.6673676</v>
      </c>
      <c r="AE9" s="77">
        <f t="shared" si="13"/>
        <v>1538.0175366</v>
      </c>
      <c r="AF9" s="78"/>
      <c r="AG9" s="78">
        <f aca="true" t="shared" si="105" ref="AG9:AG27">C9*3.15804/100</f>
        <v>4263.354</v>
      </c>
      <c r="AH9" s="78">
        <f t="shared" si="14"/>
        <v>8475.389850000001</v>
      </c>
      <c r="AI9" s="78">
        <f t="shared" si="15"/>
        <v>12738.743850000003</v>
      </c>
      <c r="AJ9" s="78">
        <f t="shared" si="16"/>
        <v>1936.0680024</v>
      </c>
      <c r="AK9" s="77">
        <f t="shared" si="17"/>
        <v>815.4375084000001</v>
      </c>
      <c r="AL9" s="78"/>
      <c r="AM9" s="78">
        <f aca="true" t="shared" si="106" ref="AM9:AM27">C9*2.2968/100</f>
        <v>3100.68</v>
      </c>
      <c r="AN9" s="78">
        <f t="shared" si="18"/>
        <v>6164.037</v>
      </c>
      <c r="AO9" s="78">
        <f t="shared" si="19"/>
        <v>9264.717</v>
      </c>
      <c r="AP9" s="78">
        <f t="shared" si="20"/>
        <v>1408.076208</v>
      </c>
      <c r="AQ9" s="77">
        <f t="shared" si="21"/>
        <v>593.056728</v>
      </c>
      <c r="AR9" s="78"/>
      <c r="AS9" s="78">
        <f aca="true" t="shared" si="107" ref="AS9:AS27">C9*0.26309/100</f>
        <v>355.17150000000004</v>
      </c>
      <c r="AT9" s="78">
        <f t="shared" si="22"/>
        <v>706.0677875</v>
      </c>
      <c r="AU9" s="78">
        <f t="shared" si="23"/>
        <v>1061.2392875</v>
      </c>
      <c r="AV9" s="78">
        <f t="shared" si="24"/>
        <v>161.2899554</v>
      </c>
      <c r="AW9" s="77">
        <f t="shared" si="25"/>
        <v>67.93246889999999</v>
      </c>
      <c r="AX9" s="78"/>
      <c r="AY9" s="78">
        <f aca="true" t="shared" si="108" ref="AY9:AY27">C9*4.16229/100</f>
        <v>5619.091499999999</v>
      </c>
      <c r="AZ9" s="78">
        <f t="shared" si="26"/>
        <v>11170.5457875</v>
      </c>
      <c r="BA9" s="78">
        <f t="shared" si="27"/>
        <v>16789.637287499998</v>
      </c>
      <c r="BB9" s="78">
        <f t="shared" si="28"/>
        <v>2551.7335074</v>
      </c>
      <c r="BC9" s="77">
        <f t="shared" si="29"/>
        <v>1074.7449009</v>
      </c>
      <c r="BD9" s="78"/>
      <c r="BE9" s="78">
        <f aca="true" t="shared" si="109" ref="BE9:BE27">C9*0.45121/100</f>
        <v>609.1335</v>
      </c>
      <c r="BF9" s="78">
        <f t="shared" si="30"/>
        <v>1210.9348375</v>
      </c>
      <c r="BG9" s="78">
        <f t="shared" si="31"/>
        <v>1820.0683374999999</v>
      </c>
      <c r="BH9" s="78">
        <f t="shared" si="32"/>
        <v>276.6188026</v>
      </c>
      <c r="BI9" s="77">
        <f t="shared" si="33"/>
        <v>116.5069341</v>
      </c>
      <c r="BJ9" s="78"/>
      <c r="BK9" s="78">
        <f aca="true" t="shared" si="110" ref="BK9:BK27">C9*1.41147/100</f>
        <v>1905.4845</v>
      </c>
      <c r="BL9" s="78">
        <f t="shared" si="34"/>
        <v>3788.0326124999997</v>
      </c>
      <c r="BM9" s="78">
        <f t="shared" si="35"/>
        <v>5693.5171125</v>
      </c>
      <c r="BN9" s="78">
        <f t="shared" si="36"/>
        <v>865.3157982</v>
      </c>
      <c r="BO9" s="77">
        <f t="shared" si="37"/>
        <v>364.45566870000005</v>
      </c>
      <c r="BP9" s="78"/>
      <c r="BQ9" s="78">
        <f aca="true" t="shared" si="111" ref="BQ9:BQ27">C9*0.71579/100</f>
        <v>966.3165000000001</v>
      </c>
      <c r="BR9" s="78">
        <f t="shared" si="38"/>
        <v>1921.0014125000002</v>
      </c>
      <c r="BS9" s="78">
        <f t="shared" si="39"/>
        <v>2887.3179125000006</v>
      </c>
      <c r="BT9" s="78">
        <f t="shared" si="40"/>
        <v>438.8222174</v>
      </c>
      <c r="BU9" s="77">
        <f t="shared" si="41"/>
        <v>184.8241359</v>
      </c>
      <c r="BV9" s="78"/>
      <c r="BW9" s="78">
        <f aca="true" t="shared" si="112" ref="BW9:BW27">C9*0.13901/100</f>
        <v>187.6635</v>
      </c>
      <c r="BX9" s="78">
        <f t="shared" si="42"/>
        <v>373.0680875</v>
      </c>
      <c r="BY9" s="78">
        <f t="shared" si="43"/>
        <v>560.7315874999999</v>
      </c>
      <c r="BZ9" s="78">
        <f t="shared" si="44"/>
        <v>85.2214706</v>
      </c>
      <c r="CA9" s="77">
        <f t="shared" si="45"/>
        <v>35.8937721</v>
      </c>
      <c r="CB9" s="78"/>
      <c r="CC9" s="78">
        <f aca="true" t="shared" si="113" ref="CC9:CC27">C9*0.55234/100</f>
        <v>745.6590000000001</v>
      </c>
      <c r="CD9" s="78">
        <f t="shared" si="46"/>
        <v>1482.3424750000004</v>
      </c>
      <c r="CE9" s="78">
        <f t="shared" si="47"/>
        <v>2228.0014750000005</v>
      </c>
      <c r="CF9" s="78">
        <f t="shared" si="48"/>
        <v>338.6175604</v>
      </c>
      <c r="CG9" s="77">
        <f t="shared" si="49"/>
        <v>142.6197114</v>
      </c>
      <c r="CH9" s="78"/>
      <c r="CI9" s="78">
        <f aca="true" t="shared" si="114" ref="CI9:CI27">C9*1.34713/100</f>
        <v>1818.6254999999999</v>
      </c>
      <c r="CJ9" s="78">
        <f t="shared" si="50"/>
        <v>3615.3601375</v>
      </c>
      <c r="CK9" s="78">
        <f t="shared" si="51"/>
        <v>5433.9856375</v>
      </c>
      <c r="CL9" s="78">
        <f t="shared" si="52"/>
        <v>825.8715178</v>
      </c>
      <c r="CM9" s="77">
        <f t="shared" si="53"/>
        <v>347.84243730000003</v>
      </c>
      <c r="CN9" s="78"/>
      <c r="CO9" s="78">
        <f aca="true" t="shared" si="115" ref="CO9:CO27">C9*3.01524/100</f>
        <v>4070.5739999999996</v>
      </c>
      <c r="CP9" s="78">
        <f t="shared" si="54"/>
        <v>8092.15035</v>
      </c>
      <c r="CQ9" s="78">
        <f t="shared" si="55"/>
        <v>12162.72435</v>
      </c>
      <c r="CR9" s="78">
        <f t="shared" si="56"/>
        <v>1848.5230344</v>
      </c>
      <c r="CS9" s="77">
        <f t="shared" si="57"/>
        <v>778.5651204</v>
      </c>
      <c r="CT9" s="78"/>
      <c r="CU9" s="78">
        <f aca="true" t="shared" si="116" ref="CU9:CU27">C9*0.45619/100</f>
        <v>615.8565</v>
      </c>
      <c r="CV9" s="78">
        <f t="shared" si="58"/>
        <v>1224.2999125</v>
      </c>
      <c r="CW9" s="78">
        <f t="shared" si="59"/>
        <v>1840.1564125</v>
      </c>
      <c r="CX9" s="78">
        <f t="shared" si="60"/>
        <v>279.6718414</v>
      </c>
      <c r="CY9" s="77">
        <f t="shared" si="61"/>
        <v>117.7928199</v>
      </c>
      <c r="CZ9" s="78"/>
      <c r="DA9" s="78">
        <f aca="true" t="shared" si="117" ref="DA9:DA27">C9*1.31079/100</f>
        <v>1769.5665</v>
      </c>
      <c r="DB9" s="78">
        <f t="shared" si="62"/>
        <v>3517.8326625</v>
      </c>
      <c r="DC9" s="78">
        <f t="shared" si="63"/>
        <v>5287.3991625</v>
      </c>
      <c r="DD9" s="78">
        <f t="shared" si="64"/>
        <v>803.5929174</v>
      </c>
      <c r="DE9" s="77">
        <f t="shared" si="65"/>
        <v>338.4590859</v>
      </c>
      <c r="DF9" s="78"/>
      <c r="DG9" s="78">
        <f aca="true" t="shared" si="118" ref="DG9:DG27">C9*0.05051/100</f>
        <v>68.1885</v>
      </c>
      <c r="DH9" s="78">
        <f t="shared" si="66"/>
        <v>135.55621250000002</v>
      </c>
      <c r="DI9" s="78">
        <f t="shared" si="67"/>
        <v>203.74471250000002</v>
      </c>
      <c r="DJ9" s="78">
        <f t="shared" si="68"/>
        <v>30.9656606</v>
      </c>
      <c r="DK9" s="77">
        <f t="shared" si="69"/>
        <v>13.0421871</v>
      </c>
      <c r="DL9" s="78"/>
      <c r="DM9" s="90">
        <f aca="true" t="shared" si="119" ref="DM9:DM27">C9*2.76518/100</f>
        <v>3732.993</v>
      </c>
      <c r="DN9" s="90">
        <f t="shared" si="70"/>
        <v>7421.051825</v>
      </c>
      <c r="DO9" s="90">
        <f t="shared" si="71"/>
        <v>11154.044824999999</v>
      </c>
      <c r="DP9" s="90">
        <f t="shared" si="72"/>
        <v>1695.2212508</v>
      </c>
      <c r="DQ9" s="94">
        <f t="shared" si="73"/>
        <v>713.9971278</v>
      </c>
      <c r="DR9" s="78"/>
      <c r="DS9" s="78">
        <f aca="true" t="shared" si="120" ref="DS9:DS27">C9*0.43534/100</f>
        <v>587.7090000000001</v>
      </c>
      <c r="DT9" s="78">
        <f t="shared" si="74"/>
        <v>1168.343725</v>
      </c>
      <c r="DU9" s="78">
        <f t="shared" si="75"/>
        <v>1756.052725</v>
      </c>
      <c r="DV9" s="78">
        <f t="shared" si="76"/>
        <v>266.88954040000004</v>
      </c>
      <c r="DW9" s="77">
        <f t="shared" si="77"/>
        <v>112.40914140000001</v>
      </c>
      <c r="DX9" s="78"/>
      <c r="DY9" s="78">
        <f aca="true" t="shared" si="121" ref="DY9:DY27">C9*2.24029/100</f>
        <v>3024.3914999999997</v>
      </c>
      <c r="DZ9" s="78">
        <f t="shared" si="78"/>
        <v>6012.3782875</v>
      </c>
      <c r="EA9" s="78">
        <f t="shared" si="79"/>
        <v>9036.7697875</v>
      </c>
      <c r="EB9" s="78">
        <f t="shared" si="80"/>
        <v>1373.4321874</v>
      </c>
      <c r="EC9" s="77">
        <f t="shared" si="81"/>
        <v>578.4652809</v>
      </c>
      <c r="ED9" s="78"/>
      <c r="EE9" s="78">
        <f aca="true" t="shared" si="122" ref="EE9:EE27">C9*0.63958/100</f>
        <v>863.433</v>
      </c>
      <c r="EF9" s="78">
        <f t="shared" si="82"/>
        <v>1716.472825</v>
      </c>
      <c r="EG9" s="78">
        <f t="shared" si="83"/>
        <v>2579.905825</v>
      </c>
      <c r="EH9" s="78">
        <f t="shared" si="84"/>
        <v>392.1009148</v>
      </c>
      <c r="EI9" s="77">
        <f t="shared" si="85"/>
        <v>165.1459518</v>
      </c>
      <c r="EJ9" s="78"/>
      <c r="EK9" s="78">
        <f aca="true" t="shared" si="123" ref="EK9:EK27">C9*0.00642/100</f>
        <v>8.667</v>
      </c>
      <c r="EL9" s="78">
        <f t="shared" si="86"/>
        <v>17.229675</v>
      </c>
      <c r="EM9" s="78">
        <f t="shared" si="87"/>
        <v>25.896675000000002</v>
      </c>
      <c r="EN9" s="78">
        <f t="shared" si="88"/>
        <v>3.9358452</v>
      </c>
      <c r="EO9" s="77">
        <f t="shared" si="89"/>
        <v>1.6577082</v>
      </c>
      <c r="EP9" s="78"/>
      <c r="EQ9" s="78">
        <f aca="true" t="shared" si="124" ref="EQ9:EQ27">C9*0.01192/100</f>
        <v>16.092</v>
      </c>
      <c r="ER9" s="78">
        <f t="shared" si="90"/>
        <v>31.9903</v>
      </c>
      <c r="ES9" s="78">
        <f t="shared" si="91"/>
        <v>48.082300000000004</v>
      </c>
      <c r="ET9" s="78">
        <f t="shared" si="92"/>
        <v>7.3076752</v>
      </c>
      <c r="EU9" s="77">
        <f t="shared" si="93"/>
        <v>3.0778632</v>
      </c>
      <c r="EV9" s="78"/>
      <c r="EW9" s="78">
        <f aca="true" t="shared" si="125" ref="EW9:EW27">C9*2.15476/100</f>
        <v>2908.926</v>
      </c>
      <c r="EX9" s="78">
        <f t="shared" si="94"/>
        <v>5782.837149999999</v>
      </c>
      <c r="EY9" s="78">
        <f t="shared" si="95"/>
        <v>8691.763149999999</v>
      </c>
      <c r="EZ9" s="78">
        <f t="shared" si="96"/>
        <v>1320.9971656</v>
      </c>
      <c r="FA9" s="77">
        <f t="shared" si="97"/>
        <v>556.3805796</v>
      </c>
      <c r="FB9" s="78"/>
      <c r="FC9" s="78">
        <f aca="true" t="shared" si="126" ref="FC9:FC27">C9*4.00516/100</f>
        <v>5406.965999999999</v>
      </c>
      <c r="FD9" s="78">
        <f t="shared" si="98"/>
        <v>10748.84815</v>
      </c>
      <c r="FE9" s="78">
        <f t="shared" si="99"/>
        <v>16155.814149999998</v>
      </c>
      <c r="FF9" s="78">
        <f t="shared" si="100"/>
        <v>2455.4033896</v>
      </c>
      <c r="FG9" s="77">
        <f t="shared" si="101"/>
        <v>1034.1723636</v>
      </c>
      <c r="FH9" s="78"/>
      <c r="FI9" s="80"/>
      <c r="FJ9" s="78"/>
      <c r="FK9" s="78"/>
      <c r="FL9" s="78"/>
      <c r="FM9" s="77">
        <f t="shared" si="102"/>
        <v>0</v>
      </c>
    </row>
    <row r="10" spans="1:169" ht="12">
      <c r="A10" s="19">
        <v>42278</v>
      </c>
      <c r="C10" s="77"/>
      <c r="D10" s="77">
        <v>266350</v>
      </c>
      <c r="E10" s="77">
        <f t="shared" si="0"/>
        <v>266350</v>
      </c>
      <c r="F10" s="77">
        <v>61306</v>
      </c>
      <c r="G10" s="77">
        <v>25821</v>
      </c>
      <c r="H10" s="78"/>
      <c r="I10" s="79">
        <f>'2009D Academic'!I10</f>
        <v>0</v>
      </c>
      <c r="J10" s="79">
        <f>'2009D Academic'!J10</f>
        <v>144581.67846499998</v>
      </c>
      <c r="K10" s="79">
        <f t="shared" si="1"/>
        <v>144581.67846499998</v>
      </c>
      <c r="L10" s="79">
        <f>'2009D Academic'!L10</f>
        <v>33278.484625400015</v>
      </c>
      <c r="M10" s="79">
        <f>'2009D Academic'!M10</f>
        <v>14016.3075639</v>
      </c>
      <c r="N10" s="78"/>
      <c r="O10" s="78">
        <f t="shared" si="2"/>
        <v>0</v>
      </c>
      <c r="P10" s="80">
        <f t="shared" si="3"/>
        <v>121768.32153500002</v>
      </c>
      <c r="Q10" s="78">
        <f t="shared" si="4"/>
        <v>121768.32153500002</v>
      </c>
      <c r="R10" s="78">
        <f t="shared" si="5"/>
        <v>28027.515374600007</v>
      </c>
      <c r="S10" s="78">
        <f t="shared" si="5"/>
        <v>11804.692436099998</v>
      </c>
      <c r="T10" s="78"/>
      <c r="U10" s="78"/>
      <c r="V10" s="77">
        <f t="shared" si="6"/>
        <v>21767.1874</v>
      </c>
      <c r="W10" s="78">
        <f t="shared" si="7"/>
        <v>21767.1874</v>
      </c>
      <c r="X10" s="78">
        <f t="shared" si="8"/>
        <v>5010.171544000001</v>
      </c>
      <c r="Y10" s="77">
        <f t="shared" si="9"/>
        <v>2110.195404</v>
      </c>
      <c r="Z10" s="78"/>
      <c r="AA10" s="78"/>
      <c r="AB10" s="78">
        <f t="shared" si="10"/>
        <v>15865.031210000001</v>
      </c>
      <c r="AC10" s="78">
        <f t="shared" si="11"/>
        <v>15865.031210000001</v>
      </c>
      <c r="AD10" s="78">
        <f t="shared" si="12"/>
        <v>3651.6673676</v>
      </c>
      <c r="AE10" s="77">
        <f t="shared" si="13"/>
        <v>1538.0175366</v>
      </c>
      <c r="AF10" s="78"/>
      <c r="AG10" s="78"/>
      <c r="AH10" s="78">
        <f t="shared" si="14"/>
        <v>8411.43954</v>
      </c>
      <c r="AI10" s="78">
        <f t="shared" si="15"/>
        <v>8411.43954</v>
      </c>
      <c r="AJ10" s="78">
        <f t="shared" si="16"/>
        <v>1936.0680024</v>
      </c>
      <c r="AK10" s="77">
        <f t="shared" si="17"/>
        <v>815.4375084000001</v>
      </c>
      <c r="AL10" s="78"/>
      <c r="AM10" s="78"/>
      <c r="AN10" s="78">
        <f t="shared" si="18"/>
        <v>6117.526800000001</v>
      </c>
      <c r="AO10" s="78">
        <f t="shared" si="19"/>
        <v>6117.526800000001</v>
      </c>
      <c r="AP10" s="78">
        <f t="shared" si="20"/>
        <v>1408.076208</v>
      </c>
      <c r="AQ10" s="77">
        <f t="shared" si="21"/>
        <v>593.056728</v>
      </c>
      <c r="AR10" s="78"/>
      <c r="AS10" s="78"/>
      <c r="AT10" s="78">
        <f t="shared" si="22"/>
        <v>700.740215</v>
      </c>
      <c r="AU10" s="78">
        <f t="shared" si="23"/>
        <v>700.740215</v>
      </c>
      <c r="AV10" s="78">
        <f t="shared" si="24"/>
        <v>161.2899554</v>
      </c>
      <c r="AW10" s="77">
        <f t="shared" si="25"/>
        <v>67.93246889999999</v>
      </c>
      <c r="AX10" s="78"/>
      <c r="AY10" s="78"/>
      <c r="AZ10" s="78">
        <f t="shared" si="26"/>
        <v>11086.259415</v>
      </c>
      <c r="BA10" s="78">
        <f t="shared" si="27"/>
        <v>11086.259415</v>
      </c>
      <c r="BB10" s="78">
        <f t="shared" si="28"/>
        <v>2551.7335074</v>
      </c>
      <c r="BC10" s="77">
        <f t="shared" si="29"/>
        <v>1074.7449009</v>
      </c>
      <c r="BD10" s="78"/>
      <c r="BE10" s="78"/>
      <c r="BF10" s="78">
        <f t="shared" si="30"/>
        <v>1201.797835</v>
      </c>
      <c r="BG10" s="78">
        <f t="shared" si="31"/>
        <v>1201.797835</v>
      </c>
      <c r="BH10" s="78">
        <f t="shared" si="32"/>
        <v>276.6188026</v>
      </c>
      <c r="BI10" s="77">
        <f t="shared" si="33"/>
        <v>116.5069341</v>
      </c>
      <c r="BJ10" s="78"/>
      <c r="BK10" s="78"/>
      <c r="BL10" s="78">
        <f t="shared" si="34"/>
        <v>3759.450345</v>
      </c>
      <c r="BM10" s="78">
        <f t="shared" si="35"/>
        <v>3759.450345</v>
      </c>
      <c r="BN10" s="78">
        <f t="shared" si="36"/>
        <v>865.3157982</v>
      </c>
      <c r="BO10" s="77">
        <f t="shared" si="37"/>
        <v>364.45566870000005</v>
      </c>
      <c r="BP10" s="78"/>
      <c r="BQ10" s="78"/>
      <c r="BR10" s="78">
        <f t="shared" si="38"/>
        <v>1906.506665</v>
      </c>
      <c r="BS10" s="78">
        <f t="shared" si="39"/>
        <v>1906.506665</v>
      </c>
      <c r="BT10" s="78">
        <f t="shared" si="40"/>
        <v>438.8222174</v>
      </c>
      <c r="BU10" s="77">
        <f t="shared" si="41"/>
        <v>184.8241359</v>
      </c>
      <c r="BV10" s="78"/>
      <c r="BW10" s="78"/>
      <c r="BX10" s="78">
        <f t="shared" si="42"/>
        <v>370.253135</v>
      </c>
      <c r="BY10" s="78">
        <f t="shared" si="43"/>
        <v>370.253135</v>
      </c>
      <c r="BZ10" s="78">
        <f t="shared" si="44"/>
        <v>85.2214706</v>
      </c>
      <c r="CA10" s="77">
        <f t="shared" si="45"/>
        <v>35.8937721</v>
      </c>
      <c r="CB10" s="78"/>
      <c r="CC10" s="78"/>
      <c r="CD10" s="78">
        <f t="shared" si="46"/>
        <v>1471.1575900000003</v>
      </c>
      <c r="CE10" s="78">
        <f t="shared" si="47"/>
        <v>1471.1575900000003</v>
      </c>
      <c r="CF10" s="78">
        <f t="shared" si="48"/>
        <v>338.6175604</v>
      </c>
      <c r="CG10" s="77">
        <f t="shared" si="49"/>
        <v>142.6197114</v>
      </c>
      <c r="CH10" s="78"/>
      <c r="CI10" s="78"/>
      <c r="CJ10" s="78">
        <f t="shared" si="50"/>
        <v>3588.080755</v>
      </c>
      <c r="CK10" s="78">
        <f t="shared" si="51"/>
        <v>3588.080755</v>
      </c>
      <c r="CL10" s="78">
        <f t="shared" si="52"/>
        <v>825.8715178</v>
      </c>
      <c r="CM10" s="77">
        <f t="shared" si="53"/>
        <v>347.84243730000003</v>
      </c>
      <c r="CN10" s="78"/>
      <c r="CO10" s="78"/>
      <c r="CP10" s="78">
        <f t="shared" si="54"/>
        <v>8031.09174</v>
      </c>
      <c r="CQ10" s="78">
        <f t="shared" si="55"/>
        <v>8031.09174</v>
      </c>
      <c r="CR10" s="78">
        <f t="shared" si="56"/>
        <v>1848.5230344</v>
      </c>
      <c r="CS10" s="77">
        <f t="shared" si="57"/>
        <v>778.5651204</v>
      </c>
      <c r="CT10" s="78"/>
      <c r="CU10" s="78"/>
      <c r="CV10" s="78">
        <f t="shared" si="58"/>
        <v>1215.062065</v>
      </c>
      <c r="CW10" s="78">
        <f t="shared" si="59"/>
        <v>1215.062065</v>
      </c>
      <c r="CX10" s="78">
        <f t="shared" si="60"/>
        <v>279.6718414</v>
      </c>
      <c r="CY10" s="77">
        <f t="shared" si="61"/>
        <v>117.7928199</v>
      </c>
      <c r="CZ10" s="78"/>
      <c r="DA10" s="78"/>
      <c r="DB10" s="78">
        <f t="shared" si="62"/>
        <v>3491.289165</v>
      </c>
      <c r="DC10" s="78">
        <f t="shared" si="63"/>
        <v>3491.289165</v>
      </c>
      <c r="DD10" s="78">
        <f t="shared" si="64"/>
        <v>803.5929174</v>
      </c>
      <c r="DE10" s="77">
        <f t="shared" si="65"/>
        <v>338.4590859</v>
      </c>
      <c r="DF10" s="78"/>
      <c r="DG10" s="78"/>
      <c r="DH10" s="78">
        <f t="shared" si="66"/>
        <v>134.533385</v>
      </c>
      <c r="DI10" s="78">
        <f t="shared" si="67"/>
        <v>134.533385</v>
      </c>
      <c r="DJ10" s="78">
        <f t="shared" si="68"/>
        <v>30.9656606</v>
      </c>
      <c r="DK10" s="77">
        <f t="shared" si="69"/>
        <v>13.0421871</v>
      </c>
      <c r="DL10" s="78"/>
      <c r="DM10" s="90"/>
      <c r="DN10" s="90">
        <f t="shared" si="70"/>
        <v>7365.05693</v>
      </c>
      <c r="DO10" s="90">
        <f t="shared" si="71"/>
        <v>7365.05693</v>
      </c>
      <c r="DP10" s="90">
        <f t="shared" si="72"/>
        <v>1695.2212508</v>
      </c>
      <c r="DQ10" s="94">
        <f t="shared" si="73"/>
        <v>713.9971278</v>
      </c>
      <c r="DR10" s="78"/>
      <c r="DS10" s="78"/>
      <c r="DT10" s="78">
        <f t="shared" si="74"/>
        <v>1159.52809</v>
      </c>
      <c r="DU10" s="78">
        <f t="shared" si="75"/>
        <v>1159.52809</v>
      </c>
      <c r="DV10" s="78">
        <f t="shared" si="76"/>
        <v>266.88954040000004</v>
      </c>
      <c r="DW10" s="77">
        <f t="shared" si="77"/>
        <v>112.40914140000001</v>
      </c>
      <c r="DX10" s="78"/>
      <c r="DY10" s="78"/>
      <c r="DZ10" s="78">
        <f t="shared" si="78"/>
        <v>5967.012415</v>
      </c>
      <c r="EA10" s="78">
        <f t="shared" si="79"/>
        <v>5967.012415</v>
      </c>
      <c r="EB10" s="78">
        <f t="shared" si="80"/>
        <v>1373.4321874</v>
      </c>
      <c r="EC10" s="77">
        <f t="shared" si="81"/>
        <v>578.4652809</v>
      </c>
      <c r="ED10" s="78"/>
      <c r="EE10" s="78"/>
      <c r="EF10" s="78">
        <f t="shared" si="82"/>
        <v>1703.52133</v>
      </c>
      <c r="EG10" s="78">
        <f t="shared" si="83"/>
        <v>1703.52133</v>
      </c>
      <c r="EH10" s="78">
        <f t="shared" si="84"/>
        <v>392.1009148</v>
      </c>
      <c r="EI10" s="77">
        <f t="shared" si="85"/>
        <v>165.1459518</v>
      </c>
      <c r="EJ10" s="78"/>
      <c r="EK10" s="78"/>
      <c r="EL10" s="78">
        <f t="shared" si="86"/>
        <v>17.09967</v>
      </c>
      <c r="EM10" s="78">
        <f t="shared" si="87"/>
        <v>17.09967</v>
      </c>
      <c r="EN10" s="78">
        <f t="shared" si="88"/>
        <v>3.9358452</v>
      </c>
      <c r="EO10" s="77">
        <f t="shared" si="89"/>
        <v>1.6577082</v>
      </c>
      <c r="EP10" s="78"/>
      <c r="EQ10" s="78"/>
      <c r="ER10" s="78">
        <f t="shared" si="90"/>
        <v>31.74892</v>
      </c>
      <c r="ES10" s="78">
        <f t="shared" si="91"/>
        <v>31.74892</v>
      </c>
      <c r="ET10" s="78">
        <f t="shared" si="92"/>
        <v>7.3076752</v>
      </c>
      <c r="EU10" s="77">
        <f t="shared" si="93"/>
        <v>3.0778632</v>
      </c>
      <c r="EV10" s="78"/>
      <c r="EW10" s="78"/>
      <c r="EX10" s="78">
        <f t="shared" si="94"/>
        <v>5739.20326</v>
      </c>
      <c r="EY10" s="78">
        <f t="shared" si="95"/>
        <v>5739.20326</v>
      </c>
      <c r="EZ10" s="78">
        <f t="shared" si="96"/>
        <v>1320.9971656</v>
      </c>
      <c r="FA10" s="77">
        <f t="shared" si="97"/>
        <v>556.3805796</v>
      </c>
      <c r="FB10" s="78"/>
      <c r="FC10" s="78"/>
      <c r="FD10" s="78">
        <f t="shared" si="98"/>
        <v>10667.74366</v>
      </c>
      <c r="FE10" s="78">
        <f t="shared" si="99"/>
        <v>10667.74366</v>
      </c>
      <c r="FF10" s="78">
        <f t="shared" si="100"/>
        <v>2455.4033896</v>
      </c>
      <c r="FG10" s="77">
        <f t="shared" si="101"/>
        <v>1034.1723636</v>
      </c>
      <c r="FH10" s="78"/>
      <c r="FI10" s="80"/>
      <c r="FJ10" s="78"/>
      <c r="FK10" s="78"/>
      <c r="FL10" s="78"/>
      <c r="FM10" s="77">
        <f t="shared" si="102"/>
        <v>0</v>
      </c>
    </row>
    <row r="11" spans="1:169" ht="12">
      <c r="A11" s="19">
        <v>42461</v>
      </c>
      <c r="C11" s="77">
        <v>5090000</v>
      </c>
      <c r="D11" s="77">
        <v>266350</v>
      </c>
      <c r="E11" s="77">
        <f t="shared" si="0"/>
        <v>5356350</v>
      </c>
      <c r="F11" s="77">
        <v>61306</v>
      </c>
      <c r="G11" s="77">
        <v>25821</v>
      </c>
      <c r="H11" s="78"/>
      <c r="I11" s="79">
        <f>'2009D Academic'!I11</f>
        <v>2762983.831</v>
      </c>
      <c r="J11" s="79">
        <f>'2009D Academic'!J11</f>
        <v>144581.67846499998</v>
      </c>
      <c r="K11" s="79">
        <f t="shared" si="1"/>
        <v>2907565.5094649997</v>
      </c>
      <c r="L11" s="79">
        <f>'2009D Academic'!L11</f>
        <v>33278.484625400015</v>
      </c>
      <c r="M11" s="79">
        <f>'2009D Academic'!M11</f>
        <v>14016.3075639</v>
      </c>
      <c r="N11" s="78"/>
      <c r="O11" s="78">
        <f t="shared" si="2"/>
        <v>2327016.1689999993</v>
      </c>
      <c r="P11" s="80">
        <f t="shared" si="3"/>
        <v>121768.32153500002</v>
      </c>
      <c r="Q11" s="78">
        <f t="shared" si="4"/>
        <v>2448784.4905349994</v>
      </c>
      <c r="R11" s="78">
        <f t="shared" si="5"/>
        <v>28027.515374600007</v>
      </c>
      <c r="S11" s="78">
        <f t="shared" si="5"/>
        <v>11804.692436099998</v>
      </c>
      <c r="T11" s="78"/>
      <c r="U11" s="78">
        <f t="shared" si="103"/>
        <v>415975.16</v>
      </c>
      <c r="V11" s="77">
        <f t="shared" si="6"/>
        <v>21767.1874</v>
      </c>
      <c r="W11" s="78">
        <f t="shared" si="7"/>
        <v>437742.34739999997</v>
      </c>
      <c r="X11" s="78">
        <f t="shared" si="8"/>
        <v>5010.171544000001</v>
      </c>
      <c r="Y11" s="77">
        <f t="shared" si="9"/>
        <v>2110.195404</v>
      </c>
      <c r="Z11" s="78"/>
      <c r="AA11" s="78">
        <f t="shared" si="104"/>
        <v>303183.814</v>
      </c>
      <c r="AB11" s="78">
        <f t="shared" si="10"/>
        <v>15865.031210000001</v>
      </c>
      <c r="AC11" s="78">
        <f t="shared" si="11"/>
        <v>319048.84521</v>
      </c>
      <c r="AD11" s="78">
        <f t="shared" si="12"/>
        <v>3651.6673676</v>
      </c>
      <c r="AE11" s="77">
        <f t="shared" si="13"/>
        <v>1538.0175366</v>
      </c>
      <c r="AF11" s="78"/>
      <c r="AG11" s="78">
        <f t="shared" si="105"/>
        <v>160744.236</v>
      </c>
      <c r="AH11" s="78">
        <f t="shared" si="14"/>
        <v>8411.43954</v>
      </c>
      <c r="AI11" s="78">
        <f t="shared" si="15"/>
        <v>169155.67554</v>
      </c>
      <c r="AJ11" s="78">
        <f t="shared" si="16"/>
        <v>1936.0680024</v>
      </c>
      <c r="AK11" s="77">
        <f t="shared" si="17"/>
        <v>815.4375084000001</v>
      </c>
      <c r="AL11" s="78"/>
      <c r="AM11" s="78">
        <f t="shared" si="106"/>
        <v>116907.12</v>
      </c>
      <c r="AN11" s="78">
        <f t="shared" si="18"/>
        <v>6117.526800000001</v>
      </c>
      <c r="AO11" s="78">
        <f t="shared" si="19"/>
        <v>123024.6468</v>
      </c>
      <c r="AP11" s="78">
        <f t="shared" si="20"/>
        <v>1408.076208</v>
      </c>
      <c r="AQ11" s="77">
        <f t="shared" si="21"/>
        <v>593.056728</v>
      </c>
      <c r="AR11" s="78"/>
      <c r="AS11" s="78">
        <f t="shared" si="107"/>
        <v>13391.280999999999</v>
      </c>
      <c r="AT11" s="78">
        <f t="shared" si="22"/>
        <v>700.740215</v>
      </c>
      <c r="AU11" s="78">
        <f t="shared" si="23"/>
        <v>14092.021214999999</v>
      </c>
      <c r="AV11" s="78">
        <f t="shared" si="24"/>
        <v>161.2899554</v>
      </c>
      <c r="AW11" s="77">
        <f t="shared" si="25"/>
        <v>67.93246889999999</v>
      </c>
      <c r="AX11" s="78"/>
      <c r="AY11" s="78">
        <f t="shared" si="108"/>
        <v>211860.561</v>
      </c>
      <c r="AZ11" s="78">
        <f t="shared" si="26"/>
        <v>11086.259415</v>
      </c>
      <c r="BA11" s="78">
        <f t="shared" si="27"/>
        <v>222946.820415</v>
      </c>
      <c r="BB11" s="78">
        <f t="shared" si="28"/>
        <v>2551.7335074</v>
      </c>
      <c r="BC11" s="77">
        <f t="shared" si="29"/>
        <v>1074.7449009</v>
      </c>
      <c r="BD11" s="78"/>
      <c r="BE11" s="78">
        <f t="shared" si="109"/>
        <v>22966.589</v>
      </c>
      <c r="BF11" s="78">
        <f t="shared" si="30"/>
        <v>1201.797835</v>
      </c>
      <c r="BG11" s="78">
        <f t="shared" si="31"/>
        <v>24168.386835</v>
      </c>
      <c r="BH11" s="78">
        <f t="shared" si="32"/>
        <v>276.6188026</v>
      </c>
      <c r="BI11" s="77">
        <f t="shared" si="33"/>
        <v>116.5069341</v>
      </c>
      <c r="BJ11" s="78"/>
      <c r="BK11" s="78">
        <f t="shared" si="110"/>
        <v>71843.823</v>
      </c>
      <c r="BL11" s="78">
        <f t="shared" si="34"/>
        <v>3759.450345</v>
      </c>
      <c r="BM11" s="78">
        <f t="shared" si="35"/>
        <v>75603.27334500001</v>
      </c>
      <c r="BN11" s="78">
        <f t="shared" si="36"/>
        <v>865.3157982</v>
      </c>
      <c r="BO11" s="77">
        <f t="shared" si="37"/>
        <v>364.45566870000005</v>
      </c>
      <c r="BP11" s="78"/>
      <c r="BQ11" s="78">
        <f t="shared" si="111"/>
        <v>36433.711</v>
      </c>
      <c r="BR11" s="78">
        <f t="shared" si="38"/>
        <v>1906.506665</v>
      </c>
      <c r="BS11" s="78">
        <f t="shared" si="39"/>
        <v>38340.217665000004</v>
      </c>
      <c r="BT11" s="78">
        <f t="shared" si="40"/>
        <v>438.8222174</v>
      </c>
      <c r="BU11" s="77">
        <f t="shared" si="41"/>
        <v>184.8241359</v>
      </c>
      <c r="BV11" s="78"/>
      <c r="BW11" s="78">
        <f t="shared" si="112"/>
        <v>7075.609</v>
      </c>
      <c r="BX11" s="78">
        <f t="shared" si="42"/>
        <v>370.253135</v>
      </c>
      <c r="BY11" s="78">
        <f t="shared" si="43"/>
        <v>7445.862135</v>
      </c>
      <c r="BZ11" s="78">
        <f t="shared" si="44"/>
        <v>85.2214706</v>
      </c>
      <c r="CA11" s="77">
        <f t="shared" si="45"/>
        <v>35.8937721</v>
      </c>
      <c r="CB11" s="78"/>
      <c r="CC11" s="78">
        <f t="shared" si="113"/>
        <v>28114.106</v>
      </c>
      <c r="CD11" s="78">
        <f t="shared" si="46"/>
        <v>1471.1575900000003</v>
      </c>
      <c r="CE11" s="78">
        <f t="shared" si="47"/>
        <v>29585.26359</v>
      </c>
      <c r="CF11" s="78">
        <f t="shared" si="48"/>
        <v>338.6175604</v>
      </c>
      <c r="CG11" s="77">
        <f t="shared" si="49"/>
        <v>142.6197114</v>
      </c>
      <c r="CH11" s="78"/>
      <c r="CI11" s="78">
        <f t="shared" si="114"/>
        <v>68568.91699999999</v>
      </c>
      <c r="CJ11" s="78">
        <f t="shared" si="50"/>
        <v>3588.080755</v>
      </c>
      <c r="CK11" s="78">
        <f t="shared" si="51"/>
        <v>72156.99775499999</v>
      </c>
      <c r="CL11" s="78">
        <f t="shared" si="52"/>
        <v>825.8715178</v>
      </c>
      <c r="CM11" s="77">
        <f t="shared" si="53"/>
        <v>347.84243730000003</v>
      </c>
      <c r="CN11" s="78"/>
      <c r="CO11" s="78">
        <f t="shared" si="115"/>
        <v>153475.716</v>
      </c>
      <c r="CP11" s="78">
        <f t="shared" si="54"/>
        <v>8031.09174</v>
      </c>
      <c r="CQ11" s="78">
        <f t="shared" si="55"/>
        <v>161506.80774</v>
      </c>
      <c r="CR11" s="78">
        <f t="shared" si="56"/>
        <v>1848.5230344</v>
      </c>
      <c r="CS11" s="77">
        <f t="shared" si="57"/>
        <v>778.5651204</v>
      </c>
      <c r="CT11" s="78"/>
      <c r="CU11" s="78">
        <f t="shared" si="116"/>
        <v>23220.071</v>
      </c>
      <c r="CV11" s="78">
        <f t="shared" si="58"/>
        <v>1215.062065</v>
      </c>
      <c r="CW11" s="78">
        <f t="shared" si="59"/>
        <v>24435.133065</v>
      </c>
      <c r="CX11" s="78">
        <f t="shared" si="60"/>
        <v>279.6718414</v>
      </c>
      <c r="CY11" s="77">
        <f t="shared" si="61"/>
        <v>117.7928199</v>
      </c>
      <c r="CZ11" s="78"/>
      <c r="DA11" s="78">
        <f t="shared" si="117"/>
        <v>66719.211</v>
      </c>
      <c r="DB11" s="78">
        <f t="shared" si="62"/>
        <v>3491.289165</v>
      </c>
      <c r="DC11" s="78">
        <f t="shared" si="63"/>
        <v>70210.50016499999</v>
      </c>
      <c r="DD11" s="78">
        <f t="shared" si="64"/>
        <v>803.5929174</v>
      </c>
      <c r="DE11" s="77">
        <f t="shared" si="65"/>
        <v>338.4590859</v>
      </c>
      <c r="DF11" s="78"/>
      <c r="DG11" s="78">
        <f t="shared" si="118"/>
        <v>2570.959</v>
      </c>
      <c r="DH11" s="78">
        <f t="shared" si="66"/>
        <v>134.533385</v>
      </c>
      <c r="DI11" s="78">
        <f t="shared" si="67"/>
        <v>2705.492385</v>
      </c>
      <c r="DJ11" s="78">
        <f t="shared" si="68"/>
        <v>30.9656606</v>
      </c>
      <c r="DK11" s="77">
        <f t="shared" si="69"/>
        <v>13.0421871</v>
      </c>
      <c r="DL11" s="78"/>
      <c r="DM11" s="90">
        <f t="shared" si="119"/>
        <v>140747.66199999998</v>
      </c>
      <c r="DN11" s="90">
        <f t="shared" si="70"/>
        <v>7365.05693</v>
      </c>
      <c r="DO11" s="90">
        <f t="shared" si="71"/>
        <v>148112.71892999997</v>
      </c>
      <c r="DP11" s="90">
        <f t="shared" si="72"/>
        <v>1695.2212508</v>
      </c>
      <c r="DQ11" s="94">
        <f t="shared" si="73"/>
        <v>713.9971278</v>
      </c>
      <c r="DR11" s="78"/>
      <c r="DS11" s="78">
        <f t="shared" si="120"/>
        <v>22158.806</v>
      </c>
      <c r="DT11" s="78">
        <f t="shared" si="74"/>
        <v>1159.52809</v>
      </c>
      <c r="DU11" s="78">
        <f t="shared" si="75"/>
        <v>23318.33409</v>
      </c>
      <c r="DV11" s="78">
        <f t="shared" si="76"/>
        <v>266.88954040000004</v>
      </c>
      <c r="DW11" s="77">
        <f t="shared" si="77"/>
        <v>112.40914140000001</v>
      </c>
      <c r="DX11" s="78"/>
      <c r="DY11" s="78">
        <f t="shared" si="121"/>
        <v>114030.761</v>
      </c>
      <c r="DZ11" s="78">
        <f t="shared" si="78"/>
        <v>5967.012415</v>
      </c>
      <c r="EA11" s="78">
        <f t="shared" si="79"/>
        <v>119997.773415</v>
      </c>
      <c r="EB11" s="78">
        <f t="shared" si="80"/>
        <v>1373.4321874</v>
      </c>
      <c r="EC11" s="77">
        <f t="shared" si="81"/>
        <v>578.4652809</v>
      </c>
      <c r="ED11" s="78"/>
      <c r="EE11" s="78">
        <f t="shared" si="122"/>
        <v>32554.622000000003</v>
      </c>
      <c r="EF11" s="78">
        <f t="shared" si="82"/>
        <v>1703.52133</v>
      </c>
      <c r="EG11" s="78">
        <f t="shared" si="83"/>
        <v>34258.143330000006</v>
      </c>
      <c r="EH11" s="78">
        <f t="shared" si="84"/>
        <v>392.1009148</v>
      </c>
      <c r="EI11" s="77">
        <f t="shared" si="85"/>
        <v>165.1459518</v>
      </c>
      <c r="EJ11" s="78"/>
      <c r="EK11" s="78">
        <f t="shared" si="123"/>
        <v>326.778</v>
      </c>
      <c r="EL11" s="78">
        <f t="shared" si="86"/>
        <v>17.09967</v>
      </c>
      <c r="EM11" s="78">
        <f t="shared" si="87"/>
        <v>343.87767</v>
      </c>
      <c r="EN11" s="78">
        <f t="shared" si="88"/>
        <v>3.9358452</v>
      </c>
      <c r="EO11" s="77">
        <f t="shared" si="89"/>
        <v>1.6577082</v>
      </c>
      <c r="EP11" s="78"/>
      <c r="EQ11" s="78">
        <f t="shared" si="124"/>
        <v>606.7280000000001</v>
      </c>
      <c r="ER11" s="78">
        <f t="shared" si="90"/>
        <v>31.74892</v>
      </c>
      <c r="ES11" s="78">
        <f t="shared" si="91"/>
        <v>638.4769200000001</v>
      </c>
      <c r="ET11" s="78">
        <f t="shared" si="92"/>
        <v>7.3076752</v>
      </c>
      <c r="EU11" s="77">
        <f t="shared" si="93"/>
        <v>3.0778632</v>
      </c>
      <c r="EV11" s="78"/>
      <c r="EW11" s="78">
        <f t="shared" si="125"/>
        <v>109677.284</v>
      </c>
      <c r="EX11" s="78">
        <f t="shared" si="94"/>
        <v>5739.20326</v>
      </c>
      <c r="EY11" s="78">
        <f t="shared" si="95"/>
        <v>115416.48726</v>
      </c>
      <c r="EZ11" s="78">
        <f t="shared" si="96"/>
        <v>1320.9971656</v>
      </c>
      <c r="FA11" s="77">
        <f t="shared" si="97"/>
        <v>556.3805796</v>
      </c>
      <c r="FB11" s="78"/>
      <c r="FC11" s="78">
        <f t="shared" si="126"/>
        <v>203862.64399999997</v>
      </c>
      <c r="FD11" s="78">
        <f t="shared" si="98"/>
        <v>10667.74366</v>
      </c>
      <c r="FE11" s="78">
        <f t="shared" si="99"/>
        <v>214530.38765999998</v>
      </c>
      <c r="FF11" s="78">
        <f t="shared" si="100"/>
        <v>2455.4033896</v>
      </c>
      <c r="FG11" s="77">
        <f t="shared" si="101"/>
        <v>1034.1723636</v>
      </c>
      <c r="FH11" s="78"/>
      <c r="FI11" s="80"/>
      <c r="FJ11" s="78"/>
      <c r="FK11" s="78"/>
      <c r="FL11" s="78"/>
      <c r="FM11" s="77">
        <f t="shared" si="102"/>
        <v>0</v>
      </c>
    </row>
    <row r="12" spans="1:169" ht="12">
      <c r="A12" s="19">
        <v>42644</v>
      </c>
      <c r="C12" s="77"/>
      <c r="D12" s="77">
        <v>164550</v>
      </c>
      <c r="E12" s="77">
        <f t="shared" si="0"/>
        <v>164550</v>
      </c>
      <c r="F12" s="77">
        <v>61306</v>
      </c>
      <c r="G12" s="77">
        <v>25821</v>
      </c>
      <c r="H12" s="78"/>
      <c r="I12" s="79">
        <f>'2009D Academic'!I12</f>
        <v>0</v>
      </c>
      <c r="J12" s="79">
        <f>'2009D Academic'!J12</f>
        <v>89322.001845</v>
      </c>
      <c r="K12" s="79">
        <f t="shared" si="1"/>
        <v>89322.001845</v>
      </c>
      <c r="L12" s="79">
        <f>'2009D Academic'!L12</f>
        <v>33278.484625400015</v>
      </c>
      <c r="M12" s="79">
        <f>'2009D Academic'!M12</f>
        <v>14016.3075639</v>
      </c>
      <c r="N12" s="78"/>
      <c r="O12" s="78">
        <f t="shared" si="2"/>
        <v>0</v>
      </c>
      <c r="P12" s="80">
        <f t="shared" si="3"/>
        <v>75227.99815500001</v>
      </c>
      <c r="Q12" s="78">
        <f t="shared" si="4"/>
        <v>75227.99815500001</v>
      </c>
      <c r="R12" s="78">
        <f t="shared" si="5"/>
        <v>28027.515374600007</v>
      </c>
      <c r="S12" s="78">
        <f t="shared" si="5"/>
        <v>11804.692436099998</v>
      </c>
      <c r="T12" s="78"/>
      <c r="U12" s="78"/>
      <c r="V12" s="77">
        <f t="shared" si="6"/>
        <v>13447.6842</v>
      </c>
      <c r="W12" s="78">
        <f t="shared" si="7"/>
        <v>13447.6842</v>
      </c>
      <c r="X12" s="78">
        <f t="shared" si="8"/>
        <v>5010.171544000001</v>
      </c>
      <c r="Y12" s="77">
        <f t="shared" si="9"/>
        <v>2110.195404</v>
      </c>
      <c r="Z12" s="78"/>
      <c r="AA12" s="78"/>
      <c r="AB12" s="78">
        <f t="shared" si="10"/>
        <v>9801.35493</v>
      </c>
      <c r="AC12" s="78">
        <f t="shared" si="11"/>
        <v>9801.35493</v>
      </c>
      <c r="AD12" s="78">
        <f t="shared" si="12"/>
        <v>3651.6673676</v>
      </c>
      <c r="AE12" s="77">
        <f t="shared" si="13"/>
        <v>1538.0175366</v>
      </c>
      <c r="AF12" s="78"/>
      <c r="AG12" s="78"/>
      <c r="AH12" s="78">
        <f t="shared" si="14"/>
        <v>5196.55482</v>
      </c>
      <c r="AI12" s="78">
        <f t="shared" si="15"/>
        <v>5196.55482</v>
      </c>
      <c r="AJ12" s="78">
        <f t="shared" si="16"/>
        <v>1936.0680024</v>
      </c>
      <c r="AK12" s="77">
        <f t="shared" si="17"/>
        <v>815.4375084000001</v>
      </c>
      <c r="AL12" s="78"/>
      <c r="AM12" s="78"/>
      <c r="AN12" s="78">
        <f t="shared" si="18"/>
        <v>3779.3844</v>
      </c>
      <c r="AO12" s="78">
        <f t="shared" si="19"/>
        <v>3779.3844</v>
      </c>
      <c r="AP12" s="78">
        <f t="shared" si="20"/>
        <v>1408.076208</v>
      </c>
      <c r="AQ12" s="77">
        <f t="shared" si="21"/>
        <v>593.056728</v>
      </c>
      <c r="AR12" s="78"/>
      <c r="AS12" s="78"/>
      <c r="AT12" s="78">
        <f t="shared" si="22"/>
        <v>432.91459499999996</v>
      </c>
      <c r="AU12" s="78">
        <f t="shared" si="23"/>
        <v>432.91459499999996</v>
      </c>
      <c r="AV12" s="78">
        <f t="shared" si="24"/>
        <v>161.2899554</v>
      </c>
      <c r="AW12" s="77">
        <f t="shared" si="25"/>
        <v>67.93246889999999</v>
      </c>
      <c r="AX12" s="78"/>
      <c r="AY12" s="78"/>
      <c r="AZ12" s="78">
        <f t="shared" si="26"/>
        <v>6849.048194999999</v>
      </c>
      <c r="BA12" s="78">
        <f t="shared" si="27"/>
        <v>6849.048194999999</v>
      </c>
      <c r="BB12" s="78">
        <f t="shared" si="28"/>
        <v>2551.7335074</v>
      </c>
      <c r="BC12" s="77">
        <f t="shared" si="29"/>
        <v>1074.7449009</v>
      </c>
      <c r="BD12" s="78"/>
      <c r="BE12" s="78"/>
      <c r="BF12" s="78">
        <f t="shared" si="30"/>
        <v>742.4660550000001</v>
      </c>
      <c r="BG12" s="78">
        <f t="shared" si="31"/>
        <v>742.4660550000001</v>
      </c>
      <c r="BH12" s="78">
        <f t="shared" si="32"/>
        <v>276.6188026</v>
      </c>
      <c r="BI12" s="77">
        <f t="shared" si="33"/>
        <v>116.5069341</v>
      </c>
      <c r="BJ12" s="78"/>
      <c r="BK12" s="78"/>
      <c r="BL12" s="78">
        <f t="shared" si="34"/>
        <v>2322.573885</v>
      </c>
      <c r="BM12" s="78">
        <f t="shared" si="35"/>
        <v>2322.573885</v>
      </c>
      <c r="BN12" s="78">
        <f t="shared" si="36"/>
        <v>865.3157982</v>
      </c>
      <c r="BO12" s="77">
        <f t="shared" si="37"/>
        <v>364.45566870000005</v>
      </c>
      <c r="BP12" s="78"/>
      <c r="BQ12" s="78"/>
      <c r="BR12" s="78">
        <f t="shared" si="38"/>
        <v>1177.832445</v>
      </c>
      <c r="BS12" s="78">
        <f t="shared" si="39"/>
        <v>1177.832445</v>
      </c>
      <c r="BT12" s="78">
        <f t="shared" si="40"/>
        <v>438.8222174</v>
      </c>
      <c r="BU12" s="77">
        <f t="shared" si="41"/>
        <v>184.8241359</v>
      </c>
      <c r="BV12" s="78"/>
      <c r="BW12" s="78"/>
      <c r="BX12" s="78">
        <f t="shared" si="42"/>
        <v>228.74095499999999</v>
      </c>
      <c r="BY12" s="78">
        <f t="shared" si="43"/>
        <v>228.74095499999999</v>
      </c>
      <c r="BZ12" s="78">
        <f t="shared" si="44"/>
        <v>85.2214706</v>
      </c>
      <c r="CA12" s="77">
        <f t="shared" si="45"/>
        <v>35.8937721</v>
      </c>
      <c r="CB12" s="78"/>
      <c r="CC12" s="78"/>
      <c r="CD12" s="78">
        <f t="shared" si="46"/>
        <v>908.8754700000001</v>
      </c>
      <c r="CE12" s="78">
        <f t="shared" si="47"/>
        <v>908.8754700000001</v>
      </c>
      <c r="CF12" s="78">
        <f t="shared" si="48"/>
        <v>338.6175604</v>
      </c>
      <c r="CG12" s="77">
        <f t="shared" si="49"/>
        <v>142.6197114</v>
      </c>
      <c r="CH12" s="78"/>
      <c r="CI12" s="78"/>
      <c r="CJ12" s="78">
        <f t="shared" si="50"/>
        <v>2216.702415</v>
      </c>
      <c r="CK12" s="78">
        <f t="shared" si="51"/>
        <v>2216.702415</v>
      </c>
      <c r="CL12" s="78">
        <f t="shared" si="52"/>
        <v>825.8715178</v>
      </c>
      <c r="CM12" s="77">
        <f t="shared" si="53"/>
        <v>347.84243730000003</v>
      </c>
      <c r="CN12" s="78"/>
      <c r="CO12" s="78"/>
      <c r="CP12" s="78">
        <f t="shared" si="54"/>
        <v>4961.57742</v>
      </c>
      <c r="CQ12" s="78">
        <f t="shared" si="55"/>
        <v>4961.57742</v>
      </c>
      <c r="CR12" s="78">
        <f t="shared" si="56"/>
        <v>1848.5230344</v>
      </c>
      <c r="CS12" s="77">
        <f t="shared" si="57"/>
        <v>778.5651204</v>
      </c>
      <c r="CT12" s="78"/>
      <c r="CU12" s="78"/>
      <c r="CV12" s="78">
        <f t="shared" si="58"/>
        <v>750.6606449999999</v>
      </c>
      <c r="CW12" s="78">
        <f t="shared" si="59"/>
        <v>750.6606449999999</v>
      </c>
      <c r="CX12" s="78">
        <f t="shared" si="60"/>
        <v>279.6718414</v>
      </c>
      <c r="CY12" s="77">
        <f t="shared" si="61"/>
        <v>117.7928199</v>
      </c>
      <c r="CZ12" s="78"/>
      <c r="DA12" s="78"/>
      <c r="DB12" s="78">
        <f t="shared" si="62"/>
        <v>2156.9049449999998</v>
      </c>
      <c r="DC12" s="78">
        <f t="shared" si="63"/>
        <v>2156.9049449999998</v>
      </c>
      <c r="DD12" s="78">
        <f t="shared" si="64"/>
        <v>803.5929174</v>
      </c>
      <c r="DE12" s="77">
        <f t="shared" si="65"/>
        <v>338.4590859</v>
      </c>
      <c r="DF12" s="78"/>
      <c r="DG12" s="78"/>
      <c r="DH12" s="78">
        <f t="shared" si="66"/>
        <v>83.114205</v>
      </c>
      <c r="DI12" s="78">
        <f t="shared" si="67"/>
        <v>83.114205</v>
      </c>
      <c r="DJ12" s="78">
        <f t="shared" si="68"/>
        <v>30.9656606</v>
      </c>
      <c r="DK12" s="77">
        <f t="shared" si="69"/>
        <v>13.0421871</v>
      </c>
      <c r="DL12" s="78"/>
      <c r="DM12" s="90"/>
      <c r="DN12" s="90">
        <f t="shared" si="70"/>
        <v>4550.10369</v>
      </c>
      <c r="DO12" s="90">
        <f t="shared" si="71"/>
        <v>4550.10369</v>
      </c>
      <c r="DP12" s="90">
        <f t="shared" si="72"/>
        <v>1695.2212508</v>
      </c>
      <c r="DQ12" s="94">
        <f t="shared" si="73"/>
        <v>713.9971278</v>
      </c>
      <c r="DR12" s="78"/>
      <c r="DS12" s="78"/>
      <c r="DT12" s="78">
        <f t="shared" si="74"/>
        <v>716.35197</v>
      </c>
      <c r="DU12" s="78">
        <f t="shared" si="75"/>
        <v>716.35197</v>
      </c>
      <c r="DV12" s="78">
        <f t="shared" si="76"/>
        <v>266.88954040000004</v>
      </c>
      <c r="DW12" s="77">
        <f t="shared" si="77"/>
        <v>112.40914140000001</v>
      </c>
      <c r="DX12" s="78"/>
      <c r="DY12" s="78"/>
      <c r="DZ12" s="78">
        <f t="shared" si="78"/>
        <v>3686.397195</v>
      </c>
      <c r="EA12" s="78">
        <f t="shared" si="79"/>
        <v>3686.397195</v>
      </c>
      <c r="EB12" s="78">
        <f t="shared" si="80"/>
        <v>1373.4321874</v>
      </c>
      <c r="EC12" s="77">
        <f t="shared" si="81"/>
        <v>578.4652809</v>
      </c>
      <c r="ED12" s="78"/>
      <c r="EE12" s="78"/>
      <c r="EF12" s="78">
        <f t="shared" si="82"/>
        <v>1052.4288900000001</v>
      </c>
      <c r="EG12" s="78">
        <f t="shared" si="83"/>
        <v>1052.4288900000001</v>
      </c>
      <c r="EH12" s="78">
        <f t="shared" si="84"/>
        <v>392.1009148</v>
      </c>
      <c r="EI12" s="77">
        <f t="shared" si="85"/>
        <v>165.1459518</v>
      </c>
      <c r="EJ12" s="78"/>
      <c r="EK12" s="78"/>
      <c r="EL12" s="78">
        <f t="shared" si="86"/>
        <v>10.564110000000001</v>
      </c>
      <c r="EM12" s="78">
        <f t="shared" si="87"/>
        <v>10.564110000000001</v>
      </c>
      <c r="EN12" s="78">
        <f t="shared" si="88"/>
        <v>3.9358452</v>
      </c>
      <c r="EO12" s="77">
        <f t="shared" si="89"/>
        <v>1.6577082</v>
      </c>
      <c r="EP12" s="78"/>
      <c r="EQ12" s="78"/>
      <c r="ER12" s="78">
        <f t="shared" si="90"/>
        <v>19.614359999999998</v>
      </c>
      <c r="ES12" s="78">
        <f t="shared" si="91"/>
        <v>19.614359999999998</v>
      </c>
      <c r="ET12" s="78">
        <f t="shared" si="92"/>
        <v>7.3076752</v>
      </c>
      <c r="EU12" s="77">
        <f t="shared" si="93"/>
        <v>3.0778632</v>
      </c>
      <c r="EV12" s="78"/>
      <c r="EW12" s="78"/>
      <c r="EX12" s="78">
        <f t="shared" si="94"/>
        <v>3545.6575799999996</v>
      </c>
      <c r="EY12" s="78">
        <f t="shared" si="95"/>
        <v>3545.6575799999996</v>
      </c>
      <c r="EZ12" s="78">
        <f t="shared" si="96"/>
        <v>1320.9971656</v>
      </c>
      <c r="FA12" s="77">
        <f t="shared" si="97"/>
        <v>556.3805796</v>
      </c>
      <c r="FB12" s="78"/>
      <c r="FC12" s="78"/>
      <c r="FD12" s="78">
        <f t="shared" si="98"/>
        <v>6590.49078</v>
      </c>
      <c r="FE12" s="78">
        <f t="shared" si="99"/>
        <v>6590.49078</v>
      </c>
      <c r="FF12" s="78">
        <f t="shared" si="100"/>
        <v>2455.4033896</v>
      </c>
      <c r="FG12" s="77">
        <f t="shared" si="101"/>
        <v>1034.1723636</v>
      </c>
      <c r="FH12" s="78"/>
      <c r="FI12" s="80"/>
      <c r="FJ12" s="78"/>
      <c r="FK12" s="78"/>
      <c r="FL12" s="78"/>
      <c r="FM12" s="77">
        <f t="shared" si="102"/>
        <v>0</v>
      </c>
    </row>
    <row r="13" spans="1:169" ht="12">
      <c r="A13" s="19">
        <v>42826</v>
      </c>
      <c r="C13" s="77">
        <v>5300000</v>
      </c>
      <c r="D13" s="77">
        <v>164550</v>
      </c>
      <c r="E13" s="77">
        <f t="shared" si="0"/>
        <v>5464550</v>
      </c>
      <c r="F13" s="77">
        <v>61306</v>
      </c>
      <c r="G13" s="77">
        <v>25821</v>
      </c>
      <c r="H13" s="78"/>
      <c r="I13" s="79">
        <f>'2009D Academic'!I13</f>
        <v>2876977.27</v>
      </c>
      <c r="J13" s="79">
        <f>'2009D Academic'!J13</f>
        <v>89322.001845</v>
      </c>
      <c r="K13" s="79">
        <f t="shared" si="1"/>
        <v>2966299.271845</v>
      </c>
      <c r="L13" s="79">
        <f>'2009D Academic'!L13</f>
        <v>33278.484625400015</v>
      </c>
      <c r="M13" s="79">
        <f>'2009D Academic'!M13</f>
        <v>14016.3075639</v>
      </c>
      <c r="N13" s="78"/>
      <c r="O13" s="78">
        <f t="shared" si="2"/>
        <v>2423022.73</v>
      </c>
      <c r="P13" s="80">
        <f t="shared" si="3"/>
        <v>75227.99815500001</v>
      </c>
      <c r="Q13" s="78">
        <f t="shared" si="4"/>
        <v>2498250.728155</v>
      </c>
      <c r="R13" s="78">
        <f t="shared" si="5"/>
        <v>28027.515374600007</v>
      </c>
      <c r="S13" s="78">
        <f t="shared" si="5"/>
        <v>11804.692436099998</v>
      </c>
      <c r="T13" s="78"/>
      <c r="U13" s="78">
        <f t="shared" si="103"/>
        <v>433137.2</v>
      </c>
      <c r="V13" s="77">
        <f t="shared" si="6"/>
        <v>13447.6842</v>
      </c>
      <c r="W13" s="78">
        <f t="shared" si="7"/>
        <v>446584.88420000003</v>
      </c>
      <c r="X13" s="78">
        <f t="shared" si="8"/>
        <v>5010.171544000001</v>
      </c>
      <c r="Y13" s="77">
        <f t="shared" si="9"/>
        <v>2110.195404</v>
      </c>
      <c r="Z13" s="78"/>
      <c r="AA13" s="78">
        <f t="shared" si="104"/>
        <v>315692.38</v>
      </c>
      <c r="AB13" s="78">
        <f t="shared" si="10"/>
        <v>9801.35493</v>
      </c>
      <c r="AC13" s="78">
        <f t="shared" si="11"/>
        <v>325493.73493</v>
      </c>
      <c r="AD13" s="78">
        <f t="shared" si="12"/>
        <v>3651.6673676</v>
      </c>
      <c r="AE13" s="77">
        <f t="shared" si="13"/>
        <v>1538.0175366</v>
      </c>
      <c r="AF13" s="78"/>
      <c r="AG13" s="78">
        <f t="shared" si="105"/>
        <v>167376.12000000002</v>
      </c>
      <c r="AH13" s="78">
        <f t="shared" si="14"/>
        <v>5196.55482</v>
      </c>
      <c r="AI13" s="78">
        <f t="shared" si="15"/>
        <v>172572.67482000001</v>
      </c>
      <c r="AJ13" s="78">
        <f t="shared" si="16"/>
        <v>1936.0680024</v>
      </c>
      <c r="AK13" s="77">
        <f t="shared" si="17"/>
        <v>815.4375084000001</v>
      </c>
      <c r="AL13" s="78"/>
      <c r="AM13" s="78">
        <f t="shared" si="106"/>
        <v>121730.4</v>
      </c>
      <c r="AN13" s="78">
        <f t="shared" si="18"/>
        <v>3779.3844</v>
      </c>
      <c r="AO13" s="78">
        <f t="shared" si="19"/>
        <v>125509.78439999999</v>
      </c>
      <c r="AP13" s="78">
        <f t="shared" si="20"/>
        <v>1408.076208</v>
      </c>
      <c r="AQ13" s="77">
        <f t="shared" si="21"/>
        <v>593.056728</v>
      </c>
      <c r="AR13" s="78"/>
      <c r="AS13" s="78">
        <f t="shared" si="107"/>
        <v>13943.77</v>
      </c>
      <c r="AT13" s="78">
        <f t="shared" si="22"/>
        <v>432.91459499999996</v>
      </c>
      <c r="AU13" s="78">
        <f t="shared" si="23"/>
        <v>14376.684595</v>
      </c>
      <c r="AV13" s="78">
        <f t="shared" si="24"/>
        <v>161.2899554</v>
      </c>
      <c r="AW13" s="77">
        <f t="shared" si="25"/>
        <v>67.93246889999999</v>
      </c>
      <c r="AX13" s="78"/>
      <c r="AY13" s="78">
        <f t="shared" si="108"/>
        <v>220601.36999999997</v>
      </c>
      <c r="AZ13" s="78">
        <f t="shared" si="26"/>
        <v>6849.048194999999</v>
      </c>
      <c r="BA13" s="78">
        <f t="shared" si="27"/>
        <v>227450.41819499998</v>
      </c>
      <c r="BB13" s="78">
        <f t="shared" si="28"/>
        <v>2551.7335074</v>
      </c>
      <c r="BC13" s="77">
        <f t="shared" si="29"/>
        <v>1074.7449009</v>
      </c>
      <c r="BD13" s="78"/>
      <c r="BE13" s="78">
        <f t="shared" si="109"/>
        <v>23914.13</v>
      </c>
      <c r="BF13" s="78">
        <f t="shared" si="30"/>
        <v>742.4660550000001</v>
      </c>
      <c r="BG13" s="78">
        <f t="shared" si="31"/>
        <v>24656.596055</v>
      </c>
      <c r="BH13" s="78">
        <f t="shared" si="32"/>
        <v>276.6188026</v>
      </c>
      <c r="BI13" s="77">
        <f t="shared" si="33"/>
        <v>116.5069341</v>
      </c>
      <c r="BJ13" s="78"/>
      <c r="BK13" s="78">
        <f t="shared" si="110"/>
        <v>74807.91</v>
      </c>
      <c r="BL13" s="78">
        <f t="shared" si="34"/>
        <v>2322.573885</v>
      </c>
      <c r="BM13" s="78">
        <f t="shared" si="35"/>
        <v>77130.48388500001</v>
      </c>
      <c r="BN13" s="78">
        <f t="shared" si="36"/>
        <v>865.3157982</v>
      </c>
      <c r="BO13" s="77">
        <f t="shared" si="37"/>
        <v>364.45566870000005</v>
      </c>
      <c r="BP13" s="78"/>
      <c r="BQ13" s="78">
        <f t="shared" si="111"/>
        <v>37936.87</v>
      </c>
      <c r="BR13" s="78">
        <f t="shared" si="38"/>
        <v>1177.832445</v>
      </c>
      <c r="BS13" s="78">
        <f t="shared" si="39"/>
        <v>39114.702445</v>
      </c>
      <c r="BT13" s="78">
        <f t="shared" si="40"/>
        <v>438.8222174</v>
      </c>
      <c r="BU13" s="77">
        <f t="shared" si="41"/>
        <v>184.8241359</v>
      </c>
      <c r="BV13" s="78"/>
      <c r="BW13" s="78">
        <f t="shared" si="112"/>
        <v>7367.53</v>
      </c>
      <c r="BX13" s="78">
        <f t="shared" si="42"/>
        <v>228.74095499999999</v>
      </c>
      <c r="BY13" s="78">
        <f t="shared" si="43"/>
        <v>7596.270955</v>
      </c>
      <c r="BZ13" s="78">
        <f t="shared" si="44"/>
        <v>85.2214706</v>
      </c>
      <c r="CA13" s="77">
        <f t="shared" si="45"/>
        <v>35.8937721</v>
      </c>
      <c r="CB13" s="78"/>
      <c r="CC13" s="78">
        <f t="shared" si="113"/>
        <v>29274.020000000004</v>
      </c>
      <c r="CD13" s="78">
        <f t="shared" si="46"/>
        <v>908.8754700000001</v>
      </c>
      <c r="CE13" s="78">
        <f t="shared" si="47"/>
        <v>30182.895470000003</v>
      </c>
      <c r="CF13" s="78">
        <f t="shared" si="48"/>
        <v>338.6175604</v>
      </c>
      <c r="CG13" s="77">
        <f t="shared" si="49"/>
        <v>142.6197114</v>
      </c>
      <c r="CH13" s="78"/>
      <c r="CI13" s="78">
        <f t="shared" si="114"/>
        <v>71397.89</v>
      </c>
      <c r="CJ13" s="78">
        <f t="shared" si="50"/>
        <v>2216.702415</v>
      </c>
      <c r="CK13" s="78">
        <f t="shared" si="51"/>
        <v>73614.592415</v>
      </c>
      <c r="CL13" s="78">
        <f t="shared" si="52"/>
        <v>825.8715178</v>
      </c>
      <c r="CM13" s="77">
        <f t="shared" si="53"/>
        <v>347.84243730000003</v>
      </c>
      <c r="CN13" s="78"/>
      <c r="CO13" s="78">
        <f t="shared" si="115"/>
        <v>159807.72</v>
      </c>
      <c r="CP13" s="78">
        <f t="shared" si="54"/>
        <v>4961.57742</v>
      </c>
      <c r="CQ13" s="78">
        <f t="shared" si="55"/>
        <v>164769.29742</v>
      </c>
      <c r="CR13" s="78">
        <f t="shared" si="56"/>
        <v>1848.5230344</v>
      </c>
      <c r="CS13" s="77">
        <f t="shared" si="57"/>
        <v>778.5651204</v>
      </c>
      <c r="CT13" s="78"/>
      <c r="CU13" s="78">
        <f t="shared" si="116"/>
        <v>24178.07</v>
      </c>
      <c r="CV13" s="78">
        <f t="shared" si="58"/>
        <v>750.6606449999999</v>
      </c>
      <c r="CW13" s="78">
        <f t="shared" si="59"/>
        <v>24928.730645</v>
      </c>
      <c r="CX13" s="78">
        <f t="shared" si="60"/>
        <v>279.6718414</v>
      </c>
      <c r="CY13" s="77">
        <f t="shared" si="61"/>
        <v>117.7928199</v>
      </c>
      <c r="CZ13" s="78"/>
      <c r="DA13" s="78">
        <f t="shared" si="117"/>
        <v>69471.87</v>
      </c>
      <c r="DB13" s="78">
        <f t="shared" si="62"/>
        <v>2156.9049449999998</v>
      </c>
      <c r="DC13" s="78">
        <f t="shared" si="63"/>
        <v>71628.774945</v>
      </c>
      <c r="DD13" s="78">
        <f t="shared" si="64"/>
        <v>803.5929174</v>
      </c>
      <c r="DE13" s="77">
        <f t="shared" si="65"/>
        <v>338.4590859</v>
      </c>
      <c r="DF13" s="78"/>
      <c r="DG13" s="78">
        <f t="shared" si="118"/>
        <v>2677.03</v>
      </c>
      <c r="DH13" s="78">
        <f t="shared" si="66"/>
        <v>83.114205</v>
      </c>
      <c r="DI13" s="78">
        <f t="shared" si="67"/>
        <v>2760.144205</v>
      </c>
      <c r="DJ13" s="78">
        <f t="shared" si="68"/>
        <v>30.9656606</v>
      </c>
      <c r="DK13" s="77">
        <f t="shared" si="69"/>
        <v>13.0421871</v>
      </c>
      <c r="DL13" s="78"/>
      <c r="DM13" s="90">
        <f t="shared" si="119"/>
        <v>146554.54</v>
      </c>
      <c r="DN13" s="90">
        <f t="shared" si="70"/>
        <v>4550.10369</v>
      </c>
      <c r="DO13" s="90">
        <f t="shared" si="71"/>
        <v>151104.64369</v>
      </c>
      <c r="DP13" s="90">
        <f t="shared" si="72"/>
        <v>1695.2212508</v>
      </c>
      <c r="DQ13" s="94">
        <f t="shared" si="73"/>
        <v>713.9971278</v>
      </c>
      <c r="DR13" s="78"/>
      <c r="DS13" s="78">
        <f t="shared" si="120"/>
        <v>23073.02</v>
      </c>
      <c r="DT13" s="78">
        <f t="shared" si="74"/>
        <v>716.35197</v>
      </c>
      <c r="DU13" s="78">
        <f t="shared" si="75"/>
        <v>23789.37197</v>
      </c>
      <c r="DV13" s="78">
        <f t="shared" si="76"/>
        <v>266.88954040000004</v>
      </c>
      <c r="DW13" s="77">
        <f t="shared" si="77"/>
        <v>112.40914140000001</v>
      </c>
      <c r="DX13" s="78"/>
      <c r="DY13" s="78">
        <f t="shared" si="121"/>
        <v>118735.37</v>
      </c>
      <c r="DZ13" s="78">
        <f t="shared" si="78"/>
        <v>3686.397195</v>
      </c>
      <c r="EA13" s="78">
        <f t="shared" si="79"/>
        <v>122421.767195</v>
      </c>
      <c r="EB13" s="78">
        <f t="shared" si="80"/>
        <v>1373.4321874</v>
      </c>
      <c r="EC13" s="77">
        <f t="shared" si="81"/>
        <v>578.4652809</v>
      </c>
      <c r="ED13" s="78"/>
      <c r="EE13" s="78">
        <f t="shared" si="122"/>
        <v>33897.74</v>
      </c>
      <c r="EF13" s="78">
        <f t="shared" si="82"/>
        <v>1052.4288900000001</v>
      </c>
      <c r="EG13" s="78">
        <f t="shared" si="83"/>
        <v>34950.16889</v>
      </c>
      <c r="EH13" s="78">
        <f t="shared" si="84"/>
        <v>392.1009148</v>
      </c>
      <c r="EI13" s="77">
        <f t="shared" si="85"/>
        <v>165.1459518</v>
      </c>
      <c r="EJ13" s="78"/>
      <c r="EK13" s="78">
        <f t="shared" si="123"/>
        <v>340.26</v>
      </c>
      <c r="EL13" s="78">
        <f t="shared" si="86"/>
        <v>10.564110000000001</v>
      </c>
      <c r="EM13" s="78">
        <f t="shared" si="87"/>
        <v>350.82411</v>
      </c>
      <c r="EN13" s="78">
        <f t="shared" si="88"/>
        <v>3.9358452</v>
      </c>
      <c r="EO13" s="77">
        <f t="shared" si="89"/>
        <v>1.6577082</v>
      </c>
      <c r="EP13" s="78"/>
      <c r="EQ13" s="78">
        <f t="shared" si="124"/>
        <v>631.76</v>
      </c>
      <c r="ER13" s="78">
        <f t="shared" si="90"/>
        <v>19.614359999999998</v>
      </c>
      <c r="ES13" s="78">
        <f t="shared" si="91"/>
        <v>651.37436</v>
      </c>
      <c r="ET13" s="78">
        <f t="shared" si="92"/>
        <v>7.3076752</v>
      </c>
      <c r="EU13" s="77">
        <f t="shared" si="93"/>
        <v>3.0778632</v>
      </c>
      <c r="EV13" s="78"/>
      <c r="EW13" s="78">
        <f t="shared" si="125"/>
        <v>114202.28</v>
      </c>
      <c r="EX13" s="78">
        <f t="shared" si="94"/>
        <v>3545.6575799999996</v>
      </c>
      <c r="EY13" s="78">
        <f t="shared" si="95"/>
        <v>117747.93758</v>
      </c>
      <c r="EZ13" s="78">
        <f t="shared" si="96"/>
        <v>1320.9971656</v>
      </c>
      <c r="FA13" s="77">
        <f t="shared" si="97"/>
        <v>556.3805796</v>
      </c>
      <c r="FB13" s="78"/>
      <c r="FC13" s="78">
        <f t="shared" si="126"/>
        <v>212273.48</v>
      </c>
      <c r="FD13" s="78">
        <f t="shared" si="98"/>
        <v>6590.49078</v>
      </c>
      <c r="FE13" s="78">
        <f t="shared" si="99"/>
        <v>218863.97078</v>
      </c>
      <c r="FF13" s="78">
        <f t="shared" si="100"/>
        <v>2455.4033896</v>
      </c>
      <c r="FG13" s="77">
        <f t="shared" si="101"/>
        <v>1034.1723636</v>
      </c>
      <c r="FH13" s="78"/>
      <c r="FI13" s="80"/>
      <c r="FJ13" s="78"/>
      <c r="FK13" s="78"/>
      <c r="FL13" s="78"/>
      <c r="FM13" s="77">
        <f t="shared" si="102"/>
        <v>0</v>
      </c>
    </row>
    <row r="14" spans="1:169" ht="12">
      <c r="A14" s="19">
        <v>43009</v>
      </c>
      <c r="C14" s="77"/>
      <c r="D14" s="77">
        <v>85050</v>
      </c>
      <c r="E14" s="77">
        <f t="shared" si="0"/>
        <v>85050</v>
      </c>
      <c r="F14" s="77">
        <v>61306</v>
      </c>
      <c r="G14" s="77">
        <v>25821</v>
      </c>
      <c r="H14" s="78"/>
      <c r="I14" s="79">
        <f>'2009D Academic'!I14</f>
        <v>0</v>
      </c>
      <c r="J14" s="79">
        <f>'2009D Academic'!J14</f>
        <v>46167.342795000004</v>
      </c>
      <c r="K14" s="79">
        <f t="shared" si="1"/>
        <v>46167.342795000004</v>
      </c>
      <c r="L14" s="79">
        <f>'2009D Academic'!L14</f>
        <v>33278.484625400015</v>
      </c>
      <c r="M14" s="79">
        <f>'2009D Academic'!M14</f>
        <v>14016.3075639</v>
      </c>
      <c r="N14" s="78"/>
      <c r="O14" s="78">
        <f t="shared" si="2"/>
        <v>0</v>
      </c>
      <c r="P14" s="80">
        <f t="shared" si="3"/>
        <v>38882.65720499998</v>
      </c>
      <c r="Q14" s="78">
        <f t="shared" si="4"/>
        <v>38882.65720499998</v>
      </c>
      <c r="R14" s="78">
        <f t="shared" si="5"/>
        <v>28027.515374600007</v>
      </c>
      <c r="S14" s="78">
        <f t="shared" si="5"/>
        <v>11804.692436099998</v>
      </c>
      <c r="T14" s="78"/>
      <c r="U14" s="78"/>
      <c r="V14" s="77">
        <f t="shared" si="6"/>
        <v>6950.6262</v>
      </c>
      <c r="W14" s="78">
        <f t="shared" si="7"/>
        <v>6950.6262</v>
      </c>
      <c r="X14" s="78">
        <f t="shared" si="8"/>
        <v>5010.171544000001</v>
      </c>
      <c r="Y14" s="77">
        <f t="shared" si="9"/>
        <v>2110.195404</v>
      </c>
      <c r="Z14" s="78"/>
      <c r="AA14" s="78"/>
      <c r="AB14" s="78">
        <f t="shared" si="10"/>
        <v>5065.96923</v>
      </c>
      <c r="AC14" s="78">
        <f t="shared" si="11"/>
        <v>5065.96923</v>
      </c>
      <c r="AD14" s="78">
        <f t="shared" si="12"/>
        <v>3651.6673676</v>
      </c>
      <c r="AE14" s="77">
        <f t="shared" si="13"/>
        <v>1538.0175366</v>
      </c>
      <c r="AF14" s="78"/>
      <c r="AG14" s="78"/>
      <c r="AH14" s="78">
        <f t="shared" si="14"/>
        <v>2685.9130200000004</v>
      </c>
      <c r="AI14" s="78">
        <f t="shared" si="15"/>
        <v>2685.9130200000004</v>
      </c>
      <c r="AJ14" s="78">
        <f t="shared" si="16"/>
        <v>1936.0680024</v>
      </c>
      <c r="AK14" s="77">
        <f t="shared" si="17"/>
        <v>815.4375084000001</v>
      </c>
      <c r="AL14" s="78"/>
      <c r="AM14" s="78"/>
      <c r="AN14" s="78">
        <f t="shared" si="18"/>
        <v>1953.4284000000002</v>
      </c>
      <c r="AO14" s="78">
        <f t="shared" si="19"/>
        <v>1953.4284000000002</v>
      </c>
      <c r="AP14" s="78">
        <f t="shared" si="20"/>
        <v>1408.076208</v>
      </c>
      <c r="AQ14" s="77">
        <f t="shared" si="21"/>
        <v>593.056728</v>
      </c>
      <c r="AR14" s="78"/>
      <c r="AS14" s="78"/>
      <c r="AT14" s="78">
        <f t="shared" si="22"/>
        <v>223.75804499999998</v>
      </c>
      <c r="AU14" s="78">
        <f t="shared" si="23"/>
        <v>223.75804499999998</v>
      </c>
      <c r="AV14" s="78">
        <f t="shared" si="24"/>
        <v>161.2899554</v>
      </c>
      <c r="AW14" s="77">
        <f t="shared" si="25"/>
        <v>67.93246889999999</v>
      </c>
      <c r="AX14" s="78"/>
      <c r="AY14" s="78"/>
      <c r="AZ14" s="78">
        <f t="shared" si="26"/>
        <v>3540.027645</v>
      </c>
      <c r="BA14" s="78">
        <f t="shared" si="27"/>
        <v>3540.027645</v>
      </c>
      <c r="BB14" s="78">
        <f t="shared" si="28"/>
        <v>2551.7335074</v>
      </c>
      <c r="BC14" s="77">
        <f t="shared" si="29"/>
        <v>1074.7449009</v>
      </c>
      <c r="BD14" s="78"/>
      <c r="BE14" s="78"/>
      <c r="BF14" s="78">
        <f t="shared" si="30"/>
        <v>383.754105</v>
      </c>
      <c r="BG14" s="78">
        <f t="shared" si="31"/>
        <v>383.754105</v>
      </c>
      <c r="BH14" s="78">
        <f t="shared" si="32"/>
        <v>276.6188026</v>
      </c>
      <c r="BI14" s="77">
        <f t="shared" si="33"/>
        <v>116.5069341</v>
      </c>
      <c r="BJ14" s="78"/>
      <c r="BK14" s="78"/>
      <c r="BL14" s="78">
        <f t="shared" si="34"/>
        <v>1200.455235</v>
      </c>
      <c r="BM14" s="78">
        <f t="shared" si="35"/>
        <v>1200.455235</v>
      </c>
      <c r="BN14" s="78">
        <f t="shared" si="36"/>
        <v>865.3157982</v>
      </c>
      <c r="BO14" s="77">
        <f t="shared" si="37"/>
        <v>364.45566870000005</v>
      </c>
      <c r="BP14" s="78"/>
      <c r="BQ14" s="78"/>
      <c r="BR14" s="78">
        <f t="shared" si="38"/>
        <v>608.779395</v>
      </c>
      <c r="BS14" s="78">
        <f t="shared" si="39"/>
        <v>608.779395</v>
      </c>
      <c r="BT14" s="78">
        <f t="shared" si="40"/>
        <v>438.8222174</v>
      </c>
      <c r="BU14" s="77">
        <f t="shared" si="41"/>
        <v>184.8241359</v>
      </c>
      <c r="BV14" s="78"/>
      <c r="BW14" s="78"/>
      <c r="BX14" s="78">
        <f t="shared" si="42"/>
        <v>118.228005</v>
      </c>
      <c r="BY14" s="78">
        <f t="shared" si="43"/>
        <v>118.228005</v>
      </c>
      <c r="BZ14" s="78">
        <f t="shared" si="44"/>
        <v>85.2214706</v>
      </c>
      <c r="CA14" s="77">
        <f t="shared" si="45"/>
        <v>35.8937721</v>
      </c>
      <c r="CB14" s="78"/>
      <c r="CC14" s="78"/>
      <c r="CD14" s="78">
        <f t="shared" si="46"/>
        <v>469.76517000000007</v>
      </c>
      <c r="CE14" s="78">
        <f t="shared" si="47"/>
        <v>469.76517000000007</v>
      </c>
      <c r="CF14" s="78">
        <f t="shared" si="48"/>
        <v>338.6175604</v>
      </c>
      <c r="CG14" s="77">
        <f t="shared" si="49"/>
        <v>142.6197114</v>
      </c>
      <c r="CH14" s="78"/>
      <c r="CI14" s="78"/>
      <c r="CJ14" s="78">
        <f t="shared" si="50"/>
        <v>1145.7340649999999</v>
      </c>
      <c r="CK14" s="78">
        <f t="shared" si="51"/>
        <v>1145.7340649999999</v>
      </c>
      <c r="CL14" s="78">
        <f t="shared" si="52"/>
        <v>825.8715178</v>
      </c>
      <c r="CM14" s="77">
        <f t="shared" si="53"/>
        <v>347.84243730000003</v>
      </c>
      <c r="CN14" s="78"/>
      <c r="CO14" s="78"/>
      <c r="CP14" s="78">
        <f t="shared" si="54"/>
        <v>2564.46162</v>
      </c>
      <c r="CQ14" s="78">
        <f t="shared" si="55"/>
        <v>2564.46162</v>
      </c>
      <c r="CR14" s="78">
        <f t="shared" si="56"/>
        <v>1848.5230344</v>
      </c>
      <c r="CS14" s="77">
        <f t="shared" si="57"/>
        <v>778.5651204</v>
      </c>
      <c r="CT14" s="78"/>
      <c r="CU14" s="78"/>
      <c r="CV14" s="78">
        <f t="shared" si="58"/>
        <v>387.98959499999995</v>
      </c>
      <c r="CW14" s="78">
        <f t="shared" si="59"/>
        <v>387.98959499999995</v>
      </c>
      <c r="CX14" s="78">
        <f t="shared" si="60"/>
        <v>279.6718414</v>
      </c>
      <c r="CY14" s="77">
        <f t="shared" si="61"/>
        <v>117.7928199</v>
      </c>
      <c r="CZ14" s="78"/>
      <c r="DA14" s="78"/>
      <c r="DB14" s="78">
        <f t="shared" si="62"/>
        <v>1114.826895</v>
      </c>
      <c r="DC14" s="78">
        <f t="shared" si="63"/>
        <v>1114.826895</v>
      </c>
      <c r="DD14" s="78">
        <f t="shared" si="64"/>
        <v>803.5929174</v>
      </c>
      <c r="DE14" s="77">
        <f t="shared" si="65"/>
        <v>338.4590859</v>
      </c>
      <c r="DF14" s="78"/>
      <c r="DG14" s="78"/>
      <c r="DH14" s="78">
        <f t="shared" si="66"/>
        <v>42.958755000000004</v>
      </c>
      <c r="DI14" s="78">
        <f t="shared" si="67"/>
        <v>42.958755000000004</v>
      </c>
      <c r="DJ14" s="78">
        <f t="shared" si="68"/>
        <v>30.9656606</v>
      </c>
      <c r="DK14" s="77">
        <f t="shared" si="69"/>
        <v>13.0421871</v>
      </c>
      <c r="DL14" s="78"/>
      <c r="DM14" s="90"/>
      <c r="DN14" s="90">
        <f t="shared" si="70"/>
        <v>2351.78559</v>
      </c>
      <c r="DO14" s="90">
        <f t="shared" si="71"/>
        <v>2351.78559</v>
      </c>
      <c r="DP14" s="90">
        <f t="shared" si="72"/>
        <v>1695.2212508</v>
      </c>
      <c r="DQ14" s="94">
        <f t="shared" si="73"/>
        <v>713.9971278</v>
      </c>
      <c r="DR14" s="78"/>
      <c r="DS14" s="78"/>
      <c r="DT14" s="78">
        <f t="shared" si="74"/>
        <v>370.25667</v>
      </c>
      <c r="DU14" s="78">
        <f t="shared" si="75"/>
        <v>370.25667</v>
      </c>
      <c r="DV14" s="78">
        <f t="shared" si="76"/>
        <v>266.88954040000004</v>
      </c>
      <c r="DW14" s="77">
        <f t="shared" si="77"/>
        <v>112.40914140000001</v>
      </c>
      <c r="DX14" s="78"/>
      <c r="DY14" s="78"/>
      <c r="DZ14" s="78">
        <f t="shared" si="78"/>
        <v>1905.3666449999998</v>
      </c>
      <c r="EA14" s="78">
        <f t="shared" si="79"/>
        <v>1905.3666449999998</v>
      </c>
      <c r="EB14" s="78">
        <f t="shared" si="80"/>
        <v>1373.4321874</v>
      </c>
      <c r="EC14" s="77">
        <f t="shared" si="81"/>
        <v>578.4652809</v>
      </c>
      <c r="ED14" s="78"/>
      <c r="EE14" s="78"/>
      <c r="EF14" s="78">
        <f t="shared" si="82"/>
        <v>543.96279</v>
      </c>
      <c r="EG14" s="78">
        <f t="shared" si="83"/>
        <v>543.96279</v>
      </c>
      <c r="EH14" s="78">
        <f t="shared" si="84"/>
        <v>392.1009148</v>
      </c>
      <c r="EI14" s="77">
        <f t="shared" si="85"/>
        <v>165.1459518</v>
      </c>
      <c r="EJ14" s="78"/>
      <c r="EK14" s="78"/>
      <c r="EL14" s="78">
        <f t="shared" si="86"/>
        <v>5.460210000000001</v>
      </c>
      <c r="EM14" s="78">
        <f t="shared" si="87"/>
        <v>5.460210000000001</v>
      </c>
      <c r="EN14" s="78">
        <f t="shared" si="88"/>
        <v>3.9358452</v>
      </c>
      <c r="EO14" s="77">
        <f t="shared" si="89"/>
        <v>1.6577082</v>
      </c>
      <c r="EP14" s="78"/>
      <c r="EQ14" s="78"/>
      <c r="ER14" s="78">
        <f t="shared" si="90"/>
        <v>10.13796</v>
      </c>
      <c r="ES14" s="78">
        <f t="shared" si="91"/>
        <v>10.13796</v>
      </c>
      <c r="ET14" s="78">
        <f t="shared" si="92"/>
        <v>7.3076752</v>
      </c>
      <c r="EU14" s="77">
        <f t="shared" si="93"/>
        <v>3.0778632</v>
      </c>
      <c r="EV14" s="78"/>
      <c r="EW14" s="78"/>
      <c r="EX14" s="78">
        <f t="shared" si="94"/>
        <v>1832.62338</v>
      </c>
      <c r="EY14" s="78">
        <f t="shared" si="95"/>
        <v>1832.62338</v>
      </c>
      <c r="EZ14" s="78">
        <f t="shared" si="96"/>
        <v>1320.9971656</v>
      </c>
      <c r="FA14" s="77">
        <f t="shared" si="97"/>
        <v>556.3805796</v>
      </c>
      <c r="FB14" s="78"/>
      <c r="FC14" s="78"/>
      <c r="FD14" s="78">
        <f t="shared" si="98"/>
        <v>3406.3885800000003</v>
      </c>
      <c r="FE14" s="78">
        <f t="shared" si="99"/>
        <v>3406.3885800000003</v>
      </c>
      <c r="FF14" s="78">
        <f t="shared" si="100"/>
        <v>2455.4033896</v>
      </c>
      <c r="FG14" s="77">
        <f t="shared" si="101"/>
        <v>1034.1723636</v>
      </c>
      <c r="FH14" s="78"/>
      <c r="FI14" s="80"/>
      <c r="FJ14" s="78"/>
      <c r="FK14" s="78"/>
      <c r="FL14" s="78"/>
      <c r="FM14" s="77">
        <f t="shared" si="102"/>
        <v>0</v>
      </c>
    </row>
    <row r="15" spans="1:169" s="52" customFormat="1" ht="12">
      <c r="A15" s="51">
        <v>43191</v>
      </c>
      <c r="C15" s="77">
        <v>0</v>
      </c>
      <c r="D15" s="77">
        <v>85050</v>
      </c>
      <c r="E15" s="77">
        <f t="shared" si="0"/>
        <v>85050</v>
      </c>
      <c r="F15" s="77">
        <v>61306</v>
      </c>
      <c r="G15" s="77">
        <v>25821</v>
      </c>
      <c r="H15" s="79"/>
      <c r="I15" s="79">
        <f>'2009D Academic'!I15</f>
        <v>0</v>
      </c>
      <c r="J15" s="79">
        <f>'2009D Academic'!J15</f>
        <v>46167.342795000004</v>
      </c>
      <c r="K15" s="79">
        <f t="shared" si="1"/>
        <v>46167.342795000004</v>
      </c>
      <c r="L15" s="79">
        <f>'2009D Academic'!L15</f>
        <v>33278.484625400015</v>
      </c>
      <c r="M15" s="79">
        <f>'2009D Academic'!M15</f>
        <v>14016.3075639</v>
      </c>
      <c r="N15" s="79"/>
      <c r="O15" s="78">
        <f t="shared" si="2"/>
        <v>0</v>
      </c>
      <c r="P15" s="80">
        <f t="shared" si="3"/>
        <v>38882.65720499998</v>
      </c>
      <c r="Q15" s="78">
        <f t="shared" si="4"/>
        <v>38882.65720499998</v>
      </c>
      <c r="R15" s="78">
        <f t="shared" si="5"/>
        <v>28027.515374600007</v>
      </c>
      <c r="S15" s="78">
        <f t="shared" si="5"/>
        <v>11804.692436099998</v>
      </c>
      <c r="T15" s="79"/>
      <c r="U15" s="78">
        <f t="shared" si="103"/>
        <v>0</v>
      </c>
      <c r="V15" s="77">
        <f t="shared" si="6"/>
        <v>6950.6262</v>
      </c>
      <c r="W15" s="78">
        <f t="shared" si="7"/>
        <v>6950.6262</v>
      </c>
      <c r="X15" s="78">
        <f t="shared" si="8"/>
        <v>5010.171544000001</v>
      </c>
      <c r="Y15" s="77">
        <f t="shared" si="9"/>
        <v>2110.195404</v>
      </c>
      <c r="Z15" s="79"/>
      <c r="AA15" s="78">
        <f t="shared" si="104"/>
        <v>0</v>
      </c>
      <c r="AB15" s="78">
        <f t="shared" si="10"/>
        <v>5065.96923</v>
      </c>
      <c r="AC15" s="78">
        <f t="shared" si="11"/>
        <v>5065.96923</v>
      </c>
      <c r="AD15" s="78">
        <f t="shared" si="12"/>
        <v>3651.6673676</v>
      </c>
      <c r="AE15" s="77">
        <f t="shared" si="13"/>
        <v>1538.0175366</v>
      </c>
      <c r="AF15" s="79"/>
      <c r="AG15" s="78">
        <f t="shared" si="105"/>
        <v>0</v>
      </c>
      <c r="AH15" s="78">
        <f t="shared" si="14"/>
        <v>2685.9130200000004</v>
      </c>
      <c r="AI15" s="78">
        <f t="shared" si="15"/>
        <v>2685.9130200000004</v>
      </c>
      <c r="AJ15" s="78">
        <f t="shared" si="16"/>
        <v>1936.0680024</v>
      </c>
      <c r="AK15" s="77">
        <f t="shared" si="17"/>
        <v>815.4375084000001</v>
      </c>
      <c r="AL15" s="79"/>
      <c r="AM15" s="78">
        <f t="shared" si="106"/>
        <v>0</v>
      </c>
      <c r="AN15" s="78">
        <f t="shared" si="18"/>
        <v>1953.4284000000002</v>
      </c>
      <c r="AO15" s="78">
        <f t="shared" si="19"/>
        <v>1953.4284000000002</v>
      </c>
      <c r="AP15" s="78">
        <f t="shared" si="20"/>
        <v>1408.076208</v>
      </c>
      <c r="AQ15" s="77">
        <f t="shared" si="21"/>
        <v>593.056728</v>
      </c>
      <c r="AR15" s="79"/>
      <c r="AS15" s="78">
        <f t="shared" si="107"/>
        <v>0</v>
      </c>
      <c r="AT15" s="78">
        <f t="shared" si="22"/>
        <v>223.75804499999998</v>
      </c>
      <c r="AU15" s="78">
        <f t="shared" si="23"/>
        <v>223.75804499999998</v>
      </c>
      <c r="AV15" s="78">
        <f t="shared" si="24"/>
        <v>161.2899554</v>
      </c>
      <c r="AW15" s="77">
        <f t="shared" si="25"/>
        <v>67.93246889999999</v>
      </c>
      <c r="AX15" s="79"/>
      <c r="AY15" s="78">
        <f t="shared" si="108"/>
        <v>0</v>
      </c>
      <c r="AZ15" s="78">
        <f t="shared" si="26"/>
        <v>3540.027645</v>
      </c>
      <c r="BA15" s="78">
        <f t="shared" si="27"/>
        <v>3540.027645</v>
      </c>
      <c r="BB15" s="78">
        <f t="shared" si="28"/>
        <v>2551.7335074</v>
      </c>
      <c r="BC15" s="77">
        <f t="shared" si="29"/>
        <v>1074.7449009</v>
      </c>
      <c r="BD15" s="79"/>
      <c r="BE15" s="78">
        <f t="shared" si="109"/>
        <v>0</v>
      </c>
      <c r="BF15" s="78">
        <f t="shared" si="30"/>
        <v>383.754105</v>
      </c>
      <c r="BG15" s="78">
        <f t="shared" si="31"/>
        <v>383.754105</v>
      </c>
      <c r="BH15" s="78">
        <f t="shared" si="32"/>
        <v>276.6188026</v>
      </c>
      <c r="BI15" s="77">
        <f t="shared" si="33"/>
        <v>116.5069341</v>
      </c>
      <c r="BJ15" s="79"/>
      <c r="BK15" s="78">
        <f t="shared" si="110"/>
        <v>0</v>
      </c>
      <c r="BL15" s="78">
        <f t="shared" si="34"/>
        <v>1200.455235</v>
      </c>
      <c r="BM15" s="78">
        <f t="shared" si="35"/>
        <v>1200.455235</v>
      </c>
      <c r="BN15" s="78">
        <f t="shared" si="36"/>
        <v>865.3157982</v>
      </c>
      <c r="BO15" s="77">
        <f t="shared" si="37"/>
        <v>364.45566870000005</v>
      </c>
      <c r="BP15" s="79"/>
      <c r="BQ15" s="78">
        <f t="shared" si="111"/>
        <v>0</v>
      </c>
      <c r="BR15" s="78">
        <f t="shared" si="38"/>
        <v>608.779395</v>
      </c>
      <c r="BS15" s="78">
        <f t="shared" si="39"/>
        <v>608.779395</v>
      </c>
      <c r="BT15" s="78">
        <f t="shared" si="40"/>
        <v>438.8222174</v>
      </c>
      <c r="BU15" s="77">
        <f t="shared" si="41"/>
        <v>184.8241359</v>
      </c>
      <c r="BV15" s="79"/>
      <c r="BW15" s="78">
        <f t="shared" si="112"/>
        <v>0</v>
      </c>
      <c r="BX15" s="78">
        <f t="shared" si="42"/>
        <v>118.228005</v>
      </c>
      <c r="BY15" s="78">
        <f t="shared" si="43"/>
        <v>118.228005</v>
      </c>
      <c r="BZ15" s="78">
        <f t="shared" si="44"/>
        <v>85.2214706</v>
      </c>
      <c r="CA15" s="77">
        <f t="shared" si="45"/>
        <v>35.8937721</v>
      </c>
      <c r="CB15" s="79"/>
      <c r="CC15" s="78">
        <f t="shared" si="113"/>
        <v>0</v>
      </c>
      <c r="CD15" s="78">
        <f t="shared" si="46"/>
        <v>469.76517000000007</v>
      </c>
      <c r="CE15" s="78">
        <f t="shared" si="47"/>
        <v>469.76517000000007</v>
      </c>
      <c r="CF15" s="78">
        <f t="shared" si="48"/>
        <v>338.6175604</v>
      </c>
      <c r="CG15" s="77">
        <f t="shared" si="49"/>
        <v>142.6197114</v>
      </c>
      <c r="CH15" s="79"/>
      <c r="CI15" s="78">
        <f t="shared" si="114"/>
        <v>0</v>
      </c>
      <c r="CJ15" s="78">
        <f t="shared" si="50"/>
        <v>1145.7340649999999</v>
      </c>
      <c r="CK15" s="78">
        <f t="shared" si="51"/>
        <v>1145.7340649999999</v>
      </c>
      <c r="CL15" s="78">
        <f t="shared" si="52"/>
        <v>825.8715178</v>
      </c>
      <c r="CM15" s="77">
        <f t="shared" si="53"/>
        <v>347.84243730000003</v>
      </c>
      <c r="CN15" s="79"/>
      <c r="CO15" s="78">
        <f t="shared" si="115"/>
        <v>0</v>
      </c>
      <c r="CP15" s="78">
        <f t="shared" si="54"/>
        <v>2564.46162</v>
      </c>
      <c r="CQ15" s="78">
        <f t="shared" si="55"/>
        <v>2564.46162</v>
      </c>
      <c r="CR15" s="78">
        <f t="shared" si="56"/>
        <v>1848.5230344</v>
      </c>
      <c r="CS15" s="77">
        <f t="shared" si="57"/>
        <v>778.5651204</v>
      </c>
      <c r="CT15" s="79"/>
      <c r="CU15" s="78">
        <f t="shared" si="116"/>
        <v>0</v>
      </c>
      <c r="CV15" s="78">
        <f t="shared" si="58"/>
        <v>387.98959499999995</v>
      </c>
      <c r="CW15" s="78">
        <f t="shared" si="59"/>
        <v>387.98959499999995</v>
      </c>
      <c r="CX15" s="78">
        <f t="shared" si="60"/>
        <v>279.6718414</v>
      </c>
      <c r="CY15" s="77">
        <f t="shared" si="61"/>
        <v>117.7928199</v>
      </c>
      <c r="CZ15" s="79"/>
      <c r="DA15" s="78">
        <f t="shared" si="117"/>
        <v>0</v>
      </c>
      <c r="DB15" s="78">
        <f t="shared" si="62"/>
        <v>1114.826895</v>
      </c>
      <c r="DC15" s="78">
        <f t="shared" si="63"/>
        <v>1114.826895</v>
      </c>
      <c r="DD15" s="78">
        <f t="shared" si="64"/>
        <v>803.5929174</v>
      </c>
      <c r="DE15" s="77">
        <f t="shared" si="65"/>
        <v>338.4590859</v>
      </c>
      <c r="DF15" s="79"/>
      <c r="DG15" s="78">
        <f t="shared" si="118"/>
        <v>0</v>
      </c>
      <c r="DH15" s="78">
        <f t="shared" si="66"/>
        <v>42.958755000000004</v>
      </c>
      <c r="DI15" s="78">
        <f t="shared" si="67"/>
        <v>42.958755000000004</v>
      </c>
      <c r="DJ15" s="78">
        <f t="shared" si="68"/>
        <v>30.9656606</v>
      </c>
      <c r="DK15" s="77">
        <f t="shared" si="69"/>
        <v>13.0421871</v>
      </c>
      <c r="DL15" s="79"/>
      <c r="DM15" s="90">
        <f t="shared" si="119"/>
        <v>0</v>
      </c>
      <c r="DN15" s="90">
        <f t="shared" si="70"/>
        <v>2351.78559</v>
      </c>
      <c r="DO15" s="90">
        <f t="shared" si="71"/>
        <v>2351.78559</v>
      </c>
      <c r="DP15" s="90">
        <f t="shared" si="72"/>
        <v>1695.2212508</v>
      </c>
      <c r="DQ15" s="94">
        <f t="shared" si="73"/>
        <v>713.9971278</v>
      </c>
      <c r="DR15" s="79"/>
      <c r="DS15" s="78">
        <f t="shared" si="120"/>
        <v>0</v>
      </c>
      <c r="DT15" s="78">
        <f t="shared" si="74"/>
        <v>370.25667</v>
      </c>
      <c r="DU15" s="78">
        <f t="shared" si="75"/>
        <v>370.25667</v>
      </c>
      <c r="DV15" s="78">
        <f t="shared" si="76"/>
        <v>266.88954040000004</v>
      </c>
      <c r="DW15" s="77">
        <f t="shared" si="77"/>
        <v>112.40914140000001</v>
      </c>
      <c r="DX15" s="79"/>
      <c r="DY15" s="78">
        <f t="shared" si="121"/>
        <v>0</v>
      </c>
      <c r="DZ15" s="78">
        <f t="shared" si="78"/>
        <v>1905.3666449999998</v>
      </c>
      <c r="EA15" s="78">
        <f t="shared" si="79"/>
        <v>1905.3666449999998</v>
      </c>
      <c r="EB15" s="78">
        <f t="shared" si="80"/>
        <v>1373.4321874</v>
      </c>
      <c r="EC15" s="77">
        <f t="shared" si="81"/>
        <v>578.4652809</v>
      </c>
      <c r="ED15" s="79"/>
      <c r="EE15" s="78">
        <f t="shared" si="122"/>
        <v>0</v>
      </c>
      <c r="EF15" s="78">
        <f t="shared" si="82"/>
        <v>543.96279</v>
      </c>
      <c r="EG15" s="78">
        <f t="shared" si="83"/>
        <v>543.96279</v>
      </c>
      <c r="EH15" s="78">
        <f t="shared" si="84"/>
        <v>392.1009148</v>
      </c>
      <c r="EI15" s="77">
        <f t="shared" si="85"/>
        <v>165.1459518</v>
      </c>
      <c r="EJ15" s="79"/>
      <c r="EK15" s="78">
        <f t="shared" si="123"/>
        <v>0</v>
      </c>
      <c r="EL15" s="78">
        <f t="shared" si="86"/>
        <v>5.460210000000001</v>
      </c>
      <c r="EM15" s="78">
        <f t="shared" si="87"/>
        <v>5.460210000000001</v>
      </c>
      <c r="EN15" s="78">
        <f t="shared" si="88"/>
        <v>3.9358452</v>
      </c>
      <c r="EO15" s="77">
        <f t="shared" si="89"/>
        <v>1.6577082</v>
      </c>
      <c r="EP15" s="79"/>
      <c r="EQ15" s="78">
        <f t="shared" si="124"/>
        <v>0</v>
      </c>
      <c r="ER15" s="78">
        <f t="shared" si="90"/>
        <v>10.13796</v>
      </c>
      <c r="ES15" s="78">
        <f t="shared" si="91"/>
        <v>10.13796</v>
      </c>
      <c r="ET15" s="78">
        <f t="shared" si="92"/>
        <v>7.3076752</v>
      </c>
      <c r="EU15" s="77">
        <f t="shared" si="93"/>
        <v>3.0778632</v>
      </c>
      <c r="EV15" s="79"/>
      <c r="EW15" s="78">
        <f t="shared" si="125"/>
        <v>0</v>
      </c>
      <c r="EX15" s="78">
        <f t="shared" si="94"/>
        <v>1832.62338</v>
      </c>
      <c r="EY15" s="78">
        <f t="shared" si="95"/>
        <v>1832.62338</v>
      </c>
      <c r="EZ15" s="78">
        <f t="shared" si="96"/>
        <v>1320.9971656</v>
      </c>
      <c r="FA15" s="77">
        <f t="shared" si="97"/>
        <v>556.3805796</v>
      </c>
      <c r="FB15" s="79"/>
      <c r="FC15" s="78">
        <f t="shared" si="126"/>
        <v>0</v>
      </c>
      <c r="FD15" s="78">
        <f t="shared" si="98"/>
        <v>3406.3885800000003</v>
      </c>
      <c r="FE15" s="78">
        <f t="shared" si="99"/>
        <v>3406.3885800000003</v>
      </c>
      <c r="FF15" s="78">
        <f t="shared" si="100"/>
        <v>2455.4033896</v>
      </c>
      <c r="FG15" s="77">
        <f t="shared" si="101"/>
        <v>1034.1723636</v>
      </c>
      <c r="FH15" s="79"/>
      <c r="FI15" s="80"/>
      <c r="FJ15" s="78"/>
      <c r="FK15" s="78"/>
      <c r="FL15" s="78"/>
      <c r="FM15" s="77">
        <f t="shared" si="102"/>
        <v>0</v>
      </c>
    </row>
    <row r="16" spans="1:169" s="52" customFormat="1" ht="12">
      <c r="A16" s="51">
        <v>43374</v>
      </c>
      <c r="C16" s="77"/>
      <c r="D16" s="77">
        <v>85050</v>
      </c>
      <c r="E16" s="77">
        <f t="shared" si="0"/>
        <v>85050</v>
      </c>
      <c r="F16" s="77">
        <v>61306</v>
      </c>
      <c r="G16" s="77">
        <v>25821</v>
      </c>
      <c r="H16" s="79"/>
      <c r="I16" s="79">
        <f>'2009D Academic'!I16</f>
        <v>0</v>
      </c>
      <c r="J16" s="79">
        <f>'2009D Academic'!J16</f>
        <v>46167.342795000004</v>
      </c>
      <c r="K16" s="79">
        <f t="shared" si="1"/>
        <v>46167.342795000004</v>
      </c>
      <c r="L16" s="79">
        <f>'2009D Academic'!L16</f>
        <v>33278.484625400015</v>
      </c>
      <c r="M16" s="79">
        <f>'2009D Academic'!M16</f>
        <v>14016.3075639</v>
      </c>
      <c r="N16" s="79"/>
      <c r="O16" s="78">
        <f t="shared" si="2"/>
        <v>0</v>
      </c>
      <c r="P16" s="80">
        <f t="shared" si="3"/>
        <v>38882.65720499998</v>
      </c>
      <c r="Q16" s="78">
        <f t="shared" si="4"/>
        <v>38882.65720499998</v>
      </c>
      <c r="R16" s="78">
        <f t="shared" si="5"/>
        <v>28027.515374600007</v>
      </c>
      <c r="S16" s="78">
        <f t="shared" si="5"/>
        <v>11804.692436099998</v>
      </c>
      <c r="T16" s="79"/>
      <c r="U16" s="78"/>
      <c r="V16" s="77">
        <f t="shared" si="6"/>
        <v>6950.6262</v>
      </c>
      <c r="W16" s="78">
        <f t="shared" si="7"/>
        <v>6950.6262</v>
      </c>
      <c r="X16" s="78">
        <f t="shared" si="8"/>
        <v>5010.171544000001</v>
      </c>
      <c r="Y16" s="77">
        <f t="shared" si="9"/>
        <v>2110.195404</v>
      </c>
      <c r="Z16" s="79"/>
      <c r="AA16" s="78"/>
      <c r="AB16" s="78">
        <f t="shared" si="10"/>
        <v>5065.96923</v>
      </c>
      <c r="AC16" s="78">
        <f t="shared" si="11"/>
        <v>5065.96923</v>
      </c>
      <c r="AD16" s="78">
        <f t="shared" si="12"/>
        <v>3651.6673676</v>
      </c>
      <c r="AE16" s="77">
        <f t="shared" si="13"/>
        <v>1538.0175366</v>
      </c>
      <c r="AF16" s="79"/>
      <c r="AG16" s="78"/>
      <c r="AH16" s="78">
        <f t="shared" si="14"/>
        <v>2685.9130200000004</v>
      </c>
      <c r="AI16" s="78">
        <f t="shared" si="15"/>
        <v>2685.9130200000004</v>
      </c>
      <c r="AJ16" s="78">
        <f t="shared" si="16"/>
        <v>1936.0680024</v>
      </c>
      <c r="AK16" s="77">
        <f t="shared" si="17"/>
        <v>815.4375084000001</v>
      </c>
      <c r="AL16" s="79"/>
      <c r="AM16" s="78"/>
      <c r="AN16" s="78">
        <f t="shared" si="18"/>
        <v>1953.4284000000002</v>
      </c>
      <c r="AO16" s="78">
        <f t="shared" si="19"/>
        <v>1953.4284000000002</v>
      </c>
      <c r="AP16" s="78">
        <f t="shared" si="20"/>
        <v>1408.076208</v>
      </c>
      <c r="AQ16" s="77">
        <f t="shared" si="21"/>
        <v>593.056728</v>
      </c>
      <c r="AR16" s="79"/>
      <c r="AS16" s="78"/>
      <c r="AT16" s="78">
        <f t="shared" si="22"/>
        <v>223.75804499999998</v>
      </c>
      <c r="AU16" s="78">
        <f t="shared" si="23"/>
        <v>223.75804499999998</v>
      </c>
      <c r="AV16" s="78">
        <f t="shared" si="24"/>
        <v>161.2899554</v>
      </c>
      <c r="AW16" s="77">
        <f t="shared" si="25"/>
        <v>67.93246889999999</v>
      </c>
      <c r="AX16" s="79"/>
      <c r="AY16" s="78"/>
      <c r="AZ16" s="78">
        <f t="shared" si="26"/>
        <v>3540.027645</v>
      </c>
      <c r="BA16" s="78">
        <f t="shared" si="27"/>
        <v>3540.027645</v>
      </c>
      <c r="BB16" s="78">
        <f t="shared" si="28"/>
        <v>2551.7335074</v>
      </c>
      <c r="BC16" s="77">
        <f t="shared" si="29"/>
        <v>1074.7449009</v>
      </c>
      <c r="BD16" s="79"/>
      <c r="BE16" s="78"/>
      <c r="BF16" s="78">
        <f t="shared" si="30"/>
        <v>383.754105</v>
      </c>
      <c r="BG16" s="78">
        <f t="shared" si="31"/>
        <v>383.754105</v>
      </c>
      <c r="BH16" s="78">
        <f t="shared" si="32"/>
        <v>276.6188026</v>
      </c>
      <c r="BI16" s="77">
        <f t="shared" si="33"/>
        <v>116.5069341</v>
      </c>
      <c r="BJ16" s="79"/>
      <c r="BK16" s="78"/>
      <c r="BL16" s="78">
        <f t="shared" si="34"/>
        <v>1200.455235</v>
      </c>
      <c r="BM16" s="78">
        <f t="shared" si="35"/>
        <v>1200.455235</v>
      </c>
      <c r="BN16" s="78">
        <f t="shared" si="36"/>
        <v>865.3157982</v>
      </c>
      <c r="BO16" s="77">
        <f t="shared" si="37"/>
        <v>364.45566870000005</v>
      </c>
      <c r="BP16" s="79"/>
      <c r="BQ16" s="78"/>
      <c r="BR16" s="78">
        <f t="shared" si="38"/>
        <v>608.779395</v>
      </c>
      <c r="BS16" s="78">
        <f t="shared" si="39"/>
        <v>608.779395</v>
      </c>
      <c r="BT16" s="78">
        <f t="shared" si="40"/>
        <v>438.8222174</v>
      </c>
      <c r="BU16" s="77">
        <f t="shared" si="41"/>
        <v>184.8241359</v>
      </c>
      <c r="BV16" s="79"/>
      <c r="BW16" s="78"/>
      <c r="BX16" s="78">
        <f t="shared" si="42"/>
        <v>118.228005</v>
      </c>
      <c r="BY16" s="78">
        <f t="shared" si="43"/>
        <v>118.228005</v>
      </c>
      <c r="BZ16" s="78">
        <f t="shared" si="44"/>
        <v>85.2214706</v>
      </c>
      <c r="CA16" s="77">
        <f t="shared" si="45"/>
        <v>35.8937721</v>
      </c>
      <c r="CB16" s="79"/>
      <c r="CC16" s="78"/>
      <c r="CD16" s="78">
        <f t="shared" si="46"/>
        <v>469.76517000000007</v>
      </c>
      <c r="CE16" s="78">
        <f t="shared" si="47"/>
        <v>469.76517000000007</v>
      </c>
      <c r="CF16" s="78">
        <f t="shared" si="48"/>
        <v>338.6175604</v>
      </c>
      <c r="CG16" s="77">
        <f t="shared" si="49"/>
        <v>142.6197114</v>
      </c>
      <c r="CH16" s="79"/>
      <c r="CI16" s="78"/>
      <c r="CJ16" s="78">
        <f t="shared" si="50"/>
        <v>1145.7340649999999</v>
      </c>
      <c r="CK16" s="78">
        <f t="shared" si="51"/>
        <v>1145.7340649999999</v>
      </c>
      <c r="CL16" s="78">
        <f t="shared" si="52"/>
        <v>825.8715178</v>
      </c>
      <c r="CM16" s="77">
        <f t="shared" si="53"/>
        <v>347.84243730000003</v>
      </c>
      <c r="CN16" s="79"/>
      <c r="CO16" s="78"/>
      <c r="CP16" s="78">
        <f t="shared" si="54"/>
        <v>2564.46162</v>
      </c>
      <c r="CQ16" s="78">
        <f t="shared" si="55"/>
        <v>2564.46162</v>
      </c>
      <c r="CR16" s="78">
        <f t="shared" si="56"/>
        <v>1848.5230344</v>
      </c>
      <c r="CS16" s="77">
        <f t="shared" si="57"/>
        <v>778.5651204</v>
      </c>
      <c r="CT16" s="79"/>
      <c r="CU16" s="78"/>
      <c r="CV16" s="78">
        <f t="shared" si="58"/>
        <v>387.98959499999995</v>
      </c>
      <c r="CW16" s="78">
        <f t="shared" si="59"/>
        <v>387.98959499999995</v>
      </c>
      <c r="CX16" s="78">
        <f t="shared" si="60"/>
        <v>279.6718414</v>
      </c>
      <c r="CY16" s="77">
        <f t="shared" si="61"/>
        <v>117.7928199</v>
      </c>
      <c r="CZ16" s="79"/>
      <c r="DA16" s="78"/>
      <c r="DB16" s="78">
        <f t="shared" si="62"/>
        <v>1114.826895</v>
      </c>
      <c r="DC16" s="78">
        <f t="shared" si="63"/>
        <v>1114.826895</v>
      </c>
      <c r="DD16" s="78">
        <f t="shared" si="64"/>
        <v>803.5929174</v>
      </c>
      <c r="DE16" s="77">
        <f t="shared" si="65"/>
        <v>338.4590859</v>
      </c>
      <c r="DF16" s="79"/>
      <c r="DG16" s="78"/>
      <c r="DH16" s="78">
        <f t="shared" si="66"/>
        <v>42.958755000000004</v>
      </c>
      <c r="DI16" s="78">
        <f t="shared" si="67"/>
        <v>42.958755000000004</v>
      </c>
      <c r="DJ16" s="78">
        <f t="shared" si="68"/>
        <v>30.9656606</v>
      </c>
      <c r="DK16" s="77">
        <f t="shared" si="69"/>
        <v>13.0421871</v>
      </c>
      <c r="DL16" s="79"/>
      <c r="DM16" s="90"/>
      <c r="DN16" s="90">
        <f t="shared" si="70"/>
        <v>2351.78559</v>
      </c>
      <c r="DO16" s="90">
        <f t="shared" si="71"/>
        <v>2351.78559</v>
      </c>
      <c r="DP16" s="90">
        <f t="shared" si="72"/>
        <v>1695.2212508</v>
      </c>
      <c r="DQ16" s="94">
        <f t="shared" si="73"/>
        <v>713.9971278</v>
      </c>
      <c r="DR16" s="79"/>
      <c r="DS16" s="78"/>
      <c r="DT16" s="78">
        <f t="shared" si="74"/>
        <v>370.25667</v>
      </c>
      <c r="DU16" s="78">
        <f t="shared" si="75"/>
        <v>370.25667</v>
      </c>
      <c r="DV16" s="78">
        <f t="shared" si="76"/>
        <v>266.88954040000004</v>
      </c>
      <c r="DW16" s="77">
        <f t="shared" si="77"/>
        <v>112.40914140000001</v>
      </c>
      <c r="DX16" s="79"/>
      <c r="DY16" s="78"/>
      <c r="DZ16" s="78">
        <f t="shared" si="78"/>
        <v>1905.3666449999998</v>
      </c>
      <c r="EA16" s="78">
        <f t="shared" si="79"/>
        <v>1905.3666449999998</v>
      </c>
      <c r="EB16" s="78">
        <f t="shared" si="80"/>
        <v>1373.4321874</v>
      </c>
      <c r="EC16" s="77">
        <f t="shared" si="81"/>
        <v>578.4652809</v>
      </c>
      <c r="ED16" s="79"/>
      <c r="EE16" s="78"/>
      <c r="EF16" s="78">
        <f t="shared" si="82"/>
        <v>543.96279</v>
      </c>
      <c r="EG16" s="78">
        <f t="shared" si="83"/>
        <v>543.96279</v>
      </c>
      <c r="EH16" s="78">
        <f t="shared" si="84"/>
        <v>392.1009148</v>
      </c>
      <c r="EI16" s="77">
        <f t="shared" si="85"/>
        <v>165.1459518</v>
      </c>
      <c r="EJ16" s="79"/>
      <c r="EK16" s="78"/>
      <c r="EL16" s="78">
        <f t="shared" si="86"/>
        <v>5.460210000000001</v>
      </c>
      <c r="EM16" s="78">
        <f t="shared" si="87"/>
        <v>5.460210000000001</v>
      </c>
      <c r="EN16" s="78">
        <f t="shared" si="88"/>
        <v>3.9358452</v>
      </c>
      <c r="EO16" s="77">
        <f t="shared" si="89"/>
        <v>1.6577082</v>
      </c>
      <c r="EP16" s="79"/>
      <c r="EQ16" s="78"/>
      <c r="ER16" s="78">
        <f t="shared" si="90"/>
        <v>10.13796</v>
      </c>
      <c r="ES16" s="78">
        <f t="shared" si="91"/>
        <v>10.13796</v>
      </c>
      <c r="ET16" s="78">
        <f t="shared" si="92"/>
        <v>7.3076752</v>
      </c>
      <c r="EU16" s="77">
        <f t="shared" si="93"/>
        <v>3.0778632</v>
      </c>
      <c r="EV16" s="79"/>
      <c r="EW16" s="78"/>
      <c r="EX16" s="78">
        <f t="shared" si="94"/>
        <v>1832.62338</v>
      </c>
      <c r="EY16" s="78">
        <f t="shared" si="95"/>
        <v>1832.62338</v>
      </c>
      <c r="EZ16" s="78">
        <f t="shared" si="96"/>
        <v>1320.9971656</v>
      </c>
      <c r="FA16" s="77">
        <f t="shared" si="97"/>
        <v>556.3805796</v>
      </c>
      <c r="FB16" s="79"/>
      <c r="FC16" s="78"/>
      <c r="FD16" s="78">
        <f t="shared" si="98"/>
        <v>3406.3885800000003</v>
      </c>
      <c r="FE16" s="78">
        <f t="shared" si="99"/>
        <v>3406.3885800000003</v>
      </c>
      <c r="FF16" s="78">
        <f t="shared" si="100"/>
        <v>2455.4033896</v>
      </c>
      <c r="FG16" s="77">
        <f t="shared" si="101"/>
        <v>1034.1723636</v>
      </c>
      <c r="FH16" s="79"/>
      <c r="FI16" s="80"/>
      <c r="FJ16" s="78"/>
      <c r="FK16" s="78"/>
      <c r="FL16" s="78"/>
      <c r="FM16" s="77">
        <f t="shared" si="102"/>
        <v>0</v>
      </c>
    </row>
    <row r="17" spans="1:169" s="52" customFormat="1" ht="12">
      <c r="A17" s="51">
        <v>43556</v>
      </c>
      <c r="C17" s="77">
        <v>5670000</v>
      </c>
      <c r="D17" s="77">
        <v>85050</v>
      </c>
      <c r="E17" s="77">
        <f t="shared" si="0"/>
        <v>5755050</v>
      </c>
      <c r="F17" s="77">
        <v>61297</v>
      </c>
      <c r="G17" s="77">
        <v>25813</v>
      </c>
      <c r="H17" s="79"/>
      <c r="I17" s="79">
        <f>'2009D Academic'!I17</f>
        <v>3077822.8529999997</v>
      </c>
      <c r="J17" s="79">
        <f>'2009D Academic'!J17</f>
        <v>46167.342795000004</v>
      </c>
      <c r="K17" s="79">
        <f t="shared" si="1"/>
        <v>3123990.1957949996</v>
      </c>
      <c r="L17" s="79">
        <f>'2009D Academic'!L17</f>
        <v>33273.5991923</v>
      </c>
      <c r="M17" s="79">
        <f>'2009D Academic'!M17</f>
        <v>14011.964956700001</v>
      </c>
      <c r="N17" s="79"/>
      <c r="O17" s="78">
        <f t="shared" si="2"/>
        <v>2592177.1470000003</v>
      </c>
      <c r="P17" s="80">
        <f t="shared" si="3"/>
        <v>38882.65720499998</v>
      </c>
      <c r="Q17" s="78">
        <f t="shared" si="4"/>
        <v>2631059.8042050004</v>
      </c>
      <c r="R17" s="78">
        <f t="shared" si="5"/>
        <v>28023.4008077</v>
      </c>
      <c r="S17" s="78">
        <f t="shared" si="5"/>
        <v>11801.035043300002</v>
      </c>
      <c r="T17" s="79"/>
      <c r="U17" s="78">
        <f t="shared" si="103"/>
        <v>463375.08</v>
      </c>
      <c r="V17" s="77">
        <f t="shared" si="6"/>
        <v>6950.6262</v>
      </c>
      <c r="W17" s="78">
        <f t="shared" si="7"/>
        <v>470325.7062</v>
      </c>
      <c r="X17" s="78">
        <f t="shared" si="8"/>
        <v>5009.436028</v>
      </c>
      <c r="Y17" s="77">
        <f t="shared" si="9"/>
        <v>2109.541612</v>
      </c>
      <c r="Z17" s="79"/>
      <c r="AA17" s="78">
        <f t="shared" si="104"/>
        <v>337731.28199999995</v>
      </c>
      <c r="AB17" s="78">
        <f t="shared" si="10"/>
        <v>5065.96923</v>
      </c>
      <c r="AC17" s="78">
        <f t="shared" si="11"/>
        <v>342797.25122999994</v>
      </c>
      <c r="AD17" s="78">
        <f t="shared" si="12"/>
        <v>3651.1312862</v>
      </c>
      <c r="AE17" s="77">
        <f t="shared" si="13"/>
        <v>1537.5410198</v>
      </c>
      <c r="AF17" s="79"/>
      <c r="AG17" s="78">
        <f t="shared" si="105"/>
        <v>179060.86800000002</v>
      </c>
      <c r="AH17" s="78">
        <f t="shared" si="14"/>
        <v>2685.9130200000004</v>
      </c>
      <c r="AI17" s="78">
        <f t="shared" si="15"/>
        <v>181746.78102000002</v>
      </c>
      <c r="AJ17" s="78">
        <f t="shared" si="16"/>
        <v>1935.7837788000002</v>
      </c>
      <c r="AK17" s="77">
        <f t="shared" si="17"/>
        <v>815.1848652</v>
      </c>
      <c r="AL17" s="79"/>
      <c r="AM17" s="78">
        <f t="shared" si="106"/>
        <v>130228.56000000001</v>
      </c>
      <c r="AN17" s="78">
        <f t="shared" si="18"/>
        <v>1953.4284000000002</v>
      </c>
      <c r="AO17" s="78">
        <f t="shared" si="19"/>
        <v>132181.9884</v>
      </c>
      <c r="AP17" s="78">
        <f t="shared" si="20"/>
        <v>1407.869496</v>
      </c>
      <c r="AQ17" s="77">
        <f t="shared" si="21"/>
        <v>592.872984</v>
      </c>
      <c r="AR17" s="79"/>
      <c r="AS17" s="78">
        <f t="shared" si="107"/>
        <v>14917.203000000001</v>
      </c>
      <c r="AT17" s="78">
        <f t="shared" si="22"/>
        <v>223.75804499999998</v>
      </c>
      <c r="AU17" s="78">
        <f t="shared" si="23"/>
        <v>15140.961045000002</v>
      </c>
      <c r="AV17" s="78">
        <f t="shared" si="24"/>
        <v>161.26627729999998</v>
      </c>
      <c r="AW17" s="77">
        <f t="shared" si="25"/>
        <v>67.91142169999999</v>
      </c>
      <c r="AX17" s="79"/>
      <c r="AY17" s="78">
        <f t="shared" si="108"/>
        <v>236001.84299999996</v>
      </c>
      <c r="AZ17" s="78">
        <f t="shared" si="26"/>
        <v>3540.027645</v>
      </c>
      <c r="BA17" s="78">
        <f t="shared" si="27"/>
        <v>239541.87064499996</v>
      </c>
      <c r="BB17" s="78">
        <f t="shared" si="28"/>
        <v>2551.3589012999996</v>
      </c>
      <c r="BC17" s="77">
        <f t="shared" si="29"/>
        <v>1074.4119177</v>
      </c>
      <c r="BD17" s="79"/>
      <c r="BE17" s="78">
        <f t="shared" si="109"/>
        <v>25583.607000000004</v>
      </c>
      <c r="BF17" s="78">
        <f t="shared" si="30"/>
        <v>383.754105</v>
      </c>
      <c r="BG17" s="78">
        <f t="shared" si="31"/>
        <v>25967.361105000004</v>
      </c>
      <c r="BH17" s="78">
        <f t="shared" si="32"/>
        <v>276.5781937</v>
      </c>
      <c r="BI17" s="77">
        <f t="shared" si="33"/>
        <v>116.4708373</v>
      </c>
      <c r="BJ17" s="79"/>
      <c r="BK17" s="78">
        <f t="shared" si="110"/>
        <v>80030.349</v>
      </c>
      <c r="BL17" s="78">
        <f t="shared" si="34"/>
        <v>1200.455235</v>
      </c>
      <c r="BM17" s="78">
        <f t="shared" si="35"/>
        <v>81230.804235</v>
      </c>
      <c r="BN17" s="78">
        <f t="shared" si="36"/>
        <v>865.1887659</v>
      </c>
      <c r="BO17" s="77">
        <f t="shared" si="37"/>
        <v>364.34275110000004</v>
      </c>
      <c r="BP17" s="79"/>
      <c r="BQ17" s="78">
        <f t="shared" si="111"/>
        <v>40585.293000000005</v>
      </c>
      <c r="BR17" s="78">
        <f t="shared" si="38"/>
        <v>608.779395</v>
      </c>
      <c r="BS17" s="78">
        <f t="shared" si="39"/>
        <v>41194.072395</v>
      </c>
      <c r="BT17" s="78">
        <f t="shared" si="40"/>
        <v>438.7577963</v>
      </c>
      <c r="BU17" s="77">
        <f t="shared" si="41"/>
        <v>184.7668727</v>
      </c>
      <c r="BV17" s="79"/>
      <c r="BW17" s="78">
        <f t="shared" si="112"/>
        <v>7881.866999999999</v>
      </c>
      <c r="BX17" s="78">
        <f t="shared" si="42"/>
        <v>118.228005</v>
      </c>
      <c r="BY17" s="78">
        <f t="shared" si="43"/>
        <v>8000.095004999999</v>
      </c>
      <c r="BZ17" s="78">
        <f t="shared" si="44"/>
        <v>85.2089597</v>
      </c>
      <c r="CA17" s="77">
        <f t="shared" si="45"/>
        <v>35.8826513</v>
      </c>
      <c r="CB17" s="79"/>
      <c r="CC17" s="78">
        <f t="shared" si="113"/>
        <v>31317.678000000004</v>
      </c>
      <c r="CD17" s="78">
        <f t="shared" si="46"/>
        <v>469.76517000000007</v>
      </c>
      <c r="CE17" s="78">
        <f t="shared" si="47"/>
        <v>31787.443170000002</v>
      </c>
      <c r="CF17" s="78">
        <f t="shared" si="48"/>
        <v>338.56784980000003</v>
      </c>
      <c r="CG17" s="77">
        <f t="shared" si="49"/>
        <v>142.57552420000002</v>
      </c>
      <c r="CH17" s="79"/>
      <c r="CI17" s="78">
        <f t="shared" si="114"/>
        <v>76382.271</v>
      </c>
      <c r="CJ17" s="78">
        <f t="shared" si="50"/>
        <v>1145.7340649999999</v>
      </c>
      <c r="CK17" s="78">
        <f t="shared" si="51"/>
        <v>77528.00506499999</v>
      </c>
      <c r="CL17" s="78">
        <f t="shared" si="52"/>
        <v>825.7502761000001</v>
      </c>
      <c r="CM17" s="77">
        <f t="shared" si="53"/>
        <v>347.7346669</v>
      </c>
      <c r="CN17" s="79"/>
      <c r="CO17" s="78">
        <f t="shared" si="115"/>
        <v>170964.108</v>
      </c>
      <c r="CP17" s="78">
        <f t="shared" si="54"/>
        <v>2564.46162</v>
      </c>
      <c r="CQ17" s="78">
        <f t="shared" si="55"/>
        <v>173528.56962</v>
      </c>
      <c r="CR17" s="78">
        <f t="shared" si="56"/>
        <v>1848.2516627999998</v>
      </c>
      <c r="CS17" s="77">
        <f t="shared" si="57"/>
        <v>778.3239012</v>
      </c>
      <c r="CT17" s="79"/>
      <c r="CU17" s="78">
        <f t="shared" si="116"/>
        <v>25865.972999999998</v>
      </c>
      <c r="CV17" s="78">
        <f t="shared" si="58"/>
        <v>387.98959499999995</v>
      </c>
      <c r="CW17" s="78">
        <f t="shared" si="59"/>
        <v>26253.962594999997</v>
      </c>
      <c r="CX17" s="78">
        <f t="shared" si="60"/>
        <v>279.6307843</v>
      </c>
      <c r="CY17" s="77">
        <f t="shared" si="61"/>
        <v>117.7563247</v>
      </c>
      <c r="CZ17" s="79"/>
      <c r="DA17" s="78">
        <f t="shared" si="117"/>
        <v>74321.793</v>
      </c>
      <c r="DB17" s="78">
        <f t="shared" si="62"/>
        <v>1114.826895</v>
      </c>
      <c r="DC17" s="78">
        <f t="shared" si="63"/>
        <v>75436.61989500001</v>
      </c>
      <c r="DD17" s="78">
        <f t="shared" si="64"/>
        <v>803.4749463</v>
      </c>
      <c r="DE17" s="77">
        <f t="shared" si="65"/>
        <v>338.35422270000004</v>
      </c>
      <c r="DF17" s="79"/>
      <c r="DG17" s="78">
        <f t="shared" si="118"/>
        <v>2863.917</v>
      </c>
      <c r="DH17" s="78">
        <f t="shared" si="66"/>
        <v>42.958755000000004</v>
      </c>
      <c r="DI17" s="78">
        <f t="shared" si="67"/>
        <v>2906.875755</v>
      </c>
      <c r="DJ17" s="78">
        <f t="shared" si="68"/>
        <v>30.9611147</v>
      </c>
      <c r="DK17" s="77">
        <f t="shared" si="69"/>
        <v>13.0381463</v>
      </c>
      <c r="DL17" s="79"/>
      <c r="DM17" s="90">
        <f t="shared" si="119"/>
        <v>156785.706</v>
      </c>
      <c r="DN17" s="90">
        <f t="shared" si="70"/>
        <v>2351.78559</v>
      </c>
      <c r="DO17" s="90">
        <f t="shared" si="71"/>
        <v>159137.49159000002</v>
      </c>
      <c r="DP17" s="90">
        <f t="shared" si="72"/>
        <v>1694.9723846</v>
      </c>
      <c r="DQ17" s="94">
        <f t="shared" si="73"/>
        <v>713.7759134</v>
      </c>
      <c r="DR17" s="79"/>
      <c r="DS17" s="78">
        <f t="shared" si="120"/>
        <v>24683.778</v>
      </c>
      <c r="DT17" s="78">
        <f t="shared" si="74"/>
        <v>370.25667</v>
      </c>
      <c r="DU17" s="78">
        <f t="shared" si="75"/>
        <v>25054.034669999997</v>
      </c>
      <c r="DV17" s="78">
        <f t="shared" si="76"/>
        <v>266.85035980000004</v>
      </c>
      <c r="DW17" s="77">
        <f t="shared" si="77"/>
        <v>112.37431420000001</v>
      </c>
      <c r="DX17" s="79"/>
      <c r="DY17" s="78">
        <f t="shared" si="121"/>
        <v>127024.44299999998</v>
      </c>
      <c r="DZ17" s="78">
        <f t="shared" si="78"/>
        <v>1905.3666449999998</v>
      </c>
      <c r="EA17" s="78">
        <f t="shared" si="79"/>
        <v>128929.80964499999</v>
      </c>
      <c r="EB17" s="78">
        <f t="shared" si="80"/>
        <v>1373.2305613</v>
      </c>
      <c r="EC17" s="77">
        <f t="shared" si="81"/>
        <v>578.2860577</v>
      </c>
      <c r="ED17" s="79"/>
      <c r="EE17" s="78">
        <f t="shared" si="122"/>
        <v>36264.186</v>
      </c>
      <c r="EF17" s="78">
        <f t="shared" si="82"/>
        <v>543.96279</v>
      </c>
      <c r="EG17" s="78">
        <f t="shared" si="83"/>
        <v>36808.14879</v>
      </c>
      <c r="EH17" s="78">
        <f t="shared" si="84"/>
        <v>392.0433526</v>
      </c>
      <c r="EI17" s="77">
        <f t="shared" si="85"/>
        <v>165.0947854</v>
      </c>
      <c r="EJ17" s="79"/>
      <c r="EK17" s="78">
        <f t="shared" si="123"/>
        <v>364.014</v>
      </c>
      <c r="EL17" s="78">
        <f t="shared" si="86"/>
        <v>5.460210000000001</v>
      </c>
      <c r="EM17" s="78">
        <f t="shared" si="87"/>
        <v>369.47421</v>
      </c>
      <c r="EN17" s="78">
        <f t="shared" si="88"/>
        <v>3.9352674000000003</v>
      </c>
      <c r="EO17" s="77">
        <f t="shared" si="89"/>
        <v>1.6571946</v>
      </c>
      <c r="EP17" s="79"/>
      <c r="EQ17" s="78">
        <f t="shared" si="124"/>
        <v>675.8639999999999</v>
      </c>
      <c r="ER17" s="78">
        <f t="shared" si="90"/>
        <v>10.13796</v>
      </c>
      <c r="ES17" s="78">
        <f t="shared" si="91"/>
        <v>686.0019599999999</v>
      </c>
      <c r="ET17" s="78">
        <f t="shared" si="92"/>
        <v>7.3066024</v>
      </c>
      <c r="EU17" s="77">
        <f t="shared" si="93"/>
        <v>3.0769096</v>
      </c>
      <c r="EV17" s="79"/>
      <c r="EW17" s="78">
        <f t="shared" si="125"/>
        <v>122174.89199999999</v>
      </c>
      <c r="EX17" s="78">
        <f t="shared" si="94"/>
        <v>1832.62338</v>
      </c>
      <c r="EY17" s="78">
        <f t="shared" si="95"/>
        <v>124007.51538</v>
      </c>
      <c r="EZ17" s="78">
        <f t="shared" si="96"/>
        <v>1320.8032372</v>
      </c>
      <c r="FA17" s="77">
        <f t="shared" si="97"/>
        <v>556.2081988</v>
      </c>
      <c r="FB17" s="79"/>
      <c r="FC17" s="78">
        <f t="shared" si="126"/>
        <v>227092.572</v>
      </c>
      <c r="FD17" s="78">
        <f t="shared" si="98"/>
        <v>3406.3885800000003</v>
      </c>
      <c r="FE17" s="78">
        <f t="shared" si="99"/>
        <v>230498.96057999998</v>
      </c>
      <c r="FF17" s="78">
        <f t="shared" si="100"/>
        <v>2455.0429252</v>
      </c>
      <c r="FG17" s="77">
        <f t="shared" si="101"/>
        <v>1033.8519508</v>
      </c>
      <c r="FH17" s="79"/>
      <c r="FI17" s="80"/>
      <c r="FJ17" s="78"/>
      <c r="FK17" s="78"/>
      <c r="FL17" s="78"/>
      <c r="FM17" s="77">
        <f t="shared" si="102"/>
        <v>0</v>
      </c>
    </row>
    <row r="18" spans="1:169" s="52" customFormat="1" ht="12" hidden="1">
      <c r="A18" s="51">
        <v>43739</v>
      </c>
      <c r="C18" s="77"/>
      <c r="D18" s="77"/>
      <c r="E18" s="77">
        <f t="shared" si="0"/>
        <v>0</v>
      </c>
      <c r="F18" s="77"/>
      <c r="G18" s="77"/>
      <c r="H18" s="79"/>
      <c r="I18" s="79"/>
      <c r="J18" s="79">
        <v>0</v>
      </c>
      <c r="K18" s="79">
        <f aca="true" t="shared" si="127" ref="K18:K27">I18+J18</f>
        <v>0</v>
      </c>
      <c r="L18" s="79">
        <v>0</v>
      </c>
      <c r="M18" s="77">
        <v>0</v>
      </c>
      <c r="N18" s="79"/>
      <c r="O18" s="78">
        <f t="shared" si="2"/>
        <v>0</v>
      </c>
      <c r="P18" s="80">
        <f t="shared" si="3"/>
        <v>0</v>
      </c>
      <c r="Q18" s="78">
        <f t="shared" si="4"/>
        <v>0</v>
      </c>
      <c r="R18" s="78">
        <f t="shared" si="5"/>
        <v>0</v>
      </c>
      <c r="S18" s="78">
        <f t="shared" si="5"/>
        <v>0</v>
      </c>
      <c r="T18" s="79"/>
      <c r="U18" s="78"/>
      <c r="V18" s="77">
        <f t="shared" si="6"/>
        <v>0</v>
      </c>
      <c r="W18" s="78">
        <f t="shared" si="7"/>
        <v>0</v>
      </c>
      <c r="X18" s="78">
        <f t="shared" si="8"/>
        <v>0</v>
      </c>
      <c r="Y18" s="77">
        <f t="shared" si="9"/>
        <v>0</v>
      </c>
      <c r="Z18" s="79"/>
      <c r="AA18" s="78"/>
      <c r="AB18" s="78">
        <f t="shared" si="10"/>
        <v>0</v>
      </c>
      <c r="AC18" s="78">
        <f t="shared" si="11"/>
        <v>0</v>
      </c>
      <c r="AD18" s="78">
        <f t="shared" si="12"/>
        <v>0</v>
      </c>
      <c r="AE18" s="77">
        <f t="shared" si="13"/>
        <v>0</v>
      </c>
      <c r="AF18" s="79"/>
      <c r="AG18" s="78"/>
      <c r="AH18" s="78">
        <f t="shared" si="14"/>
        <v>0</v>
      </c>
      <c r="AI18" s="78">
        <f t="shared" si="15"/>
        <v>0</v>
      </c>
      <c r="AJ18" s="78">
        <f t="shared" si="16"/>
        <v>0</v>
      </c>
      <c r="AK18" s="77">
        <f t="shared" si="17"/>
        <v>0</v>
      </c>
      <c r="AL18" s="79"/>
      <c r="AM18" s="78"/>
      <c r="AN18" s="78">
        <f t="shared" si="18"/>
        <v>0</v>
      </c>
      <c r="AO18" s="78">
        <f t="shared" si="19"/>
        <v>0</v>
      </c>
      <c r="AP18" s="78">
        <f t="shared" si="20"/>
        <v>0</v>
      </c>
      <c r="AQ18" s="77">
        <f t="shared" si="21"/>
        <v>0</v>
      </c>
      <c r="AR18" s="79"/>
      <c r="AS18" s="78"/>
      <c r="AT18" s="78">
        <f t="shared" si="22"/>
        <v>0</v>
      </c>
      <c r="AU18" s="78">
        <f t="shared" si="23"/>
        <v>0</v>
      </c>
      <c r="AV18" s="78">
        <f t="shared" si="24"/>
        <v>0</v>
      </c>
      <c r="AW18" s="77">
        <f t="shared" si="25"/>
        <v>0</v>
      </c>
      <c r="AX18" s="79"/>
      <c r="AY18" s="78"/>
      <c r="AZ18" s="78">
        <f t="shared" si="26"/>
        <v>0</v>
      </c>
      <c r="BA18" s="78">
        <f t="shared" si="27"/>
        <v>0</v>
      </c>
      <c r="BB18" s="78">
        <f t="shared" si="28"/>
        <v>0</v>
      </c>
      <c r="BC18" s="77">
        <f t="shared" si="29"/>
        <v>0</v>
      </c>
      <c r="BD18" s="79"/>
      <c r="BE18" s="78"/>
      <c r="BF18" s="78">
        <f t="shared" si="30"/>
        <v>0</v>
      </c>
      <c r="BG18" s="78">
        <f t="shared" si="31"/>
        <v>0</v>
      </c>
      <c r="BH18" s="78">
        <f t="shared" si="32"/>
        <v>0</v>
      </c>
      <c r="BI18" s="77">
        <f t="shared" si="33"/>
        <v>0</v>
      </c>
      <c r="BJ18" s="79"/>
      <c r="BK18" s="78"/>
      <c r="BL18" s="78">
        <f t="shared" si="34"/>
        <v>0</v>
      </c>
      <c r="BM18" s="78">
        <f t="shared" si="35"/>
        <v>0</v>
      </c>
      <c r="BN18" s="78">
        <f t="shared" si="36"/>
        <v>0</v>
      </c>
      <c r="BO18" s="77">
        <f t="shared" si="37"/>
        <v>0</v>
      </c>
      <c r="BP18" s="79"/>
      <c r="BQ18" s="78"/>
      <c r="BR18" s="78">
        <f t="shared" si="38"/>
        <v>0</v>
      </c>
      <c r="BS18" s="78">
        <f t="shared" si="39"/>
        <v>0</v>
      </c>
      <c r="BT18" s="78">
        <f t="shared" si="40"/>
        <v>0</v>
      </c>
      <c r="BU18" s="77">
        <f t="shared" si="41"/>
        <v>0</v>
      </c>
      <c r="BV18" s="79"/>
      <c r="BW18" s="78"/>
      <c r="BX18" s="78">
        <f t="shared" si="42"/>
        <v>0</v>
      </c>
      <c r="BY18" s="78">
        <f t="shared" si="43"/>
        <v>0</v>
      </c>
      <c r="BZ18" s="78">
        <f t="shared" si="44"/>
        <v>0</v>
      </c>
      <c r="CA18" s="77">
        <f t="shared" si="45"/>
        <v>0</v>
      </c>
      <c r="CB18" s="79"/>
      <c r="CC18" s="78"/>
      <c r="CD18" s="78">
        <f t="shared" si="46"/>
        <v>0</v>
      </c>
      <c r="CE18" s="78">
        <f t="shared" si="47"/>
        <v>0</v>
      </c>
      <c r="CF18" s="78">
        <f t="shared" si="48"/>
        <v>0</v>
      </c>
      <c r="CG18" s="77">
        <f t="shared" si="49"/>
        <v>0</v>
      </c>
      <c r="CH18" s="79"/>
      <c r="CI18" s="78"/>
      <c r="CJ18" s="78">
        <f t="shared" si="50"/>
        <v>0</v>
      </c>
      <c r="CK18" s="78">
        <f t="shared" si="51"/>
        <v>0</v>
      </c>
      <c r="CL18" s="78">
        <f t="shared" si="52"/>
        <v>0</v>
      </c>
      <c r="CM18" s="77">
        <f t="shared" si="53"/>
        <v>0</v>
      </c>
      <c r="CN18" s="79"/>
      <c r="CO18" s="78"/>
      <c r="CP18" s="78">
        <f t="shared" si="54"/>
        <v>0</v>
      </c>
      <c r="CQ18" s="78">
        <f t="shared" si="55"/>
        <v>0</v>
      </c>
      <c r="CR18" s="78">
        <f t="shared" si="56"/>
        <v>0</v>
      </c>
      <c r="CS18" s="77">
        <f t="shared" si="57"/>
        <v>0</v>
      </c>
      <c r="CT18" s="79"/>
      <c r="CU18" s="78"/>
      <c r="CV18" s="78">
        <f t="shared" si="58"/>
        <v>0</v>
      </c>
      <c r="CW18" s="78">
        <f t="shared" si="59"/>
        <v>0</v>
      </c>
      <c r="CX18" s="78">
        <f t="shared" si="60"/>
        <v>0</v>
      </c>
      <c r="CY18" s="77">
        <f t="shared" si="61"/>
        <v>0</v>
      </c>
      <c r="CZ18" s="79"/>
      <c r="DA18" s="78"/>
      <c r="DB18" s="78">
        <f t="shared" si="62"/>
        <v>0</v>
      </c>
      <c r="DC18" s="78">
        <f t="shared" si="63"/>
        <v>0</v>
      </c>
      <c r="DD18" s="78">
        <f t="shared" si="64"/>
        <v>0</v>
      </c>
      <c r="DE18" s="77">
        <f t="shared" si="65"/>
        <v>0</v>
      </c>
      <c r="DF18" s="79"/>
      <c r="DG18" s="78"/>
      <c r="DH18" s="78">
        <f t="shared" si="66"/>
        <v>0</v>
      </c>
      <c r="DI18" s="78">
        <f t="shared" si="67"/>
        <v>0</v>
      </c>
      <c r="DJ18" s="78">
        <f t="shared" si="68"/>
        <v>0</v>
      </c>
      <c r="DK18" s="77">
        <f t="shared" si="69"/>
        <v>0</v>
      </c>
      <c r="DL18" s="79"/>
      <c r="DM18" s="90"/>
      <c r="DN18" s="90">
        <f t="shared" si="70"/>
        <v>0</v>
      </c>
      <c r="DO18" s="90">
        <f t="shared" si="71"/>
        <v>0</v>
      </c>
      <c r="DP18" s="90">
        <f t="shared" si="72"/>
        <v>0</v>
      </c>
      <c r="DQ18" s="94">
        <f t="shared" si="73"/>
        <v>0</v>
      </c>
      <c r="DR18" s="79"/>
      <c r="DS18" s="78"/>
      <c r="DT18" s="78">
        <f t="shared" si="74"/>
        <v>0</v>
      </c>
      <c r="DU18" s="78">
        <f t="shared" si="75"/>
        <v>0</v>
      </c>
      <c r="DV18" s="78">
        <f t="shared" si="76"/>
        <v>0</v>
      </c>
      <c r="DW18" s="77">
        <f t="shared" si="77"/>
        <v>0</v>
      </c>
      <c r="DX18" s="79"/>
      <c r="DY18" s="78"/>
      <c r="DZ18" s="78">
        <f t="shared" si="78"/>
        <v>0</v>
      </c>
      <c r="EA18" s="78">
        <f t="shared" si="79"/>
        <v>0</v>
      </c>
      <c r="EB18" s="78">
        <f t="shared" si="80"/>
        <v>0</v>
      </c>
      <c r="EC18" s="77">
        <f t="shared" si="81"/>
        <v>0</v>
      </c>
      <c r="ED18" s="79"/>
      <c r="EE18" s="78"/>
      <c r="EF18" s="78">
        <f t="shared" si="82"/>
        <v>0</v>
      </c>
      <c r="EG18" s="78">
        <f t="shared" si="83"/>
        <v>0</v>
      </c>
      <c r="EH18" s="78">
        <f t="shared" si="84"/>
        <v>0</v>
      </c>
      <c r="EI18" s="77">
        <f t="shared" si="85"/>
        <v>0</v>
      </c>
      <c r="EJ18" s="79"/>
      <c r="EK18" s="78"/>
      <c r="EL18" s="78">
        <f t="shared" si="86"/>
        <v>0</v>
      </c>
      <c r="EM18" s="78">
        <f t="shared" si="87"/>
        <v>0</v>
      </c>
      <c r="EN18" s="78">
        <f t="shared" si="88"/>
        <v>0</v>
      </c>
      <c r="EO18" s="77">
        <f t="shared" si="89"/>
        <v>0</v>
      </c>
      <c r="EP18" s="79"/>
      <c r="EQ18" s="78"/>
      <c r="ER18" s="78">
        <f t="shared" si="90"/>
        <v>0</v>
      </c>
      <c r="ES18" s="78">
        <f t="shared" si="91"/>
        <v>0</v>
      </c>
      <c r="ET18" s="78">
        <f t="shared" si="92"/>
        <v>0</v>
      </c>
      <c r="EU18" s="77">
        <f t="shared" si="93"/>
        <v>0</v>
      </c>
      <c r="EV18" s="79"/>
      <c r="EW18" s="78"/>
      <c r="EX18" s="78">
        <f t="shared" si="94"/>
        <v>0</v>
      </c>
      <c r="EY18" s="78">
        <f t="shared" si="95"/>
        <v>0</v>
      </c>
      <c r="EZ18" s="78">
        <f t="shared" si="96"/>
        <v>0</v>
      </c>
      <c r="FA18" s="77">
        <f t="shared" si="97"/>
        <v>0</v>
      </c>
      <c r="FB18" s="79"/>
      <c r="FC18" s="78"/>
      <c r="FD18" s="78">
        <f t="shared" si="98"/>
        <v>0</v>
      </c>
      <c r="FE18" s="78">
        <f t="shared" si="99"/>
        <v>0</v>
      </c>
      <c r="FF18" s="78">
        <f t="shared" si="100"/>
        <v>0</v>
      </c>
      <c r="FG18" s="77">
        <f t="shared" si="101"/>
        <v>0</v>
      </c>
      <c r="FH18" s="79"/>
      <c r="FI18" s="80"/>
      <c r="FJ18" s="78"/>
      <c r="FK18" s="78"/>
      <c r="FL18" s="78"/>
      <c r="FM18" s="77">
        <f t="shared" si="102"/>
        <v>0</v>
      </c>
    </row>
    <row r="19" spans="1:169" s="52" customFormat="1" ht="12" hidden="1">
      <c r="A19" s="51">
        <v>43922</v>
      </c>
      <c r="C19" s="77"/>
      <c r="D19" s="77"/>
      <c r="E19" s="77">
        <f t="shared" si="0"/>
        <v>0</v>
      </c>
      <c r="F19" s="77"/>
      <c r="G19" s="77"/>
      <c r="H19" s="79"/>
      <c r="I19" s="79">
        <v>0</v>
      </c>
      <c r="J19" s="79">
        <v>0</v>
      </c>
      <c r="K19" s="79">
        <f t="shared" si="127"/>
        <v>0</v>
      </c>
      <c r="L19" s="79">
        <v>0</v>
      </c>
      <c r="M19" s="77">
        <v>0</v>
      </c>
      <c r="N19" s="79"/>
      <c r="O19" s="78">
        <f t="shared" si="2"/>
        <v>0</v>
      </c>
      <c r="P19" s="80">
        <f t="shared" si="3"/>
        <v>0</v>
      </c>
      <c r="Q19" s="78">
        <f t="shared" si="4"/>
        <v>0</v>
      </c>
      <c r="R19" s="78">
        <f t="shared" si="5"/>
        <v>0</v>
      </c>
      <c r="S19" s="78">
        <f t="shared" si="5"/>
        <v>0</v>
      </c>
      <c r="T19" s="79"/>
      <c r="U19" s="78">
        <f t="shared" si="103"/>
        <v>0</v>
      </c>
      <c r="V19" s="77">
        <f t="shared" si="6"/>
        <v>0</v>
      </c>
      <c r="W19" s="78">
        <f t="shared" si="7"/>
        <v>0</v>
      </c>
      <c r="X19" s="78">
        <f t="shared" si="8"/>
        <v>0</v>
      </c>
      <c r="Y19" s="77">
        <f t="shared" si="9"/>
        <v>0</v>
      </c>
      <c r="Z19" s="79"/>
      <c r="AA19" s="78">
        <f t="shared" si="104"/>
        <v>0</v>
      </c>
      <c r="AB19" s="78">
        <f t="shared" si="10"/>
        <v>0</v>
      </c>
      <c r="AC19" s="78">
        <f t="shared" si="11"/>
        <v>0</v>
      </c>
      <c r="AD19" s="78">
        <f t="shared" si="12"/>
        <v>0</v>
      </c>
      <c r="AE19" s="77">
        <f t="shared" si="13"/>
        <v>0</v>
      </c>
      <c r="AF19" s="79"/>
      <c r="AG19" s="78">
        <f t="shared" si="105"/>
        <v>0</v>
      </c>
      <c r="AH19" s="78">
        <f t="shared" si="14"/>
        <v>0</v>
      </c>
      <c r="AI19" s="78">
        <f t="shared" si="15"/>
        <v>0</v>
      </c>
      <c r="AJ19" s="78">
        <f t="shared" si="16"/>
        <v>0</v>
      </c>
      <c r="AK19" s="77">
        <f t="shared" si="17"/>
        <v>0</v>
      </c>
      <c r="AL19" s="79"/>
      <c r="AM19" s="78">
        <f t="shared" si="106"/>
        <v>0</v>
      </c>
      <c r="AN19" s="78">
        <f t="shared" si="18"/>
        <v>0</v>
      </c>
      <c r="AO19" s="78">
        <f t="shared" si="19"/>
        <v>0</v>
      </c>
      <c r="AP19" s="78">
        <f t="shared" si="20"/>
        <v>0</v>
      </c>
      <c r="AQ19" s="77">
        <f t="shared" si="21"/>
        <v>0</v>
      </c>
      <c r="AR19" s="79"/>
      <c r="AS19" s="78">
        <f t="shared" si="107"/>
        <v>0</v>
      </c>
      <c r="AT19" s="78">
        <f t="shared" si="22"/>
        <v>0</v>
      </c>
      <c r="AU19" s="78">
        <f t="shared" si="23"/>
        <v>0</v>
      </c>
      <c r="AV19" s="78">
        <f t="shared" si="24"/>
        <v>0</v>
      </c>
      <c r="AW19" s="77">
        <f t="shared" si="25"/>
        <v>0</v>
      </c>
      <c r="AX19" s="79"/>
      <c r="AY19" s="78">
        <f t="shared" si="108"/>
        <v>0</v>
      </c>
      <c r="AZ19" s="78">
        <f t="shared" si="26"/>
        <v>0</v>
      </c>
      <c r="BA19" s="78">
        <f t="shared" si="27"/>
        <v>0</v>
      </c>
      <c r="BB19" s="78">
        <f t="shared" si="28"/>
        <v>0</v>
      </c>
      <c r="BC19" s="77">
        <f t="shared" si="29"/>
        <v>0</v>
      </c>
      <c r="BD19" s="79"/>
      <c r="BE19" s="78">
        <f t="shared" si="109"/>
        <v>0</v>
      </c>
      <c r="BF19" s="78">
        <f t="shared" si="30"/>
        <v>0</v>
      </c>
      <c r="BG19" s="78">
        <f t="shared" si="31"/>
        <v>0</v>
      </c>
      <c r="BH19" s="78">
        <f t="shared" si="32"/>
        <v>0</v>
      </c>
      <c r="BI19" s="77">
        <f t="shared" si="33"/>
        <v>0</v>
      </c>
      <c r="BJ19" s="79"/>
      <c r="BK19" s="78">
        <f t="shared" si="110"/>
        <v>0</v>
      </c>
      <c r="BL19" s="78">
        <f t="shared" si="34"/>
        <v>0</v>
      </c>
      <c r="BM19" s="78">
        <f t="shared" si="35"/>
        <v>0</v>
      </c>
      <c r="BN19" s="78">
        <f t="shared" si="36"/>
        <v>0</v>
      </c>
      <c r="BO19" s="77">
        <f t="shared" si="37"/>
        <v>0</v>
      </c>
      <c r="BP19" s="79"/>
      <c r="BQ19" s="78">
        <f t="shared" si="111"/>
        <v>0</v>
      </c>
      <c r="BR19" s="78">
        <f t="shared" si="38"/>
        <v>0</v>
      </c>
      <c r="BS19" s="78">
        <f t="shared" si="39"/>
        <v>0</v>
      </c>
      <c r="BT19" s="78">
        <f t="shared" si="40"/>
        <v>0</v>
      </c>
      <c r="BU19" s="77">
        <f t="shared" si="41"/>
        <v>0</v>
      </c>
      <c r="BV19" s="79"/>
      <c r="BW19" s="78">
        <f t="shared" si="112"/>
        <v>0</v>
      </c>
      <c r="BX19" s="78">
        <f t="shared" si="42"/>
        <v>0</v>
      </c>
      <c r="BY19" s="78">
        <f t="shared" si="43"/>
        <v>0</v>
      </c>
      <c r="BZ19" s="78">
        <f t="shared" si="44"/>
        <v>0</v>
      </c>
      <c r="CA19" s="77">
        <f t="shared" si="45"/>
        <v>0</v>
      </c>
      <c r="CB19" s="79"/>
      <c r="CC19" s="78">
        <f t="shared" si="113"/>
        <v>0</v>
      </c>
      <c r="CD19" s="78">
        <f t="shared" si="46"/>
        <v>0</v>
      </c>
      <c r="CE19" s="78">
        <f t="shared" si="47"/>
        <v>0</v>
      </c>
      <c r="CF19" s="78">
        <f t="shared" si="48"/>
        <v>0</v>
      </c>
      <c r="CG19" s="77">
        <f t="shared" si="49"/>
        <v>0</v>
      </c>
      <c r="CH19" s="79"/>
      <c r="CI19" s="78">
        <f t="shared" si="114"/>
        <v>0</v>
      </c>
      <c r="CJ19" s="78">
        <f t="shared" si="50"/>
        <v>0</v>
      </c>
      <c r="CK19" s="78">
        <f t="shared" si="51"/>
        <v>0</v>
      </c>
      <c r="CL19" s="78">
        <f t="shared" si="52"/>
        <v>0</v>
      </c>
      <c r="CM19" s="77">
        <f t="shared" si="53"/>
        <v>0</v>
      </c>
      <c r="CN19" s="79"/>
      <c r="CO19" s="78">
        <f t="shared" si="115"/>
        <v>0</v>
      </c>
      <c r="CP19" s="78">
        <f t="shared" si="54"/>
        <v>0</v>
      </c>
      <c r="CQ19" s="78">
        <f t="shared" si="55"/>
        <v>0</v>
      </c>
      <c r="CR19" s="78">
        <f t="shared" si="56"/>
        <v>0</v>
      </c>
      <c r="CS19" s="77">
        <f t="shared" si="57"/>
        <v>0</v>
      </c>
      <c r="CT19" s="79"/>
      <c r="CU19" s="78">
        <f t="shared" si="116"/>
        <v>0</v>
      </c>
      <c r="CV19" s="78">
        <f t="shared" si="58"/>
        <v>0</v>
      </c>
      <c r="CW19" s="78">
        <f t="shared" si="59"/>
        <v>0</v>
      </c>
      <c r="CX19" s="78">
        <f t="shared" si="60"/>
        <v>0</v>
      </c>
      <c r="CY19" s="77">
        <f t="shared" si="61"/>
        <v>0</v>
      </c>
      <c r="CZ19" s="79"/>
      <c r="DA19" s="78">
        <f t="shared" si="117"/>
        <v>0</v>
      </c>
      <c r="DB19" s="78">
        <f t="shared" si="62"/>
        <v>0</v>
      </c>
      <c r="DC19" s="78">
        <f t="shared" si="63"/>
        <v>0</v>
      </c>
      <c r="DD19" s="78">
        <f t="shared" si="64"/>
        <v>0</v>
      </c>
      <c r="DE19" s="77">
        <f t="shared" si="65"/>
        <v>0</v>
      </c>
      <c r="DF19" s="79"/>
      <c r="DG19" s="78">
        <f t="shared" si="118"/>
        <v>0</v>
      </c>
      <c r="DH19" s="78">
        <f t="shared" si="66"/>
        <v>0</v>
      </c>
      <c r="DI19" s="78">
        <f t="shared" si="67"/>
        <v>0</v>
      </c>
      <c r="DJ19" s="78">
        <f t="shared" si="68"/>
        <v>0</v>
      </c>
      <c r="DK19" s="77">
        <f t="shared" si="69"/>
        <v>0</v>
      </c>
      <c r="DL19" s="79"/>
      <c r="DM19" s="90">
        <f t="shared" si="119"/>
        <v>0</v>
      </c>
      <c r="DN19" s="90">
        <f t="shared" si="70"/>
        <v>0</v>
      </c>
      <c r="DO19" s="90">
        <f t="shared" si="71"/>
        <v>0</v>
      </c>
      <c r="DP19" s="90">
        <f t="shared" si="72"/>
        <v>0</v>
      </c>
      <c r="DQ19" s="94">
        <f t="shared" si="73"/>
        <v>0</v>
      </c>
      <c r="DR19" s="79"/>
      <c r="DS19" s="78">
        <f t="shared" si="120"/>
        <v>0</v>
      </c>
      <c r="DT19" s="78">
        <f t="shared" si="74"/>
        <v>0</v>
      </c>
      <c r="DU19" s="78">
        <f t="shared" si="75"/>
        <v>0</v>
      </c>
      <c r="DV19" s="78">
        <f t="shared" si="76"/>
        <v>0</v>
      </c>
      <c r="DW19" s="77">
        <f t="shared" si="77"/>
        <v>0</v>
      </c>
      <c r="DX19" s="79"/>
      <c r="DY19" s="78">
        <f t="shared" si="121"/>
        <v>0</v>
      </c>
      <c r="DZ19" s="78">
        <f t="shared" si="78"/>
        <v>0</v>
      </c>
      <c r="EA19" s="78">
        <f t="shared" si="79"/>
        <v>0</v>
      </c>
      <c r="EB19" s="78">
        <f t="shared" si="80"/>
        <v>0</v>
      </c>
      <c r="EC19" s="77">
        <f t="shared" si="81"/>
        <v>0</v>
      </c>
      <c r="ED19" s="79"/>
      <c r="EE19" s="78">
        <f t="shared" si="122"/>
        <v>0</v>
      </c>
      <c r="EF19" s="78">
        <f t="shared" si="82"/>
        <v>0</v>
      </c>
      <c r="EG19" s="78">
        <f t="shared" si="83"/>
        <v>0</v>
      </c>
      <c r="EH19" s="78">
        <f t="shared" si="84"/>
        <v>0</v>
      </c>
      <c r="EI19" s="77">
        <f t="shared" si="85"/>
        <v>0</v>
      </c>
      <c r="EJ19" s="79"/>
      <c r="EK19" s="78">
        <f t="shared" si="123"/>
        <v>0</v>
      </c>
      <c r="EL19" s="78">
        <f t="shared" si="86"/>
        <v>0</v>
      </c>
      <c r="EM19" s="78">
        <f t="shared" si="87"/>
        <v>0</v>
      </c>
      <c r="EN19" s="78">
        <f t="shared" si="88"/>
        <v>0</v>
      </c>
      <c r="EO19" s="77">
        <f t="shared" si="89"/>
        <v>0</v>
      </c>
      <c r="EP19" s="79"/>
      <c r="EQ19" s="78">
        <f t="shared" si="124"/>
        <v>0</v>
      </c>
      <c r="ER19" s="78">
        <f t="shared" si="90"/>
        <v>0</v>
      </c>
      <c r="ES19" s="78">
        <f t="shared" si="91"/>
        <v>0</v>
      </c>
      <c r="ET19" s="78">
        <f t="shared" si="92"/>
        <v>0</v>
      </c>
      <c r="EU19" s="77">
        <f t="shared" si="93"/>
        <v>0</v>
      </c>
      <c r="EV19" s="79"/>
      <c r="EW19" s="78">
        <f t="shared" si="125"/>
        <v>0</v>
      </c>
      <c r="EX19" s="78">
        <f t="shared" si="94"/>
        <v>0</v>
      </c>
      <c r="EY19" s="78">
        <f t="shared" si="95"/>
        <v>0</v>
      </c>
      <c r="EZ19" s="78">
        <f t="shared" si="96"/>
        <v>0</v>
      </c>
      <c r="FA19" s="77">
        <f t="shared" si="97"/>
        <v>0</v>
      </c>
      <c r="FB19" s="79"/>
      <c r="FC19" s="78">
        <f t="shared" si="126"/>
        <v>0</v>
      </c>
      <c r="FD19" s="78">
        <f t="shared" si="98"/>
        <v>0</v>
      </c>
      <c r="FE19" s="78">
        <f t="shared" si="99"/>
        <v>0</v>
      </c>
      <c r="FF19" s="78">
        <f t="shared" si="100"/>
        <v>0</v>
      </c>
      <c r="FG19" s="77">
        <f t="shared" si="101"/>
        <v>0</v>
      </c>
      <c r="FH19" s="79"/>
      <c r="FI19" s="80"/>
      <c r="FJ19" s="78"/>
      <c r="FK19" s="78"/>
      <c r="FL19" s="78"/>
      <c r="FM19" s="77">
        <f t="shared" si="102"/>
        <v>0</v>
      </c>
    </row>
    <row r="20" spans="1:169" s="52" customFormat="1" ht="12" hidden="1">
      <c r="A20" s="51">
        <v>44105</v>
      </c>
      <c r="C20" s="77"/>
      <c r="D20" s="77"/>
      <c r="E20" s="77">
        <f t="shared" si="0"/>
        <v>0</v>
      </c>
      <c r="F20" s="77"/>
      <c r="G20" s="77"/>
      <c r="H20" s="79"/>
      <c r="I20" s="79"/>
      <c r="J20" s="79">
        <v>0</v>
      </c>
      <c r="K20" s="79">
        <f t="shared" si="127"/>
        <v>0</v>
      </c>
      <c r="L20" s="79">
        <v>0</v>
      </c>
      <c r="M20" s="77">
        <v>0</v>
      </c>
      <c r="N20" s="79"/>
      <c r="O20" s="78">
        <f t="shared" si="2"/>
        <v>0</v>
      </c>
      <c r="P20" s="80">
        <f t="shared" si="3"/>
        <v>0</v>
      </c>
      <c r="Q20" s="78">
        <f t="shared" si="4"/>
        <v>0</v>
      </c>
      <c r="R20" s="78">
        <f t="shared" si="5"/>
        <v>0</v>
      </c>
      <c r="S20" s="78">
        <f t="shared" si="5"/>
        <v>0</v>
      </c>
      <c r="T20" s="79"/>
      <c r="U20" s="78"/>
      <c r="V20" s="77">
        <f t="shared" si="6"/>
        <v>0</v>
      </c>
      <c r="W20" s="78">
        <f t="shared" si="7"/>
        <v>0</v>
      </c>
      <c r="X20" s="78">
        <f t="shared" si="8"/>
        <v>0</v>
      </c>
      <c r="Y20" s="77">
        <f t="shared" si="9"/>
        <v>0</v>
      </c>
      <c r="Z20" s="79"/>
      <c r="AA20" s="78"/>
      <c r="AB20" s="78">
        <f t="shared" si="10"/>
        <v>0</v>
      </c>
      <c r="AC20" s="78">
        <f t="shared" si="11"/>
        <v>0</v>
      </c>
      <c r="AD20" s="78">
        <f t="shared" si="12"/>
        <v>0</v>
      </c>
      <c r="AE20" s="77">
        <f t="shared" si="13"/>
        <v>0</v>
      </c>
      <c r="AF20" s="79"/>
      <c r="AG20" s="78"/>
      <c r="AH20" s="78">
        <f t="shared" si="14"/>
        <v>0</v>
      </c>
      <c r="AI20" s="78">
        <f t="shared" si="15"/>
        <v>0</v>
      </c>
      <c r="AJ20" s="78">
        <f t="shared" si="16"/>
        <v>0</v>
      </c>
      <c r="AK20" s="77">
        <f t="shared" si="17"/>
        <v>0</v>
      </c>
      <c r="AL20" s="79"/>
      <c r="AM20" s="78"/>
      <c r="AN20" s="78">
        <f t="shared" si="18"/>
        <v>0</v>
      </c>
      <c r="AO20" s="78">
        <f t="shared" si="19"/>
        <v>0</v>
      </c>
      <c r="AP20" s="78">
        <f t="shared" si="20"/>
        <v>0</v>
      </c>
      <c r="AQ20" s="77">
        <f t="shared" si="21"/>
        <v>0</v>
      </c>
      <c r="AR20" s="79"/>
      <c r="AS20" s="78"/>
      <c r="AT20" s="78">
        <f t="shared" si="22"/>
        <v>0</v>
      </c>
      <c r="AU20" s="78">
        <f t="shared" si="23"/>
        <v>0</v>
      </c>
      <c r="AV20" s="78">
        <f t="shared" si="24"/>
        <v>0</v>
      </c>
      <c r="AW20" s="77">
        <f t="shared" si="25"/>
        <v>0</v>
      </c>
      <c r="AX20" s="79"/>
      <c r="AY20" s="78"/>
      <c r="AZ20" s="78">
        <f t="shared" si="26"/>
        <v>0</v>
      </c>
      <c r="BA20" s="78">
        <f t="shared" si="27"/>
        <v>0</v>
      </c>
      <c r="BB20" s="78">
        <f t="shared" si="28"/>
        <v>0</v>
      </c>
      <c r="BC20" s="77">
        <f t="shared" si="29"/>
        <v>0</v>
      </c>
      <c r="BD20" s="79"/>
      <c r="BE20" s="78"/>
      <c r="BF20" s="78">
        <f t="shared" si="30"/>
        <v>0</v>
      </c>
      <c r="BG20" s="78">
        <f t="shared" si="31"/>
        <v>0</v>
      </c>
      <c r="BH20" s="78">
        <f t="shared" si="32"/>
        <v>0</v>
      </c>
      <c r="BI20" s="77">
        <f t="shared" si="33"/>
        <v>0</v>
      </c>
      <c r="BJ20" s="79"/>
      <c r="BK20" s="78"/>
      <c r="BL20" s="78">
        <f t="shared" si="34"/>
        <v>0</v>
      </c>
      <c r="BM20" s="78">
        <f t="shared" si="35"/>
        <v>0</v>
      </c>
      <c r="BN20" s="78">
        <f t="shared" si="36"/>
        <v>0</v>
      </c>
      <c r="BO20" s="77">
        <f t="shared" si="37"/>
        <v>0</v>
      </c>
      <c r="BP20" s="79"/>
      <c r="BQ20" s="78"/>
      <c r="BR20" s="78">
        <f t="shared" si="38"/>
        <v>0</v>
      </c>
      <c r="BS20" s="78">
        <f t="shared" si="39"/>
        <v>0</v>
      </c>
      <c r="BT20" s="78">
        <f t="shared" si="40"/>
        <v>0</v>
      </c>
      <c r="BU20" s="77">
        <f t="shared" si="41"/>
        <v>0</v>
      </c>
      <c r="BV20" s="79"/>
      <c r="BW20" s="78"/>
      <c r="BX20" s="78">
        <f t="shared" si="42"/>
        <v>0</v>
      </c>
      <c r="BY20" s="78">
        <f t="shared" si="43"/>
        <v>0</v>
      </c>
      <c r="BZ20" s="78">
        <f t="shared" si="44"/>
        <v>0</v>
      </c>
      <c r="CA20" s="77">
        <f t="shared" si="45"/>
        <v>0</v>
      </c>
      <c r="CB20" s="79"/>
      <c r="CC20" s="78"/>
      <c r="CD20" s="78">
        <f t="shared" si="46"/>
        <v>0</v>
      </c>
      <c r="CE20" s="78">
        <f t="shared" si="47"/>
        <v>0</v>
      </c>
      <c r="CF20" s="78">
        <f t="shared" si="48"/>
        <v>0</v>
      </c>
      <c r="CG20" s="77">
        <f t="shared" si="49"/>
        <v>0</v>
      </c>
      <c r="CH20" s="79"/>
      <c r="CI20" s="78"/>
      <c r="CJ20" s="78">
        <f t="shared" si="50"/>
        <v>0</v>
      </c>
      <c r="CK20" s="78">
        <f t="shared" si="51"/>
        <v>0</v>
      </c>
      <c r="CL20" s="78">
        <f t="shared" si="52"/>
        <v>0</v>
      </c>
      <c r="CM20" s="77">
        <f t="shared" si="53"/>
        <v>0</v>
      </c>
      <c r="CN20" s="79"/>
      <c r="CO20" s="78"/>
      <c r="CP20" s="78">
        <f t="shared" si="54"/>
        <v>0</v>
      </c>
      <c r="CQ20" s="78">
        <f t="shared" si="55"/>
        <v>0</v>
      </c>
      <c r="CR20" s="78">
        <f t="shared" si="56"/>
        <v>0</v>
      </c>
      <c r="CS20" s="77">
        <f t="shared" si="57"/>
        <v>0</v>
      </c>
      <c r="CT20" s="79"/>
      <c r="CU20" s="78"/>
      <c r="CV20" s="78">
        <f t="shared" si="58"/>
        <v>0</v>
      </c>
      <c r="CW20" s="78">
        <f t="shared" si="59"/>
        <v>0</v>
      </c>
      <c r="CX20" s="78">
        <f t="shared" si="60"/>
        <v>0</v>
      </c>
      <c r="CY20" s="77">
        <f t="shared" si="61"/>
        <v>0</v>
      </c>
      <c r="CZ20" s="79"/>
      <c r="DA20" s="78"/>
      <c r="DB20" s="78">
        <f t="shared" si="62"/>
        <v>0</v>
      </c>
      <c r="DC20" s="78">
        <f t="shared" si="63"/>
        <v>0</v>
      </c>
      <c r="DD20" s="78">
        <f t="shared" si="64"/>
        <v>0</v>
      </c>
      <c r="DE20" s="77">
        <f t="shared" si="65"/>
        <v>0</v>
      </c>
      <c r="DF20" s="79"/>
      <c r="DG20" s="78"/>
      <c r="DH20" s="78">
        <f t="shared" si="66"/>
        <v>0</v>
      </c>
      <c r="DI20" s="78">
        <f t="shared" si="67"/>
        <v>0</v>
      </c>
      <c r="DJ20" s="78">
        <f t="shared" si="68"/>
        <v>0</v>
      </c>
      <c r="DK20" s="77">
        <f t="shared" si="69"/>
        <v>0</v>
      </c>
      <c r="DL20" s="79"/>
      <c r="DM20" s="90"/>
      <c r="DN20" s="90">
        <f t="shared" si="70"/>
        <v>0</v>
      </c>
      <c r="DO20" s="90">
        <f t="shared" si="71"/>
        <v>0</v>
      </c>
      <c r="DP20" s="90">
        <f t="shared" si="72"/>
        <v>0</v>
      </c>
      <c r="DQ20" s="94">
        <f t="shared" si="73"/>
        <v>0</v>
      </c>
      <c r="DR20" s="79"/>
      <c r="DS20" s="78"/>
      <c r="DT20" s="78">
        <f t="shared" si="74"/>
        <v>0</v>
      </c>
      <c r="DU20" s="78">
        <f t="shared" si="75"/>
        <v>0</v>
      </c>
      <c r="DV20" s="78">
        <f t="shared" si="76"/>
        <v>0</v>
      </c>
      <c r="DW20" s="77">
        <f t="shared" si="77"/>
        <v>0</v>
      </c>
      <c r="DX20" s="79"/>
      <c r="DY20" s="78"/>
      <c r="DZ20" s="78">
        <f t="shared" si="78"/>
        <v>0</v>
      </c>
      <c r="EA20" s="78">
        <f t="shared" si="79"/>
        <v>0</v>
      </c>
      <c r="EB20" s="78">
        <f t="shared" si="80"/>
        <v>0</v>
      </c>
      <c r="EC20" s="77">
        <f t="shared" si="81"/>
        <v>0</v>
      </c>
      <c r="ED20" s="79"/>
      <c r="EE20" s="78"/>
      <c r="EF20" s="78">
        <f t="shared" si="82"/>
        <v>0</v>
      </c>
      <c r="EG20" s="78">
        <f t="shared" si="83"/>
        <v>0</v>
      </c>
      <c r="EH20" s="78">
        <f t="shared" si="84"/>
        <v>0</v>
      </c>
      <c r="EI20" s="77">
        <f t="shared" si="85"/>
        <v>0</v>
      </c>
      <c r="EJ20" s="79"/>
      <c r="EK20" s="78"/>
      <c r="EL20" s="78">
        <f t="shared" si="86"/>
        <v>0</v>
      </c>
      <c r="EM20" s="78">
        <f t="shared" si="87"/>
        <v>0</v>
      </c>
      <c r="EN20" s="78">
        <f t="shared" si="88"/>
        <v>0</v>
      </c>
      <c r="EO20" s="77">
        <f t="shared" si="89"/>
        <v>0</v>
      </c>
      <c r="EP20" s="79"/>
      <c r="EQ20" s="78"/>
      <c r="ER20" s="78">
        <f t="shared" si="90"/>
        <v>0</v>
      </c>
      <c r="ES20" s="78">
        <f t="shared" si="91"/>
        <v>0</v>
      </c>
      <c r="ET20" s="78">
        <f t="shared" si="92"/>
        <v>0</v>
      </c>
      <c r="EU20" s="77">
        <f t="shared" si="93"/>
        <v>0</v>
      </c>
      <c r="EV20" s="79"/>
      <c r="EW20" s="78"/>
      <c r="EX20" s="78">
        <f t="shared" si="94"/>
        <v>0</v>
      </c>
      <c r="EY20" s="78">
        <f t="shared" si="95"/>
        <v>0</v>
      </c>
      <c r="EZ20" s="78">
        <f t="shared" si="96"/>
        <v>0</v>
      </c>
      <c r="FA20" s="77">
        <f t="shared" si="97"/>
        <v>0</v>
      </c>
      <c r="FB20" s="79"/>
      <c r="FC20" s="78"/>
      <c r="FD20" s="78">
        <f t="shared" si="98"/>
        <v>0</v>
      </c>
      <c r="FE20" s="78">
        <f t="shared" si="99"/>
        <v>0</v>
      </c>
      <c r="FF20" s="78">
        <f t="shared" si="100"/>
        <v>0</v>
      </c>
      <c r="FG20" s="77">
        <f t="shared" si="101"/>
        <v>0</v>
      </c>
      <c r="FH20" s="79"/>
      <c r="FI20" s="80"/>
      <c r="FJ20" s="78"/>
      <c r="FK20" s="78"/>
      <c r="FL20" s="78"/>
      <c r="FM20" s="77">
        <f t="shared" si="102"/>
        <v>0</v>
      </c>
    </row>
    <row r="21" spans="1:169" s="52" customFormat="1" ht="12" hidden="1">
      <c r="A21" s="51">
        <v>44287</v>
      </c>
      <c r="C21" s="77"/>
      <c r="D21" s="77"/>
      <c r="E21" s="77">
        <f t="shared" si="0"/>
        <v>0</v>
      </c>
      <c r="F21" s="77"/>
      <c r="G21" s="77"/>
      <c r="H21" s="79"/>
      <c r="I21" s="79">
        <v>0</v>
      </c>
      <c r="J21" s="79">
        <v>0</v>
      </c>
      <c r="K21" s="79">
        <f t="shared" si="127"/>
        <v>0</v>
      </c>
      <c r="L21" s="79">
        <v>0</v>
      </c>
      <c r="M21" s="77">
        <v>0</v>
      </c>
      <c r="N21" s="79"/>
      <c r="O21" s="78">
        <f t="shared" si="2"/>
        <v>0</v>
      </c>
      <c r="P21" s="80">
        <f t="shared" si="3"/>
        <v>0</v>
      </c>
      <c r="Q21" s="78">
        <f t="shared" si="4"/>
        <v>0</v>
      </c>
      <c r="R21" s="78">
        <f t="shared" si="5"/>
        <v>0</v>
      </c>
      <c r="S21" s="78">
        <f t="shared" si="5"/>
        <v>0</v>
      </c>
      <c r="T21" s="79"/>
      <c r="U21" s="78">
        <f t="shared" si="103"/>
        <v>0</v>
      </c>
      <c r="V21" s="77">
        <f t="shared" si="6"/>
        <v>0</v>
      </c>
      <c r="W21" s="78">
        <f t="shared" si="7"/>
        <v>0</v>
      </c>
      <c r="X21" s="78">
        <f t="shared" si="8"/>
        <v>0</v>
      </c>
      <c r="Y21" s="77">
        <f t="shared" si="9"/>
        <v>0</v>
      </c>
      <c r="Z21" s="79"/>
      <c r="AA21" s="78">
        <f t="shared" si="104"/>
        <v>0</v>
      </c>
      <c r="AB21" s="78">
        <f t="shared" si="10"/>
        <v>0</v>
      </c>
      <c r="AC21" s="78">
        <f t="shared" si="11"/>
        <v>0</v>
      </c>
      <c r="AD21" s="78">
        <f t="shared" si="12"/>
        <v>0</v>
      </c>
      <c r="AE21" s="77">
        <f t="shared" si="13"/>
        <v>0</v>
      </c>
      <c r="AF21" s="79"/>
      <c r="AG21" s="78">
        <f t="shared" si="105"/>
        <v>0</v>
      </c>
      <c r="AH21" s="78">
        <f t="shared" si="14"/>
        <v>0</v>
      </c>
      <c r="AI21" s="78">
        <f t="shared" si="15"/>
        <v>0</v>
      </c>
      <c r="AJ21" s="78">
        <f t="shared" si="16"/>
        <v>0</v>
      </c>
      <c r="AK21" s="77">
        <f t="shared" si="17"/>
        <v>0</v>
      </c>
      <c r="AL21" s="79"/>
      <c r="AM21" s="78">
        <f t="shared" si="106"/>
        <v>0</v>
      </c>
      <c r="AN21" s="78">
        <f t="shared" si="18"/>
        <v>0</v>
      </c>
      <c r="AO21" s="78">
        <f t="shared" si="19"/>
        <v>0</v>
      </c>
      <c r="AP21" s="78">
        <f t="shared" si="20"/>
        <v>0</v>
      </c>
      <c r="AQ21" s="77">
        <f t="shared" si="21"/>
        <v>0</v>
      </c>
      <c r="AR21" s="79"/>
      <c r="AS21" s="78">
        <f t="shared" si="107"/>
        <v>0</v>
      </c>
      <c r="AT21" s="78">
        <f t="shared" si="22"/>
        <v>0</v>
      </c>
      <c r="AU21" s="78">
        <f t="shared" si="23"/>
        <v>0</v>
      </c>
      <c r="AV21" s="78">
        <f t="shared" si="24"/>
        <v>0</v>
      </c>
      <c r="AW21" s="77">
        <f t="shared" si="25"/>
        <v>0</v>
      </c>
      <c r="AX21" s="79"/>
      <c r="AY21" s="78">
        <f t="shared" si="108"/>
        <v>0</v>
      </c>
      <c r="AZ21" s="78">
        <f t="shared" si="26"/>
        <v>0</v>
      </c>
      <c r="BA21" s="78">
        <f t="shared" si="27"/>
        <v>0</v>
      </c>
      <c r="BB21" s="78">
        <f t="shared" si="28"/>
        <v>0</v>
      </c>
      <c r="BC21" s="77">
        <f t="shared" si="29"/>
        <v>0</v>
      </c>
      <c r="BD21" s="79"/>
      <c r="BE21" s="78">
        <f t="shared" si="109"/>
        <v>0</v>
      </c>
      <c r="BF21" s="78">
        <f t="shared" si="30"/>
        <v>0</v>
      </c>
      <c r="BG21" s="78">
        <f t="shared" si="31"/>
        <v>0</v>
      </c>
      <c r="BH21" s="78">
        <f t="shared" si="32"/>
        <v>0</v>
      </c>
      <c r="BI21" s="77">
        <f t="shared" si="33"/>
        <v>0</v>
      </c>
      <c r="BJ21" s="79"/>
      <c r="BK21" s="78">
        <f t="shared" si="110"/>
        <v>0</v>
      </c>
      <c r="BL21" s="78">
        <f t="shared" si="34"/>
        <v>0</v>
      </c>
      <c r="BM21" s="78">
        <f t="shared" si="35"/>
        <v>0</v>
      </c>
      <c r="BN21" s="78">
        <f t="shared" si="36"/>
        <v>0</v>
      </c>
      <c r="BO21" s="77">
        <f t="shared" si="37"/>
        <v>0</v>
      </c>
      <c r="BP21" s="79"/>
      <c r="BQ21" s="78">
        <f t="shared" si="111"/>
        <v>0</v>
      </c>
      <c r="BR21" s="78">
        <f t="shared" si="38"/>
        <v>0</v>
      </c>
      <c r="BS21" s="78">
        <f t="shared" si="39"/>
        <v>0</v>
      </c>
      <c r="BT21" s="78">
        <f t="shared" si="40"/>
        <v>0</v>
      </c>
      <c r="BU21" s="77">
        <f t="shared" si="41"/>
        <v>0</v>
      </c>
      <c r="BV21" s="79"/>
      <c r="BW21" s="78">
        <f t="shared" si="112"/>
        <v>0</v>
      </c>
      <c r="BX21" s="78">
        <f t="shared" si="42"/>
        <v>0</v>
      </c>
      <c r="BY21" s="78">
        <f t="shared" si="43"/>
        <v>0</v>
      </c>
      <c r="BZ21" s="78">
        <f t="shared" si="44"/>
        <v>0</v>
      </c>
      <c r="CA21" s="77">
        <f t="shared" si="45"/>
        <v>0</v>
      </c>
      <c r="CB21" s="79"/>
      <c r="CC21" s="78">
        <f t="shared" si="113"/>
        <v>0</v>
      </c>
      <c r="CD21" s="78">
        <f t="shared" si="46"/>
        <v>0</v>
      </c>
      <c r="CE21" s="78">
        <f t="shared" si="47"/>
        <v>0</v>
      </c>
      <c r="CF21" s="78">
        <f t="shared" si="48"/>
        <v>0</v>
      </c>
      <c r="CG21" s="77">
        <f t="shared" si="49"/>
        <v>0</v>
      </c>
      <c r="CH21" s="79"/>
      <c r="CI21" s="78">
        <f t="shared" si="114"/>
        <v>0</v>
      </c>
      <c r="CJ21" s="78">
        <f t="shared" si="50"/>
        <v>0</v>
      </c>
      <c r="CK21" s="78">
        <f t="shared" si="51"/>
        <v>0</v>
      </c>
      <c r="CL21" s="78">
        <f t="shared" si="52"/>
        <v>0</v>
      </c>
      <c r="CM21" s="77">
        <f t="shared" si="53"/>
        <v>0</v>
      </c>
      <c r="CN21" s="79"/>
      <c r="CO21" s="78">
        <f t="shared" si="115"/>
        <v>0</v>
      </c>
      <c r="CP21" s="78">
        <f t="shared" si="54"/>
        <v>0</v>
      </c>
      <c r="CQ21" s="78">
        <f t="shared" si="55"/>
        <v>0</v>
      </c>
      <c r="CR21" s="78">
        <f t="shared" si="56"/>
        <v>0</v>
      </c>
      <c r="CS21" s="77">
        <f t="shared" si="57"/>
        <v>0</v>
      </c>
      <c r="CT21" s="79"/>
      <c r="CU21" s="78">
        <f t="shared" si="116"/>
        <v>0</v>
      </c>
      <c r="CV21" s="78">
        <f t="shared" si="58"/>
        <v>0</v>
      </c>
      <c r="CW21" s="78">
        <f t="shared" si="59"/>
        <v>0</v>
      </c>
      <c r="CX21" s="78">
        <f t="shared" si="60"/>
        <v>0</v>
      </c>
      <c r="CY21" s="77">
        <f t="shared" si="61"/>
        <v>0</v>
      </c>
      <c r="CZ21" s="79"/>
      <c r="DA21" s="78">
        <f t="shared" si="117"/>
        <v>0</v>
      </c>
      <c r="DB21" s="78">
        <f t="shared" si="62"/>
        <v>0</v>
      </c>
      <c r="DC21" s="78">
        <f t="shared" si="63"/>
        <v>0</v>
      </c>
      <c r="DD21" s="78">
        <f t="shared" si="64"/>
        <v>0</v>
      </c>
      <c r="DE21" s="77">
        <f t="shared" si="65"/>
        <v>0</v>
      </c>
      <c r="DF21" s="79"/>
      <c r="DG21" s="78">
        <f t="shared" si="118"/>
        <v>0</v>
      </c>
      <c r="DH21" s="78">
        <f t="shared" si="66"/>
        <v>0</v>
      </c>
      <c r="DI21" s="78">
        <f t="shared" si="67"/>
        <v>0</v>
      </c>
      <c r="DJ21" s="78">
        <f t="shared" si="68"/>
        <v>0</v>
      </c>
      <c r="DK21" s="77">
        <f t="shared" si="69"/>
        <v>0</v>
      </c>
      <c r="DL21" s="79"/>
      <c r="DM21" s="90">
        <f t="shared" si="119"/>
        <v>0</v>
      </c>
      <c r="DN21" s="90">
        <f t="shared" si="70"/>
        <v>0</v>
      </c>
      <c r="DO21" s="90">
        <f t="shared" si="71"/>
        <v>0</v>
      </c>
      <c r="DP21" s="90">
        <f t="shared" si="72"/>
        <v>0</v>
      </c>
      <c r="DQ21" s="94">
        <f t="shared" si="73"/>
        <v>0</v>
      </c>
      <c r="DR21" s="79"/>
      <c r="DS21" s="78">
        <f t="shared" si="120"/>
        <v>0</v>
      </c>
      <c r="DT21" s="78">
        <f t="shared" si="74"/>
        <v>0</v>
      </c>
      <c r="DU21" s="78">
        <f t="shared" si="75"/>
        <v>0</v>
      </c>
      <c r="DV21" s="78">
        <f t="shared" si="76"/>
        <v>0</v>
      </c>
      <c r="DW21" s="77">
        <f t="shared" si="77"/>
        <v>0</v>
      </c>
      <c r="DX21" s="79"/>
      <c r="DY21" s="78">
        <f t="shared" si="121"/>
        <v>0</v>
      </c>
      <c r="DZ21" s="78">
        <f t="shared" si="78"/>
        <v>0</v>
      </c>
      <c r="EA21" s="78">
        <f t="shared" si="79"/>
        <v>0</v>
      </c>
      <c r="EB21" s="78">
        <f t="shared" si="80"/>
        <v>0</v>
      </c>
      <c r="EC21" s="77">
        <f t="shared" si="81"/>
        <v>0</v>
      </c>
      <c r="ED21" s="79"/>
      <c r="EE21" s="78">
        <f t="shared" si="122"/>
        <v>0</v>
      </c>
      <c r="EF21" s="78">
        <f t="shared" si="82"/>
        <v>0</v>
      </c>
      <c r="EG21" s="78">
        <f t="shared" si="83"/>
        <v>0</v>
      </c>
      <c r="EH21" s="78">
        <f t="shared" si="84"/>
        <v>0</v>
      </c>
      <c r="EI21" s="77">
        <f t="shared" si="85"/>
        <v>0</v>
      </c>
      <c r="EJ21" s="79"/>
      <c r="EK21" s="78">
        <f t="shared" si="123"/>
        <v>0</v>
      </c>
      <c r="EL21" s="78">
        <f t="shared" si="86"/>
        <v>0</v>
      </c>
      <c r="EM21" s="78">
        <f t="shared" si="87"/>
        <v>0</v>
      </c>
      <c r="EN21" s="78">
        <f t="shared" si="88"/>
        <v>0</v>
      </c>
      <c r="EO21" s="77">
        <f t="shared" si="89"/>
        <v>0</v>
      </c>
      <c r="EP21" s="79"/>
      <c r="EQ21" s="78">
        <f t="shared" si="124"/>
        <v>0</v>
      </c>
      <c r="ER21" s="78">
        <f t="shared" si="90"/>
        <v>0</v>
      </c>
      <c r="ES21" s="78">
        <f t="shared" si="91"/>
        <v>0</v>
      </c>
      <c r="ET21" s="78">
        <f t="shared" si="92"/>
        <v>0</v>
      </c>
      <c r="EU21" s="77">
        <f t="shared" si="93"/>
        <v>0</v>
      </c>
      <c r="EV21" s="79"/>
      <c r="EW21" s="78">
        <f t="shared" si="125"/>
        <v>0</v>
      </c>
      <c r="EX21" s="78">
        <f t="shared" si="94"/>
        <v>0</v>
      </c>
      <c r="EY21" s="78">
        <f t="shared" si="95"/>
        <v>0</v>
      </c>
      <c r="EZ21" s="78">
        <f t="shared" si="96"/>
        <v>0</v>
      </c>
      <c r="FA21" s="77">
        <f t="shared" si="97"/>
        <v>0</v>
      </c>
      <c r="FB21" s="79"/>
      <c r="FC21" s="78">
        <f t="shared" si="126"/>
        <v>0</v>
      </c>
      <c r="FD21" s="78">
        <f t="shared" si="98"/>
        <v>0</v>
      </c>
      <c r="FE21" s="78">
        <f t="shared" si="99"/>
        <v>0</v>
      </c>
      <c r="FF21" s="78">
        <f t="shared" si="100"/>
        <v>0</v>
      </c>
      <c r="FG21" s="77">
        <f t="shared" si="101"/>
        <v>0</v>
      </c>
      <c r="FH21" s="79"/>
      <c r="FI21" s="80"/>
      <c r="FJ21" s="78"/>
      <c r="FK21" s="78"/>
      <c r="FL21" s="78"/>
      <c r="FM21" s="77">
        <f t="shared" si="102"/>
        <v>0</v>
      </c>
    </row>
    <row r="22" spans="1:169" s="52" customFormat="1" ht="12" hidden="1">
      <c r="A22" s="51">
        <v>44470</v>
      </c>
      <c r="C22" s="77"/>
      <c r="D22" s="77"/>
      <c r="E22" s="77">
        <f t="shared" si="0"/>
        <v>0</v>
      </c>
      <c r="F22" s="77"/>
      <c r="G22" s="77"/>
      <c r="H22" s="79"/>
      <c r="I22" s="79"/>
      <c r="J22" s="79">
        <v>0</v>
      </c>
      <c r="K22" s="79">
        <f t="shared" si="127"/>
        <v>0</v>
      </c>
      <c r="L22" s="79">
        <v>0</v>
      </c>
      <c r="M22" s="77">
        <v>0</v>
      </c>
      <c r="N22" s="79"/>
      <c r="O22" s="78">
        <f t="shared" si="2"/>
        <v>0</v>
      </c>
      <c r="P22" s="80">
        <f t="shared" si="3"/>
        <v>0</v>
      </c>
      <c r="Q22" s="78">
        <f t="shared" si="4"/>
        <v>0</v>
      </c>
      <c r="R22" s="78">
        <f t="shared" si="5"/>
        <v>0</v>
      </c>
      <c r="S22" s="78">
        <f t="shared" si="5"/>
        <v>0</v>
      </c>
      <c r="T22" s="79"/>
      <c r="U22" s="78"/>
      <c r="V22" s="77">
        <f t="shared" si="6"/>
        <v>0</v>
      </c>
      <c r="W22" s="78">
        <f t="shared" si="7"/>
        <v>0</v>
      </c>
      <c r="X22" s="78">
        <f t="shared" si="8"/>
        <v>0</v>
      </c>
      <c r="Y22" s="77">
        <f t="shared" si="9"/>
        <v>0</v>
      </c>
      <c r="Z22" s="79"/>
      <c r="AA22" s="78"/>
      <c r="AB22" s="78">
        <f t="shared" si="10"/>
        <v>0</v>
      </c>
      <c r="AC22" s="78">
        <f t="shared" si="11"/>
        <v>0</v>
      </c>
      <c r="AD22" s="78">
        <f t="shared" si="12"/>
        <v>0</v>
      </c>
      <c r="AE22" s="77">
        <f t="shared" si="13"/>
        <v>0</v>
      </c>
      <c r="AF22" s="79"/>
      <c r="AG22" s="78"/>
      <c r="AH22" s="78">
        <f t="shared" si="14"/>
        <v>0</v>
      </c>
      <c r="AI22" s="78">
        <f t="shared" si="15"/>
        <v>0</v>
      </c>
      <c r="AJ22" s="78">
        <f t="shared" si="16"/>
        <v>0</v>
      </c>
      <c r="AK22" s="77">
        <f t="shared" si="17"/>
        <v>0</v>
      </c>
      <c r="AL22" s="79"/>
      <c r="AM22" s="78"/>
      <c r="AN22" s="78">
        <f t="shared" si="18"/>
        <v>0</v>
      </c>
      <c r="AO22" s="78">
        <f t="shared" si="19"/>
        <v>0</v>
      </c>
      <c r="AP22" s="78">
        <f t="shared" si="20"/>
        <v>0</v>
      </c>
      <c r="AQ22" s="77">
        <f t="shared" si="21"/>
        <v>0</v>
      </c>
      <c r="AR22" s="79"/>
      <c r="AS22" s="78"/>
      <c r="AT22" s="78">
        <f t="shared" si="22"/>
        <v>0</v>
      </c>
      <c r="AU22" s="78">
        <f t="shared" si="23"/>
        <v>0</v>
      </c>
      <c r="AV22" s="78">
        <f t="shared" si="24"/>
        <v>0</v>
      </c>
      <c r="AW22" s="77">
        <f t="shared" si="25"/>
        <v>0</v>
      </c>
      <c r="AX22" s="79"/>
      <c r="AY22" s="78"/>
      <c r="AZ22" s="78">
        <f t="shared" si="26"/>
        <v>0</v>
      </c>
      <c r="BA22" s="78">
        <f t="shared" si="27"/>
        <v>0</v>
      </c>
      <c r="BB22" s="78">
        <f t="shared" si="28"/>
        <v>0</v>
      </c>
      <c r="BC22" s="77">
        <f t="shared" si="29"/>
        <v>0</v>
      </c>
      <c r="BD22" s="79"/>
      <c r="BE22" s="78"/>
      <c r="BF22" s="78">
        <f t="shared" si="30"/>
        <v>0</v>
      </c>
      <c r="BG22" s="78">
        <f t="shared" si="31"/>
        <v>0</v>
      </c>
      <c r="BH22" s="78">
        <f t="shared" si="32"/>
        <v>0</v>
      </c>
      <c r="BI22" s="77">
        <f t="shared" si="33"/>
        <v>0</v>
      </c>
      <c r="BJ22" s="79"/>
      <c r="BK22" s="78"/>
      <c r="BL22" s="78">
        <f t="shared" si="34"/>
        <v>0</v>
      </c>
      <c r="BM22" s="78">
        <f t="shared" si="35"/>
        <v>0</v>
      </c>
      <c r="BN22" s="78">
        <f t="shared" si="36"/>
        <v>0</v>
      </c>
      <c r="BO22" s="77">
        <f t="shared" si="37"/>
        <v>0</v>
      </c>
      <c r="BP22" s="79"/>
      <c r="BQ22" s="78"/>
      <c r="BR22" s="78">
        <f t="shared" si="38"/>
        <v>0</v>
      </c>
      <c r="BS22" s="78">
        <f t="shared" si="39"/>
        <v>0</v>
      </c>
      <c r="BT22" s="78">
        <f t="shared" si="40"/>
        <v>0</v>
      </c>
      <c r="BU22" s="77">
        <f t="shared" si="41"/>
        <v>0</v>
      </c>
      <c r="BV22" s="79"/>
      <c r="BW22" s="78"/>
      <c r="BX22" s="78">
        <f t="shared" si="42"/>
        <v>0</v>
      </c>
      <c r="BY22" s="78">
        <f t="shared" si="43"/>
        <v>0</v>
      </c>
      <c r="BZ22" s="78">
        <f t="shared" si="44"/>
        <v>0</v>
      </c>
      <c r="CA22" s="77">
        <f t="shared" si="45"/>
        <v>0</v>
      </c>
      <c r="CB22" s="79"/>
      <c r="CC22" s="78"/>
      <c r="CD22" s="78">
        <f t="shared" si="46"/>
        <v>0</v>
      </c>
      <c r="CE22" s="78">
        <f t="shared" si="47"/>
        <v>0</v>
      </c>
      <c r="CF22" s="78">
        <f t="shared" si="48"/>
        <v>0</v>
      </c>
      <c r="CG22" s="77">
        <f t="shared" si="49"/>
        <v>0</v>
      </c>
      <c r="CH22" s="79"/>
      <c r="CI22" s="78"/>
      <c r="CJ22" s="78">
        <f t="shared" si="50"/>
        <v>0</v>
      </c>
      <c r="CK22" s="78">
        <f t="shared" si="51"/>
        <v>0</v>
      </c>
      <c r="CL22" s="78">
        <f t="shared" si="52"/>
        <v>0</v>
      </c>
      <c r="CM22" s="77">
        <f t="shared" si="53"/>
        <v>0</v>
      </c>
      <c r="CN22" s="79"/>
      <c r="CO22" s="78"/>
      <c r="CP22" s="78">
        <f t="shared" si="54"/>
        <v>0</v>
      </c>
      <c r="CQ22" s="78">
        <f t="shared" si="55"/>
        <v>0</v>
      </c>
      <c r="CR22" s="78">
        <f t="shared" si="56"/>
        <v>0</v>
      </c>
      <c r="CS22" s="77">
        <f t="shared" si="57"/>
        <v>0</v>
      </c>
      <c r="CT22" s="79"/>
      <c r="CU22" s="78"/>
      <c r="CV22" s="78">
        <f t="shared" si="58"/>
        <v>0</v>
      </c>
      <c r="CW22" s="78">
        <f t="shared" si="59"/>
        <v>0</v>
      </c>
      <c r="CX22" s="78">
        <f t="shared" si="60"/>
        <v>0</v>
      </c>
      <c r="CY22" s="77">
        <f t="shared" si="61"/>
        <v>0</v>
      </c>
      <c r="CZ22" s="79"/>
      <c r="DA22" s="78"/>
      <c r="DB22" s="78">
        <f t="shared" si="62"/>
        <v>0</v>
      </c>
      <c r="DC22" s="78">
        <f t="shared" si="63"/>
        <v>0</v>
      </c>
      <c r="DD22" s="78">
        <f t="shared" si="64"/>
        <v>0</v>
      </c>
      <c r="DE22" s="77">
        <f t="shared" si="65"/>
        <v>0</v>
      </c>
      <c r="DF22" s="79"/>
      <c r="DG22" s="78"/>
      <c r="DH22" s="78">
        <f t="shared" si="66"/>
        <v>0</v>
      </c>
      <c r="DI22" s="78">
        <f t="shared" si="67"/>
        <v>0</v>
      </c>
      <c r="DJ22" s="78">
        <f t="shared" si="68"/>
        <v>0</v>
      </c>
      <c r="DK22" s="77">
        <f t="shared" si="69"/>
        <v>0</v>
      </c>
      <c r="DL22" s="79"/>
      <c r="DM22" s="90"/>
      <c r="DN22" s="90">
        <f t="shared" si="70"/>
        <v>0</v>
      </c>
      <c r="DO22" s="90">
        <f t="shared" si="71"/>
        <v>0</v>
      </c>
      <c r="DP22" s="90">
        <f t="shared" si="72"/>
        <v>0</v>
      </c>
      <c r="DQ22" s="94">
        <f t="shared" si="73"/>
        <v>0</v>
      </c>
      <c r="DR22" s="79"/>
      <c r="DS22" s="78"/>
      <c r="DT22" s="78">
        <f t="shared" si="74"/>
        <v>0</v>
      </c>
      <c r="DU22" s="78">
        <f t="shared" si="75"/>
        <v>0</v>
      </c>
      <c r="DV22" s="78">
        <f t="shared" si="76"/>
        <v>0</v>
      </c>
      <c r="DW22" s="77">
        <f t="shared" si="77"/>
        <v>0</v>
      </c>
      <c r="DX22" s="79"/>
      <c r="DY22" s="78"/>
      <c r="DZ22" s="78">
        <f t="shared" si="78"/>
        <v>0</v>
      </c>
      <c r="EA22" s="78">
        <f t="shared" si="79"/>
        <v>0</v>
      </c>
      <c r="EB22" s="78">
        <f t="shared" si="80"/>
        <v>0</v>
      </c>
      <c r="EC22" s="77">
        <f t="shared" si="81"/>
        <v>0</v>
      </c>
      <c r="ED22" s="79"/>
      <c r="EE22" s="78"/>
      <c r="EF22" s="78">
        <f t="shared" si="82"/>
        <v>0</v>
      </c>
      <c r="EG22" s="78">
        <f t="shared" si="83"/>
        <v>0</v>
      </c>
      <c r="EH22" s="78">
        <f t="shared" si="84"/>
        <v>0</v>
      </c>
      <c r="EI22" s="77">
        <f t="shared" si="85"/>
        <v>0</v>
      </c>
      <c r="EJ22" s="79"/>
      <c r="EK22" s="78"/>
      <c r="EL22" s="78">
        <f t="shared" si="86"/>
        <v>0</v>
      </c>
      <c r="EM22" s="78">
        <f t="shared" si="87"/>
        <v>0</v>
      </c>
      <c r="EN22" s="78">
        <f t="shared" si="88"/>
        <v>0</v>
      </c>
      <c r="EO22" s="77">
        <f t="shared" si="89"/>
        <v>0</v>
      </c>
      <c r="EP22" s="79"/>
      <c r="EQ22" s="78"/>
      <c r="ER22" s="78">
        <f t="shared" si="90"/>
        <v>0</v>
      </c>
      <c r="ES22" s="78">
        <f t="shared" si="91"/>
        <v>0</v>
      </c>
      <c r="ET22" s="78">
        <f t="shared" si="92"/>
        <v>0</v>
      </c>
      <c r="EU22" s="77">
        <f t="shared" si="93"/>
        <v>0</v>
      </c>
      <c r="EV22" s="79"/>
      <c r="EW22" s="78"/>
      <c r="EX22" s="78">
        <f t="shared" si="94"/>
        <v>0</v>
      </c>
      <c r="EY22" s="78">
        <f t="shared" si="95"/>
        <v>0</v>
      </c>
      <c r="EZ22" s="78">
        <f t="shared" si="96"/>
        <v>0</v>
      </c>
      <c r="FA22" s="77">
        <f t="shared" si="97"/>
        <v>0</v>
      </c>
      <c r="FB22" s="79"/>
      <c r="FC22" s="78"/>
      <c r="FD22" s="78">
        <f t="shared" si="98"/>
        <v>0</v>
      </c>
      <c r="FE22" s="78">
        <f t="shared" si="99"/>
        <v>0</v>
      </c>
      <c r="FF22" s="78">
        <f t="shared" si="100"/>
        <v>0</v>
      </c>
      <c r="FG22" s="77">
        <f t="shared" si="101"/>
        <v>0</v>
      </c>
      <c r="FH22" s="79"/>
      <c r="FI22" s="80"/>
      <c r="FJ22" s="78"/>
      <c r="FK22" s="78"/>
      <c r="FL22" s="78"/>
      <c r="FM22" s="77">
        <f t="shared" si="102"/>
        <v>0</v>
      </c>
    </row>
    <row r="23" spans="1:169" s="52" customFormat="1" ht="12" hidden="1">
      <c r="A23" s="51">
        <v>44652</v>
      </c>
      <c r="C23" s="77"/>
      <c r="D23" s="77"/>
      <c r="E23" s="77">
        <f t="shared" si="0"/>
        <v>0</v>
      </c>
      <c r="F23" s="77"/>
      <c r="G23" s="77"/>
      <c r="H23" s="79"/>
      <c r="I23" s="79">
        <v>0</v>
      </c>
      <c r="J23" s="79">
        <v>0</v>
      </c>
      <c r="K23" s="79">
        <f t="shared" si="127"/>
        <v>0</v>
      </c>
      <c r="L23" s="79">
        <v>0</v>
      </c>
      <c r="M23" s="77">
        <v>0</v>
      </c>
      <c r="N23" s="79"/>
      <c r="O23" s="78">
        <f t="shared" si="2"/>
        <v>0</v>
      </c>
      <c r="P23" s="80">
        <f t="shared" si="3"/>
        <v>0</v>
      </c>
      <c r="Q23" s="78">
        <f t="shared" si="4"/>
        <v>0</v>
      </c>
      <c r="R23" s="78">
        <f t="shared" si="5"/>
        <v>0</v>
      </c>
      <c r="S23" s="78">
        <f t="shared" si="5"/>
        <v>0</v>
      </c>
      <c r="T23" s="79"/>
      <c r="U23" s="78">
        <f t="shared" si="103"/>
        <v>0</v>
      </c>
      <c r="V23" s="77">
        <f t="shared" si="6"/>
        <v>0</v>
      </c>
      <c r="W23" s="78">
        <f t="shared" si="7"/>
        <v>0</v>
      </c>
      <c r="X23" s="78">
        <f t="shared" si="8"/>
        <v>0</v>
      </c>
      <c r="Y23" s="77">
        <f t="shared" si="9"/>
        <v>0</v>
      </c>
      <c r="Z23" s="79"/>
      <c r="AA23" s="78">
        <f t="shared" si="104"/>
        <v>0</v>
      </c>
      <c r="AB23" s="78">
        <f t="shared" si="10"/>
        <v>0</v>
      </c>
      <c r="AC23" s="78">
        <f t="shared" si="11"/>
        <v>0</v>
      </c>
      <c r="AD23" s="78">
        <f t="shared" si="12"/>
        <v>0</v>
      </c>
      <c r="AE23" s="77">
        <f t="shared" si="13"/>
        <v>0</v>
      </c>
      <c r="AF23" s="79"/>
      <c r="AG23" s="78">
        <f t="shared" si="105"/>
        <v>0</v>
      </c>
      <c r="AH23" s="78">
        <f t="shared" si="14"/>
        <v>0</v>
      </c>
      <c r="AI23" s="78">
        <f t="shared" si="15"/>
        <v>0</v>
      </c>
      <c r="AJ23" s="78">
        <f t="shared" si="16"/>
        <v>0</v>
      </c>
      <c r="AK23" s="77">
        <f t="shared" si="17"/>
        <v>0</v>
      </c>
      <c r="AL23" s="79"/>
      <c r="AM23" s="78">
        <f t="shared" si="106"/>
        <v>0</v>
      </c>
      <c r="AN23" s="78">
        <f t="shared" si="18"/>
        <v>0</v>
      </c>
      <c r="AO23" s="78">
        <f t="shared" si="19"/>
        <v>0</v>
      </c>
      <c r="AP23" s="78">
        <f t="shared" si="20"/>
        <v>0</v>
      </c>
      <c r="AQ23" s="77">
        <f t="shared" si="21"/>
        <v>0</v>
      </c>
      <c r="AR23" s="79"/>
      <c r="AS23" s="78">
        <f t="shared" si="107"/>
        <v>0</v>
      </c>
      <c r="AT23" s="78">
        <f t="shared" si="22"/>
        <v>0</v>
      </c>
      <c r="AU23" s="78">
        <f t="shared" si="23"/>
        <v>0</v>
      </c>
      <c r="AV23" s="78">
        <f t="shared" si="24"/>
        <v>0</v>
      </c>
      <c r="AW23" s="77">
        <f t="shared" si="25"/>
        <v>0</v>
      </c>
      <c r="AX23" s="79"/>
      <c r="AY23" s="78">
        <f t="shared" si="108"/>
        <v>0</v>
      </c>
      <c r="AZ23" s="78">
        <f t="shared" si="26"/>
        <v>0</v>
      </c>
      <c r="BA23" s="78">
        <f t="shared" si="27"/>
        <v>0</v>
      </c>
      <c r="BB23" s="78">
        <f t="shared" si="28"/>
        <v>0</v>
      </c>
      <c r="BC23" s="77">
        <f t="shared" si="29"/>
        <v>0</v>
      </c>
      <c r="BD23" s="79"/>
      <c r="BE23" s="78">
        <f t="shared" si="109"/>
        <v>0</v>
      </c>
      <c r="BF23" s="78">
        <f t="shared" si="30"/>
        <v>0</v>
      </c>
      <c r="BG23" s="78">
        <f t="shared" si="31"/>
        <v>0</v>
      </c>
      <c r="BH23" s="78">
        <f t="shared" si="32"/>
        <v>0</v>
      </c>
      <c r="BI23" s="77">
        <f t="shared" si="33"/>
        <v>0</v>
      </c>
      <c r="BJ23" s="79"/>
      <c r="BK23" s="78">
        <f t="shared" si="110"/>
        <v>0</v>
      </c>
      <c r="BL23" s="78">
        <f t="shared" si="34"/>
        <v>0</v>
      </c>
      <c r="BM23" s="78">
        <f t="shared" si="35"/>
        <v>0</v>
      </c>
      <c r="BN23" s="78">
        <f t="shared" si="36"/>
        <v>0</v>
      </c>
      <c r="BO23" s="77">
        <f t="shared" si="37"/>
        <v>0</v>
      </c>
      <c r="BP23" s="79"/>
      <c r="BQ23" s="78">
        <f t="shared" si="111"/>
        <v>0</v>
      </c>
      <c r="BR23" s="78">
        <f t="shared" si="38"/>
        <v>0</v>
      </c>
      <c r="BS23" s="78">
        <f t="shared" si="39"/>
        <v>0</v>
      </c>
      <c r="BT23" s="78">
        <f t="shared" si="40"/>
        <v>0</v>
      </c>
      <c r="BU23" s="77">
        <f t="shared" si="41"/>
        <v>0</v>
      </c>
      <c r="BV23" s="79"/>
      <c r="BW23" s="78">
        <f t="shared" si="112"/>
        <v>0</v>
      </c>
      <c r="BX23" s="78">
        <f t="shared" si="42"/>
        <v>0</v>
      </c>
      <c r="BY23" s="78">
        <f t="shared" si="43"/>
        <v>0</v>
      </c>
      <c r="BZ23" s="78">
        <f t="shared" si="44"/>
        <v>0</v>
      </c>
      <c r="CA23" s="77">
        <f t="shared" si="45"/>
        <v>0</v>
      </c>
      <c r="CB23" s="79"/>
      <c r="CC23" s="78">
        <f t="shared" si="113"/>
        <v>0</v>
      </c>
      <c r="CD23" s="78">
        <f t="shared" si="46"/>
        <v>0</v>
      </c>
      <c r="CE23" s="78">
        <f t="shared" si="47"/>
        <v>0</v>
      </c>
      <c r="CF23" s="78">
        <f t="shared" si="48"/>
        <v>0</v>
      </c>
      <c r="CG23" s="77">
        <f t="shared" si="49"/>
        <v>0</v>
      </c>
      <c r="CH23" s="79"/>
      <c r="CI23" s="78">
        <f t="shared" si="114"/>
        <v>0</v>
      </c>
      <c r="CJ23" s="78">
        <f t="shared" si="50"/>
        <v>0</v>
      </c>
      <c r="CK23" s="78">
        <f t="shared" si="51"/>
        <v>0</v>
      </c>
      <c r="CL23" s="78">
        <f t="shared" si="52"/>
        <v>0</v>
      </c>
      <c r="CM23" s="77">
        <f t="shared" si="53"/>
        <v>0</v>
      </c>
      <c r="CN23" s="79"/>
      <c r="CO23" s="78">
        <f t="shared" si="115"/>
        <v>0</v>
      </c>
      <c r="CP23" s="78">
        <f t="shared" si="54"/>
        <v>0</v>
      </c>
      <c r="CQ23" s="78">
        <f t="shared" si="55"/>
        <v>0</v>
      </c>
      <c r="CR23" s="78">
        <f t="shared" si="56"/>
        <v>0</v>
      </c>
      <c r="CS23" s="77">
        <f t="shared" si="57"/>
        <v>0</v>
      </c>
      <c r="CT23" s="79"/>
      <c r="CU23" s="78">
        <f t="shared" si="116"/>
        <v>0</v>
      </c>
      <c r="CV23" s="78">
        <f t="shared" si="58"/>
        <v>0</v>
      </c>
      <c r="CW23" s="78">
        <f t="shared" si="59"/>
        <v>0</v>
      </c>
      <c r="CX23" s="78">
        <f t="shared" si="60"/>
        <v>0</v>
      </c>
      <c r="CY23" s="77">
        <f t="shared" si="61"/>
        <v>0</v>
      </c>
      <c r="CZ23" s="79"/>
      <c r="DA23" s="78">
        <f t="shared" si="117"/>
        <v>0</v>
      </c>
      <c r="DB23" s="78">
        <f t="shared" si="62"/>
        <v>0</v>
      </c>
      <c r="DC23" s="78">
        <f t="shared" si="63"/>
        <v>0</v>
      </c>
      <c r="DD23" s="78">
        <f t="shared" si="64"/>
        <v>0</v>
      </c>
      <c r="DE23" s="77">
        <f t="shared" si="65"/>
        <v>0</v>
      </c>
      <c r="DF23" s="79"/>
      <c r="DG23" s="78">
        <f t="shared" si="118"/>
        <v>0</v>
      </c>
      <c r="DH23" s="78">
        <f t="shared" si="66"/>
        <v>0</v>
      </c>
      <c r="DI23" s="78">
        <f t="shared" si="67"/>
        <v>0</v>
      </c>
      <c r="DJ23" s="78">
        <f t="shared" si="68"/>
        <v>0</v>
      </c>
      <c r="DK23" s="77">
        <f t="shared" si="69"/>
        <v>0</v>
      </c>
      <c r="DL23" s="79"/>
      <c r="DM23" s="90">
        <f t="shared" si="119"/>
        <v>0</v>
      </c>
      <c r="DN23" s="90">
        <f t="shared" si="70"/>
        <v>0</v>
      </c>
      <c r="DO23" s="90">
        <f t="shared" si="71"/>
        <v>0</v>
      </c>
      <c r="DP23" s="90">
        <f t="shared" si="72"/>
        <v>0</v>
      </c>
      <c r="DQ23" s="94">
        <f t="shared" si="73"/>
        <v>0</v>
      </c>
      <c r="DR23" s="79"/>
      <c r="DS23" s="78">
        <f t="shared" si="120"/>
        <v>0</v>
      </c>
      <c r="DT23" s="78">
        <f t="shared" si="74"/>
        <v>0</v>
      </c>
      <c r="DU23" s="78">
        <f t="shared" si="75"/>
        <v>0</v>
      </c>
      <c r="DV23" s="78">
        <f t="shared" si="76"/>
        <v>0</v>
      </c>
      <c r="DW23" s="77">
        <f t="shared" si="77"/>
        <v>0</v>
      </c>
      <c r="DX23" s="79"/>
      <c r="DY23" s="78">
        <f t="shared" si="121"/>
        <v>0</v>
      </c>
      <c r="DZ23" s="78">
        <f t="shared" si="78"/>
        <v>0</v>
      </c>
      <c r="EA23" s="78">
        <f t="shared" si="79"/>
        <v>0</v>
      </c>
      <c r="EB23" s="78">
        <f t="shared" si="80"/>
        <v>0</v>
      </c>
      <c r="EC23" s="77">
        <f t="shared" si="81"/>
        <v>0</v>
      </c>
      <c r="ED23" s="79"/>
      <c r="EE23" s="78">
        <f t="shared" si="122"/>
        <v>0</v>
      </c>
      <c r="EF23" s="78">
        <f t="shared" si="82"/>
        <v>0</v>
      </c>
      <c r="EG23" s="78">
        <f t="shared" si="83"/>
        <v>0</v>
      </c>
      <c r="EH23" s="78">
        <f t="shared" si="84"/>
        <v>0</v>
      </c>
      <c r="EI23" s="77">
        <f t="shared" si="85"/>
        <v>0</v>
      </c>
      <c r="EJ23" s="79"/>
      <c r="EK23" s="78">
        <f t="shared" si="123"/>
        <v>0</v>
      </c>
      <c r="EL23" s="78">
        <f t="shared" si="86"/>
        <v>0</v>
      </c>
      <c r="EM23" s="78">
        <f t="shared" si="87"/>
        <v>0</v>
      </c>
      <c r="EN23" s="78">
        <f t="shared" si="88"/>
        <v>0</v>
      </c>
      <c r="EO23" s="77">
        <f t="shared" si="89"/>
        <v>0</v>
      </c>
      <c r="EP23" s="79"/>
      <c r="EQ23" s="78">
        <f t="shared" si="124"/>
        <v>0</v>
      </c>
      <c r="ER23" s="78">
        <f t="shared" si="90"/>
        <v>0</v>
      </c>
      <c r="ES23" s="78">
        <f t="shared" si="91"/>
        <v>0</v>
      </c>
      <c r="ET23" s="78">
        <f t="shared" si="92"/>
        <v>0</v>
      </c>
      <c r="EU23" s="77">
        <f t="shared" si="93"/>
        <v>0</v>
      </c>
      <c r="EV23" s="79"/>
      <c r="EW23" s="78">
        <f t="shared" si="125"/>
        <v>0</v>
      </c>
      <c r="EX23" s="78">
        <f t="shared" si="94"/>
        <v>0</v>
      </c>
      <c r="EY23" s="78">
        <f t="shared" si="95"/>
        <v>0</v>
      </c>
      <c r="EZ23" s="78">
        <f t="shared" si="96"/>
        <v>0</v>
      </c>
      <c r="FA23" s="77">
        <f t="shared" si="97"/>
        <v>0</v>
      </c>
      <c r="FB23" s="79"/>
      <c r="FC23" s="78">
        <f t="shared" si="126"/>
        <v>0</v>
      </c>
      <c r="FD23" s="78">
        <f t="shared" si="98"/>
        <v>0</v>
      </c>
      <c r="FE23" s="78">
        <f t="shared" si="99"/>
        <v>0</v>
      </c>
      <c r="FF23" s="78">
        <f t="shared" si="100"/>
        <v>0</v>
      </c>
      <c r="FG23" s="77">
        <f t="shared" si="101"/>
        <v>0</v>
      </c>
      <c r="FH23" s="79"/>
      <c r="FI23" s="80"/>
      <c r="FJ23" s="78"/>
      <c r="FK23" s="78"/>
      <c r="FL23" s="78"/>
      <c r="FM23" s="77">
        <f t="shared" si="102"/>
        <v>0</v>
      </c>
    </row>
    <row r="24" spans="1:169" s="52" customFormat="1" ht="12" hidden="1">
      <c r="A24" s="51">
        <v>44835</v>
      </c>
      <c r="C24" s="77"/>
      <c r="D24" s="77"/>
      <c r="E24" s="77">
        <f t="shared" si="0"/>
        <v>0</v>
      </c>
      <c r="F24" s="77"/>
      <c r="G24" s="77"/>
      <c r="H24" s="79"/>
      <c r="I24" s="79"/>
      <c r="J24" s="79">
        <v>0</v>
      </c>
      <c r="K24" s="79">
        <f t="shared" si="127"/>
        <v>0</v>
      </c>
      <c r="L24" s="79">
        <v>0</v>
      </c>
      <c r="M24" s="77">
        <v>0</v>
      </c>
      <c r="N24" s="79"/>
      <c r="O24" s="78">
        <f t="shared" si="2"/>
        <v>0</v>
      </c>
      <c r="P24" s="80">
        <f t="shared" si="3"/>
        <v>0</v>
      </c>
      <c r="Q24" s="78">
        <f t="shared" si="4"/>
        <v>0</v>
      </c>
      <c r="R24" s="78">
        <f t="shared" si="5"/>
        <v>0</v>
      </c>
      <c r="S24" s="78">
        <f t="shared" si="5"/>
        <v>0</v>
      </c>
      <c r="T24" s="79"/>
      <c r="U24" s="78"/>
      <c r="V24" s="77">
        <f t="shared" si="6"/>
        <v>0</v>
      </c>
      <c r="W24" s="78">
        <f t="shared" si="7"/>
        <v>0</v>
      </c>
      <c r="X24" s="78">
        <f t="shared" si="8"/>
        <v>0</v>
      </c>
      <c r="Y24" s="77">
        <f t="shared" si="9"/>
        <v>0</v>
      </c>
      <c r="Z24" s="79"/>
      <c r="AA24" s="78"/>
      <c r="AB24" s="78">
        <f t="shared" si="10"/>
        <v>0</v>
      </c>
      <c r="AC24" s="78">
        <f t="shared" si="11"/>
        <v>0</v>
      </c>
      <c r="AD24" s="78">
        <f t="shared" si="12"/>
        <v>0</v>
      </c>
      <c r="AE24" s="77">
        <f t="shared" si="13"/>
        <v>0</v>
      </c>
      <c r="AF24" s="79"/>
      <c r="AG24" s="78"/>
      <c r="AH24" s="78">
        <f t="shared" si="14"/>
        <v>0</v>
      </c>
      <c r="AI24" s="78">
        <f t="shared" si="15"/>
        <v>0</v>
      </c>
      <c r="AJ24" s="78">
        <f t="shared" si="16"/>
        <v>0</v>
      </c>
      <c r="AK24" s="77">
        <f t="shared" si="17"/>
        <v>0</v>
      </c>
      <c r="AL24" s="79"/>
      <c r="AM24" s="78"/>
      <c r="AN24" s="78">
        <f t="shared" si="18"/>
        <v>0</v>
      </c>
      <c r="AO24" s="78">
        <f t="shared" si="19"/>
        <v>0</v>
      </c>
      <c r="AP24" s="78">
        <f t="shared" si="20"/>
        <v>0</v>
      </c>
      <c r="AQ24" s="77">
        <f t="shared" si="21"/>
        <v>0</v>
      </c>
      <c r="AR24" s="79"/>
      <c r="AS24" s="78"/>
      <c r="AT24" s="78">
        <f t="shared" si="22"/>
        <v>0</v>
      </c>
      <c r="AU24" s="78">
        <f t="shared" si="23"/>
        <v>0</v>
      </c>
      <c r="AV24" s="78">
        <f t="shared" si="24"/>
        <v>0</v>
      </c>
      <c r="AW24" s="77">
        <f t="shared" si="25"/>
        <v>0</v>
      </c>
      <c r="AX24" s="79"/>
      <c r="AY24" s="78"/>
      <c r="AZ24" s="78">
        <f t="shared" si="26"/>
        <v>0</v>
      </c>
      <c r="BA24" s="78">
        <f t="shared" si="27"/>
        <v>0</v>
      </c>
      <c r="BB24" s="78">
        <f t="shared" si="28"/>
        <v>0</v>
      </c>
      <c r="BC24" s="77">
        <f t="shared" si="29"/>
        <v>0</v>
      </c>
      <c r="BD24" s="79"/>
      <c r="BE24" s="78"/>
      <c r="BF24" s="78">
        <f t="shared" si="30"/>
        <v>0</v>
      </c>
      <c r="BG24" s="78">
        <f t="shared" si="31"/>
        <v>0</v>
      </c>
      <c r="BH24" s="78">
        <f t="shared" si="32"/>
        <v>0</v>
      </c>
      <c r="BI24" s="77">
        <f t="shared" si="33"/>
        <v>0</v>
      </c>
      <c r="BJ24" s="79"/>
      <c r="BK24" s="78"/>
      <c r="BL24" s="78">
        <f t="shared" si="34"/>
        <v>0</v>
      </c>
      <c r="BM24" s="78">
        <f t="shared" si="35"/>
        <v>0</v>
      </c>
      <c r="BN24" s="78">
        <f t="shared" si="36"/>
        <v>0</v>
      </c>
      <c r="BO24" s="77">
        <f t="shared" si="37"/>
        <v>0</v>
      </c>
      <c r="BP24" s="79"/>
      <c r="BQ24" s="78"/>
      <c r="BR24" s="78">
        <f t="shared" si="38"/>
        <v>0</v>
      </c>
      <c r="BS24" s="78">
        <f t="shared" si="39"/>
        <v>0</v>
      </c>
      <c r="BT24" s="78">
        <f t="shared" si="40"/>
        <v>0</v>
      </c>
      <c r="BU24" s="77">
        <f t="shared" si="41"/>
        <v>0</v>
      </c>
      <c r="BV24" s="79"/>
      <c r="BW24" s="78"/>
      <c r="BX24" s="78">
        <f t="shared" si="42"/>
        <v>0</v>
      </c>
      <c r="BY24" s="78">
        <f t="shared" si="43"/>
        <v>0</v>
      </c>
      <c r="BZ24" s="78">
        <f t="shared" si="44"/>
        <v>0</v>
      </c>
      <c r="CA24" s="77">
        <f t="shared" si="45"/>
        <v>0</v>
      </c>
      <c r="CB24" s="79"/>
      <c r="CC24" s="78"/>
      <c r="CD24" s="78">
        <f t="shared" si="46"/>
        <v>0</v>
      </c>
      <c r="CE24" s="78">
        <f t="shared" si="47"/>
        <v>0</v>
      </c>
      <c r="CF24" s="78">
        <f t="shared" si="48"/>
        <v>0</v>
      </c>
      <c r="CG24" s="77">
        <f t="shared" si="49"/>
        <v>0</v>
      </c>
      <c r="CH24" s="79"/>
      <c r="CI24" s="78"/>
      <c r="CJ24" s="78">
        <f t="shared" si="50"/>
        <v>0</v>
      </c>
      <c r="CK24" s="78">
        <f t="shared" si="51"/>
        <v>0</v>
      </c>
      <c r="CL24" s="78">
        <f t="shared" si="52"/>
        <v>0</v>
      </c>
      <c r="CM24" s="77">
        <f t="shared" si="53"/>
        <v>0</v>
      </c>
      <c r="CN24" s="79"/>
      <c r="CO24" s="78"/>
      <c r="CP24" s="78">
        <f t="shared" si="54"/>
        <v>0</v>
      </c>
      <c r="CQ24" s="78">
        <f t="shared" si="55"/>
        <v>0</v>
      </c>
      <c r="CR24" s="78">
        <f t="shared" si="56"/>
        <v>0</v>
      </c>
      <c r="CS24" s="77">
        <f t="shared" si="57"/>
        <v>0</v>
      </c>
      <c r="CT24" s="79"/>
      <c r="CU24" s="78"/>
      <c r="CV24" s="78">
        <f t="shared" si="58"/>
        <v>0</v>
      </c>
      <c r="CW24" s="78">
        <f t="shared" si="59"/>
        <v>0</v>
      </c>
      <c r="CX24" s="78">
        <f t="shared" si="60"/>
        <v>0</v>
      </c>
      <c r="CY24" s="77">
        <f t="shared" si="61"/>
        <v>0</v>
      </c>
      <c r="CZ24" s="79"/>
      <c r="DA24" s="78"/>
      <c r="DB24" s="78">
        <f t="shared" si="62"/>
        <v>0</v>
      </c>
      <c r="DC24" s="78">
        <f t="shared" si="63"/>
        <v>0</v>
      </c>
      <c r="DD24" s="78">
        <f t="shared" si="64"/>
        <v>0</v>
      </c>
      <c r="DE24" s="77">
        <f t="shared" si="65"/>
        <v>0</v>
      </c>
      <c r="DF24" s="79"/>
      <c r="DG24" s="78"/>
      <c r="DH24" s="78">
        <f t="shared" si="66"/>
        <v>0</v>
      </c>
      <c r="DI24" s="78">
        <f t="shared" si="67"/>
        <v>0</v>
      </c>
      <c r="DJ24" s="78">
        <f t="shared" si="68"/>
        <v>0</v>
      </c>
      <c r="DK24" s="77">
        <f t="shared" si="69"/>
        <v>0</v>
      </c>
      <c r="DL24" s="79"/>
      <c r="DM24" s="90"/>
      <c r="DN24" s="90">
        <f t="shared" si="70"/>
        <v>0</v>
      </c>
      <c r="DO24" s="90">
        <f t="shared" si="71"/>
        <v>0</v>
      </c>
      <c r="DP24" s="90">
        <f t="shared" si="72"/>
        <v>0</v>
      </c>
      <c r="DQ24" s="94">
        <f t="shared" si="73"/>
        <v>0</v>
      </c>
      <c r="DR24" s="79"/>
      <c r="DS24" s="78"/>
      <c r="DT24" s="78">
        <f t="shared" si="74"/>
        <v>0</v>
      </c>
      <c r="DU24" s="78">
        <f t="shared" si="75"/>
        <v>0</v>
      </c>
      <c r="DV24" s="78">
        <f t="shared" si="76"/>
        <v>0</v>
      </c>
      <c r="DW24" s="77">
        <f t="shared" si="77"/>
        <v>0</v>
      </c>
      <c r="DX24" s="79"/>
      <c r="DY24" s="78"/>
      <c r="DZ24" s="78">
        <f t="shared" si="78"/>
        <v>0</v>
      </c>
      <c r="EA24" s="78">
        <f t="shared" si="79"/>
        <v>0</v>
      </c>
      <c r="EB24" s="78">
        <f t="shared" si="80"/>
        <v>0</v>
      </c>
      <c r="EC24" s="77">
        <f t="shared" si="81"/>
        <v>0</v>
      </c>
      <c r="ED24" s="79"/>
      <c r="EE24" s="78"/>
      <c r="EF24" s="78">
        <f t="shared" si="82"/>
        <v>0</v>
      </c>
      <c r="EG24" s="78">
        <f t="shared" si="83"/>
        <v>0</v>
      </c>
      <c r="EH24" s="78">
        <f t="shared" si="84"/>
        <v>0</v>
      </c>
      <c r="EI24" s="77">
        <f t="shared" si="85"/>
        <v>0</v>
      </c>
      <c r="EJ24" s="79"/>
      <c r="EK24" s="78"/>
      <c r="EL24" s="78">
        <f t="shared" si="86"/>
        <v>0</v>
      </c>
      <c r="EM24" s="78">
        <f t="shared" si="87"/>
        <v>0</v>
      </c>
      <c r="EN24" s="78">
        <f t="shared" si="88"/>
        <v>0</v>
      </c>
      <c r="EO24" s="77">
        <f t="shared" si="89"/>
        <v>0</v>
      </c>
      <c r="EP24" s="79"/>
      <c r="EQ24" s="78"/>
      <c r="ER24" s="78">
        <f t="shared" si="90"/>
        <v>0</v>
      </c>
      <c r="ES24" s="78">
        <f t="shared" si="91"/>
        <v>0</v>
      </c>
      <c r="ET24" s="78">
        <f t="shared" si="92"/>
        <v>0</v>
      </c>
      <c r="EU24" s="77">
        <f t="shared" si="93"/>
        <v>0</v>
      </c>
      <c r="EV24" s="79"/>
      <c r="EW24" s="78"/>
      <c r="EX24" s="78">
        <f t="shared" si="94"/>
        <v>0</v>
      </c>
      <c r="EY24" s="78">
        <f t="shared" si="95"/>
        <v>0</v>
      </c>
      <c r="EZ24" s="78">
        <f t="shared" si="96"/>
        <v>0</v>
      </c>
      <c r="FA24" s="77">
        <f t="shared" si="97"/>
        <v>0</v>
      </c>
      <c r="FB24" s="79"/>
      <c r="FC24" s="78"/>
      <c r="FD24" s="78">
        <f t="shared" si="98"/>
        <v>0</v>
      </c>
      <c r="FE24" s="78">
        <f t="shared" si="99"/>
        <v>0</v>
      </c>
      <c r="FF24" s="78">
        <f t="shared" si="100"/>
        <v>0</v>
      </c>
      <c r="FG24" s="77">
        <f t="shared" si="101"/>
        <v>0</v>
      </c>
      <c r="FH24" s="79"/>
      <c r="FI24" s="80"/>
      <c r="FJ24" s="78"/>
      <c r="FK24" s="78"/>
      <c r="FL24" s="78"/>
      <c r="FM24" s="77">
        <f t="shared" si="102"/>
        <v>0</v>
      </c>
    </row>
    <row r="25" spans="1:169" s="52" customFormat="1" ht="12" hidden="1">
      <c r="A25" s="51">
        <v>45017</v>
      </c>
      <c r="C25" s="77"/>
      <c r="D25" s="77"/>
      <c r="E25" s="77">
        <f t="shared" si="0"/>
        <v>0</v>
      </c>
      <c r="F25" s="77"/>
      <c r="G25" s="77"/>
      <c r="H25" s="79"/>
      <c r="I25" s="79">
        <v>0</v>
      </c>
      <c r="J25" s="79">
        <v>0</v>
      </c>
      <c r="K25" s="79">
        <f t="shared" si="127"/>
        <v>0</v>
      </c>
      <c r="L25" s="79">
        <v>0</v>
      </c>
      <c r="M25" s="77">
        <v>0</v>
      </c>
      <c r="N25" s="79"/>
      <c r="O25" s="78">
        <f t="shared" si="2"/>
        <v>0</v>
      </c>
      <c r="P25" s="80">
        <f t="shared" si="3"/>
        <v>0</v>
      </c>
      <c r="Q25" s="78">
        <f t="shared" si="4"/>
        <v>0</v>
      </c>
      <c r="R25" s="78">
        <f t="shared" si="5"/>
        <v>0</v>
      </c>
      <c r="S25" s="78">
        <f t="shared" si="5"/>
        <v>0</v>
      </c>
      <c r="T25" s="79"/>
      <c r="U25" s="78">
        <f t="shared" si="103"/>
        <v>0</v>
      </c>
      <c r="V25" s="77">
        <f t="shared" si="6"/>
        <v>0</v>
      </c>
      <c r="W25" s="78">
        <f t="shared" si="7"/>
        <v>0</v>
      </c>
      <c r="X25" s="78">
        <f t="shared" si="8"/>
        <v>0</v>
      </c>
      <c r="Y25" s="77">
        <f t="shared" si="9"/>
        <v>0</v>
      </c>
      <c r="Z25" s="79"/>
      <c r="AA25" s="78">
        <f t="shared" si="104"/>
        <v>0</v>
      </c>
      <c r="AB25" s="78">
        <f t="shared" si="10"/>
        <v>0</v>
      </c>
      <c r="AC25" s="78">
        <f t="shared" si="11"/>
        <v>0</v>
      </c>
      <c r="AD25" s="78">
        <f t="shared" si="12"/>
        <v>0</v>
      </c>
      <c r="AE25" s="77">
        <f t="shared" si="13"/>
        <v>0</v>
      </c>
      <c r="AF25" s="79"/>
      <c r="AG25" s="78">
        <f t="shared" si="105"/>
        <v>0</v>
      </c>
      <c r="AH25" s="78">
        <f t="shared" si="14"/>
        <v>0</v>
      </c>
      <c r="AI25" s="78">
        <f t="shared" si="15"/>
        <v>0</v>
      </c>
      <c r="AJ25" s="78">
        <f t="shared" si="16"/>
        <v>0</v>
      </c>
      <c r="AK25" s="77">
        <f t="shared" si="17"/>
        <v>0</v>
      </c>
      <c r="AL25" s="79"/>
      <c r="AM25" s="78">
        <f t="shared" si="106"/>
        <v>0</v>
      </c>
      <c r="AN25" s="78">
        <f t="shared" si="18"/>
        <v>0</v>
      </c>
      <c r="AO25" s="78">
        <f t="shared" si="19"/>
        <v>0</v>
      </c>
      <c r="AP25" s="78">
        <f t="shared" si="20"/>
        <v>0</v>
      </c>
      <c r="AQ25" s="77">
        <f t="shared" si="21"/>
        <v>0</v>
      </c>
      <c r="AR25" s="79"/>
      <c r="AS25" s="78">
        <f t="shared" si="107"/>
        <v>0</v>
      </c>
      <c r="AT25" s="78">
        <f t="shared" si="22"/>
        <v>0</v>
      </c>
      <c r="AU25" s="78">
        <f t="shared" si="23"/>
        <v>0</v>
      </c>
      <c r="AV25" s="78">
        <f t="shared" si="24"/>
        <v>0</v>
      </c>
      <c r="AW25" s="77">
        <f t="shared" si="25"/>
        <v>0</v>
      </c>
      <c r="AX25" s="79"/>
      <c r="AY25" s="78">
        <f t="shared" si="108"/>
        <v>0</v>
      </c>
      <c r="AZ25" s="78">
        <f t="shared" si="26"/>
        <v>0</v>
      </c>
      <c r="BA25" s="78">
        <f t="shared" si="27"/>
        <v>0</v>
      </c>
      <c r="BB25" s="78">
        <f t="shared" si="28"/>
        <v>0</v>
      </c>
      <c r="BC25" s="77">
        <f t="shared" si="29"/>
        <v>0</v>
      </c>
      <c r="BD25" s="79"/>
      <c r="BE25" s="78">
        <f t="shared" si="109"/>
        <v>0</v>
      </c>
      <c r="BF25" s="78">
        <f t="shared" si="30"/>
        <v>0</v>
      </c>
      <c r="BG25" s="78">
        <f t="shared" si="31"/>
        <v>0</v>
      </c>
      <c r="BH25" s="78">
        <f t="shared" si="32"/>
        <v>0</v>
      </c>
      <c r="BI25" s="77">
        <f t="shared" si="33"/>
        <v>0</v>
      </c>
      <c r="BJ25" s="79"/>
      <c r="BK25" s="78">
        <f t="shared" si="110"/>
        <v>0</v>
      </c>
      <c r="BL25" s="78">
        <f t="shared" si="34"/>
        <v>0</v>
      </c>
      <c r="BM25" s="78">
        <f t="shared" si="35"/>
        <v>0</v>
      </c>
      <c r="BN25" s="78">
        <f t="shared" si="36"/>
        <v>0</v>
      </c>
      <c r="BO25" s="77">
        <f t="shared" si="37"/>
        <v>0</v>
      </c>
      <c r="BP25" s="79"/>
      <c r="BQ25" s="78">
        <f t="shared" si="111"/>
        <v>0</v>
      </c>
      <c r="BR25" s="78">
        <f t="shared" si="38"/>
        <v>0</v>
      </c>
      <c r="BS25" s="78">
        <f t="shared" si="39"/>
        <v>0</v>
      </c>
      <c r="BT25" s="78">
        <f t="shared" si="40"/>
        <v>0</v>
      </c>
      <c r="BU25" s="77">
        <f t="shared" si="41"/>
        <v>0</v>
      </c>
      <c r="BV25" s="79"/>
      <c r="BW25" s="78">
        <f t="shared" si="112"/>
        <v>0</v>
      </c>
      <c r="BX25" s="78">
        <f t="shared" si="42"/>
        <v>0</v>
      </c>
      <c r="BY25" s="78">
        <f t="shared" si="43"/>
        <v>0</v>
      </c>
      <c r="BZ25" s="78">
        <f t="shared" si="44"/>
        <v>0</v>
      </c>
      <c r="CA25" s="77">
        <f t="shared" si="45"/>
        <v>0</v>
      </c>
      <c r="CB25" s="79"/>
      <c r="CC25" s="78">
        <f t="shared" si="113"/>
        <v>0</v>
      </c>
      <c r="CD25" s="78">
        <f t="shared" si="46"/>
        <v>0</v>
      </c>
      <c r="CE25" s="78">
        <f t="shared" si="47"/>
        <v>0</v>
      </c>
      <c r="CF25" s="78">
        <f t="shared" si="48"/>
        <v>0</v>
      </c>
      <c r="CG25" s="77">
        <f t="shared" si="49"/>
        <v>0</v>
      </c>
      <c r="CH25" s="79"/>
      <c r="CI25" s="78">
        <f t="shared" si="114"/>
        <v>0</v>
      </c>
      <c r="CJ25" s="78">
        <f t="shared" si="50"/>
        <v>0</v>
      </c>
      <c r="CK25" s="78">
        <f t="shared" si="51"/>
        <v>0</v>
      </c>
      <c r="CL25" s="78">
        <f t="shared" si="52"/>
        <v>0</v>
      </c>
      <c r="CM25" s="77">
        <f t="shared" si="53"/>
        <v>0</v>
      </c>
      <c r="CN25" s="79"/>
      <c r="CO25" s="78">
        <f t="shared" si="115"/>
        <v>0</v>
      </c>
      <c r="CP25" s="78">
        <f t="shared" si="54"/>
        <v>0</v>
      </c>
      <c r="CQ25" s="78">
        <f t="shared" si="55"/>
        <v>0</v>
      </c>
      <c r="CR25" s="78">
        <f t="shared" si="56"/>
        <v>0</v>
      </c>
      <c r="CS25" s="77">
        <f t="shared" si="57"/>
        <v>0</v>
      </c>
      <c r="CT25" s="79"/>
      <c r="CU25" s="78">
        <f t="shared" si="116"/>
        <v>0</v>
      </c>
      <c r="CV25" s="78">
        <f t="shared" si="58"/>
        <v>0</v>
      </c>
      <c r="CW25" s="78">
        <f t="shared" si="59"/>
        <v>0</v>
      </c>
      <c r="CX25" s="78">
        <f t="shared" si="60"/>
        <v>0</v>
      </c>
      <c r="CY25" s="77">
        <f t="shared" si="61"/>
        <v>0</v>
      </c>
      <c r="CZ25" s="79"/>
      <c r="DA25" s="78">
        <f t="shared" si="117"/>
        <v>0</v>
      </c>
      <c r="DB25" s="78">
        <f t="shared" si="62"/>
        <v>0</v>
      </c>
      <c r="DC25" s="78">
        <f t="shared" si="63"/>
        <v>0</v>
      </c>
      <c r="DD25" s="78">
        <f t="shared" si="64"/>
        <v>0</v>
      </c>
      <c r="DE25" s="77">
        <f t="shared" si="65"/>
        <v>0</v>
      </c>
      <c r="DF25" s="79"/>
      <c r="DG25" s="78">
        <f t="shared" si="118"/>
        <v>0</v>
      </c>
      <c r="DH25" s="78">
        <f t="shared" si="66"/>
        <v>0</v>
      </c>
      <c r="DI25" s="78">
        <f t="shared" si="67"/>
        <v>0</v>
      </c>
      <c r="DJ25" s="78">
        <f t="shared" si="68"/>
        <v>0</v>
      </c>
      <c r="DK25" s="77">
        <f t="shared" si="69"/>
        <v>0</v>
      </c>
      <c r="DL25" s="79"/>
      <c r="DM25" s="90">
        <f t="shared" si="119"/>
        <v>0</v>
      </c>
      <c r="DN25" s="90">
        <f t="shared" si="70"/>
        <v>0</v>
      </c>
      <c r="DO25" s="90">
        <f t="shared" si="71"/>
        <v>0</v>
      </c>
      <c r="DP25" s="90">
        <f t="shared" si="72"/>
        <v>0</v>
      </c>
      <c r="DQ25" s="94">
        <f t="shared" si="73"/>
        <v>0</v>
      </c>
      <c r="DR25" s="79"/>
      <c r="DS25" s="78">
        <f t="shared" si="120"/>
        <v>0</v>
      </c>
      <c r="DT25" s="78">
        <f t="shared" si="74"/>
        <v>0</v>
      </c>
      <c r="DU25" s="78">
        <f t="shared" si="75"/>
        <v>0</v>
      </c>
      <c r="DV25" s="78">
        <f t="shared" si="76"/>
        <v>0</v>
      </c>
      <c r="DW25" s="77">
        <f t="shared" si="77"/>
        <v>0</v>
      </c>
      <c r="DX25" s="79"/>
      <c r="DY25" s="78">
        <f t="shared" si="121"/>
        <v>0</v>
      </c>
      <c r="DZ25" s="78">
        <f t="shared" si="78"/>
        <v>0</v>
      </c>
      <c r="EA25" s="78">
        <f t="shared" si="79"/>
        <v>0</v>
      </c>
      <c r="EB25" s="78">
        <f t="shared" si="80"/>
        <v>0</v>
      </c>
      <c r="EC25" s="77">
        <f t="shared" si="81"/>
        <v>0</v>
      </c>
      <c r="ED25" s="79"/>
      <c r="EE25" s="78">
        <f t="shared" si="122"/>
        <v>0</v>
      </c>
      <c r="EF25" s="78">
        <f t="shared" si="82"/>
        <v>0</v>
      </c>
      <c r="EG25" s="78">
        <f t="shared" si="83"/>
        <v>0</v>
      </c>
      <c r="EH25" s="78">
        <f t="shared" si="84"/>
        <v>0</v>
      </c>
      <c r="EI25" s="77">
        <f t="shared" si="85"/>
        <v>0</v>
      </c>
      <c r="EJ25" s="79"/>
      <c r="EK25" s="78">
        <f t="shared" si="123"/>
        <v>0</v>
      </c>
      <c r="EL25" s="78">
        <f t="shared" si="86"/>
        <v>0</v>
      </c>
      <c r="EM25" s="78">
        <f t="shared" si="87"/>
        <v>0</v>
      </c>
      <c r="EN25" s="78">
        <f t="shared" si="88"/>
        <v>0</v>
      </c>
      <c r="EO25" s="77">
        <f t="shared" si="89"/>
        <v>0</v>
      </c>
      <c r="EP25" s="79"/>
      <c r="EQ25" s="78">
        <f t="shared" si="124"/>
        <v>0</v>
      </c>
      <c r="ER25" s="78">
        <f t="shared" si="90"/>
        <v>0</v>
      </c>
      <c r="ES25" s="78">
        <f t="shared" si="91"/>
        <v>0</v>
      </c>
      <c r="ET25" s="78">
        <f t="shared" si="92"/>
        <v>0</v>
      </c>
      <c r="EU25" s="77">
        <f t="shared" si="93"/>
        <v>0</v>
      </c>
      <c r="EV25" s="79"/>
      <c r="EW25" s="78">
        <f t="shared" si="125"/>
        <v>0</v>
      </c>
      <c r="EX25" s="78">
        <f t="shared" si="94"/>
        <v>0</v>
      </c>
      <c r="EY25" s="78">
        <f t="shared" si="95"/>
        <v>0</v>
      </c>
      <c r="EZ25" s="78">
        <f t="shared" si="96"/>
        <v>0</v>
      </c>
      <c r="FA25" s="77">
        <f t="shared" si="97"/>
        <v>0</v>
      </c>
      <c r="FB25" s="79"/>
      <c r="FC25" s="78">
        <f t="shared" si="126"/>
        <v>0</v>
      </c>
      <c r="FD25" s="78">
        <f t="shared" si="98"/>
        <v>0</v>
      </c>
      <c r="FE25" s="78">
        <f t="shared" si="99"/>
        <v>0</v>
      </c>
      <c r="FF25" s="78">
        <f t="shared" si="100"/>
        <v>0</v>
      </c>
      <c r="FG25" s="77">
        <f t="shared" si="101"/>
        <v>0</v>
      </c>
      <c r="FH25" s="79"/>
      <c r="FI25" s="80"/>
      <c r="FJ25" s="78"/>
      <c r="FK25" s="78"/>
      <c r="FL25" s="78"/>
      <c r="FM25" s="77">
        <f t="shared" si="102"/>
        <v>0</v>
      </c>
    </row>
    <row r="26" spans="1:169" s="52" customFormat="1" ht="12" hidden="1">
      <c r="A26" s="51">
        <v>45200</v>
      </c>
      <c r="C26" s="77"/>
      <c r="D26" s="77"/>
      <c r="E26" s="77">
        <f t="shared" si="0"/>
        <v>0</v>
      </c>
      <c r="F26" s="77"/>
      <c r="G26" s="77"/>
      <c r="H26" s="79"/>
      <c r="I26" s="79"/>
      <c r="J26" s="79">
        <v>0</v>
      </c>
      <c r="K26" s="79">
        <f t="shared" si="127"/>
        <v>0</v>
      </c>
      <c r="L26" s="79">
        <v>0</v>
      </c>
      <c r="M26" s="77">
        <v>0</v>
      </c>
      <c r="N26" s="79"/>
      <c r="O26" s="78">
        <f t="shared" si="2"/>
        <v>0</v>
      </c>
      <c r="P26" s="80">
        <f t="shared" si="3"/>
        <v>0</v>
      </c>
      <c r="Q26" s="78">
        <f t="shared" si="4"/>
        <v>0</v>
      </c>
      <c r="R26" s="78">
        <f t="shared" si="5"/>
        <v>0</v>
      </c>
      <c r="S26" s="78">
        <f t="shared" si="5"/>
        <v>0</v>
      </c>
      <c r="T26" s="79"/>
      <c r="U26" s="78"/>
      <c r="V26" s="77">
        <f t="shared" si="6"/>
        <v>0</v>
      </c>
      <c r="W26" s="78">
        <f t="shared" si="7"/>
        <v>0</v>
      </c>
      <c r="X26" s="78">
        <f t="shared" si="8"/>
        <v>0</v>
      </c>
      <c r="Y26" s="77">
        <f t="shared" si="9"/>
        <v>0</v>
      </c>
      <c r="Z26" s="79"/>
      <c r="AA26" s="78"/>
      <c r="AB26" s="78">
        <f t="shared" si="10"/>
        <v>0</v>
      </c>
      <c r="AC26" s="78">
        <f t="shared" si="11"/>
        <v>0</v>
      </c>
      <c r="AD26" s="78">
        <f t="shared" si="12"/>
        <v>0</v>
      </c>
      <c r="AE26" s="77">
        <f t="shared" si="13"/>
        <v>0</v>
      </c>
      <c r="AF26" s="79"/>
      <c r="AG26" s="78"/>
      <c r="AH26" s="78">
        <f t="shared" si="14"/>
        <v>0</v>
      </c>
      <c r="AI26" s="78">
        <f t="shared" si="15"/>
        <v>0</v>
      </c>
      <c r="AJ26" s="78">
        <f t="shared" si="16"/>
        <v>0</v>
      </c>
      <c r="AK26" s="77">
        <f t="shared" si="17"/>
        <v>0</v>
      </c>
      <c r="AL26" s="79"/>
      <c r="AM26" s="78"/>
      <c r="AN26" s="78">
        <f t="shared" si="18"/>
        <v>0</v>
      </c>
      <c r="AO26" s="78">
        <f t="shared" si="19"/>
        <v>0</v>
      </c>
      <c r="AP26" s="78">
        <f t="shared" si="20"/>
        <v>0</v>
      </c>
      <c r="AQ26" s="77">
        <f t="shared" si="21"/>
        <v>0</v>
      </c>
      <c r="AR26" s="79"/>
      <c r="AS26" s="78"/>
      <c r="AT26" s="78">
        <f t="shared" si="22"/>
        <v>0</v>
      </c>
      <c r="AU26" s="78">
        <f t="shared" si="23"/>
        <v>0</v>
      </c>
      <c r="AV26" s="78">
        <f t="shared" si="24"/>
        <v>0</v>
      </c>
      <c r="AW26" s="77">
        <f t="shared" si="25"/>
        <v>0</v>
      </c>
      <c r="AX26" s="79"/>
      <c r="AY26" s="78"/>
      <c r="AZ26" s="78">
        <f t="shared" si="26"/>
        <v>0</v>
      </c>
      <c r="BA26" s="78">
        <f t="shared" si="27"/>
        <v>0</v>
      </c>
      <c r="BB26" s="78">
        <f t="shared" si="28"/>
        <v>0</v>
      </c>
      <c r="BC26" s="77">
        <f t="shared" si="29"/>
        <v>0</v>
      </c>
      <c r="BD26" s="79"/>
      <c r="BE26" s="78"/>
      <c r="BF26" s="78">
        <f t="shared" si="30"/>
        <v>0</v>
      </c>
      <c r="BG26" s="78">
        <f t="shared" si="31"/>
        <v>0</v>
      </c>
      <c r="BH26" s="78">
        <f t="shared" si="32"/>
        <v>0</v>
      </c>
      <c r="BI26" s="77">
        <f t="shared" si="33"/>
        <v>0</v>
      </c>
      <c r="BJ26" s="79"/>
      <c r="BK26" s="78"/>
      <c r="BL26" s="78">
        <f t="shared" si="34"/>
        <v>0</v>
      </c>
      <c r="BM26" s="78">
        <f t="shared" si="35"/>
        <v>0</v>
      </c>
      <c r="BN26" s="78">
        <f t="shared" si="36"/>
        <v>0</v>
      </c>
      <c r="BO26" s="77">
        <f t="shared" si="37"/>
        <v>0</v>
      </c>
      <c r="BP26" s="79"/>
      <c r="BQ26" s="78"/>
      <c r="BR26" s="78">
        <f t="shared" si="38"/>
        <v>0</v>
      </c>
      <c r="BS26" s="78">
        <f t="shared" si="39"/>
        <v>0</v>
      </c>
      <c r="BT26" s="78">
        <f t="shared" si="40"/>
        <v>0</v>
      </c>
      <c r="BU26" s="77">
        <f t="shared" si="41"/>
        <v>0</v>
      </c>
      <c r="BV26" s="79"/>
      <c r="BW26" s="78"/>
      <c r="BX26" s="78">
        <f t="shared" si="42"/>
        <v>0</v>
      </c>
      <c r="BY26" s="78">
        <f t="shared" si="43"/>
        <v>0</v>
      </c>
      <c r="BZ26" s="78">
        <f t="shared" si="44"/>
        <v>0</v>
      </c>
      <c r="CA26" s="77">
        <f t="shared" si="45"/>
        <v>0</v>
      </c>
      <c r="CB26" s="79"/>
      <c r="CC26" s="78"/>
      <c r="CD26" s="78">
        <f t="shared" si="46"/>
        <v>0</v>
      </c>
      <c r="CE26" s="78">
        <f t="shared" si="47"/>
        <v>0</v>
      </c>
      <c r="CF26" s="78">
        <f t="shared" si="48"/>
        <v>0</v>
      </c>
      <c r="CG26" s="77">
        <f t="shared" si="49"/>
        <v>0</v>
      </c>
      <c r="CH26" s="79"/>
      <c r="CI26" s="78"/>
      <c r="CJ26" s="78">
        <f t="shared" si="50"/>
        <v>0</v>
      </c>
      <c r="CK26" s="78">
        <f t="shared" si="51"/>
        <v>0</v>
      </c>
      <c r="CL26" s="78">
        <f t="shared" si="52"/>
        <v>0</v>
      </c>
      <c r="CM26" s="77">
        <f t="shared" si="53"/>
        <v>0</v>
      </c>
      <c r="CN26" s="79"/>
      <c r="CO26" s="78"/>
      <c r="CP26" s="78">
        <f t="shared" si="54"/>
        <v>0</v>
      </c>
      <c r="CQ26" s="78">
        <f t="shared" si="55"/>
        <v>0</v>
      </c>
      <c r="CR26" s="78">
        <f t="shared" si="56"/>
        <v>0</v>
      </c>
      <c r="CS26" s="77">
        <f t="shared" si="57"/>
        <v>0</v>
      </c>
      <c r="CT26" s="79"/>
      <c r="CU26" s="78"/>
      <c r="CV26" s="78">
        <f t="shared" si="58"/>
        <v>0</v>
      </c>
      <c r="CW26" s="78">
        <f t="shared" si="59"/>
        <v>0</v>
      </c>
      <c r="CX26" s="78">
        <f t="shared" si="60"/>
        <v>0</v>
      </c>
      <c r="CY26" s="77">
        <f t="shared" si="61"/>
        <v>0</v>
      </c>
      <c r="CZ26" s="79"/>
      <c r="DA26" s="78"/>
      <c r="DB26" s="78">
        <f t="shared" si="62"/>
        <v>0</v>
      </c>
      <c r="DC26" s="78">
        <f t="shared" si="63"/>
        <v>0</v>
      </c>
      <c r="DD26" s="78">
        <f t="shared" si="64"/>
        <v>0</v>
      </c>
      <c r="DE26" s="77">
        <f t="shared" si="65"/>
        <v>0</v>
      </c>
      <c r="DF26" s="79"/>
      <c r="DG26" s="78"/>
      <c r="DH26" s="78">
        <f t="shared" si="66"/>
        <v>0</v>
      </c>
      <c r="DI26" s="78">
        <f t="shared" si="67"/>
        <v>0</v>
      </c>
      <c r="DJ26" s="78">
        <f t="shared" si="68"/>
        <v>0</v>
      </c>
      <c r="DK26" s="77">
        <f t="shared" si="69"/>
        <v>0</v>
      </c>
      <c r="DL26" s="79"/>
      <c r="DM26" s="90"/>
      <c r="DN26" s="90">
        <f t="shared" si="70"/>
        <v>0</v>
      </c>
      <c r="DO26" s="90">
        <f t="shared" si="71"/>
        <v>0</v>
      </c>
      <c r="DP26" s="90">
        <f t="shared" si="72"/>
        <v>0</v>
      </c>
      <c r="DQ26" s="94">
        <f t="shared" si="73"/>
        <v>0</v>
      </c>
      <c r="DR26" s="79"/>
      <c r="DS26" s="78"/>
      <c r="DT26" s="78">
        <f t="shared" si="74"/>
        <v>0</v>
      </c>
      <c r="DU26" s="78">
        <f t="shared" si="75"/>
        <v>0</v>
      </c>
      <c r="DV26" s="78">
        <f t="shared" si="76"/>
        <v>0</v>
      </c>
      <c r="DW26" s="77">
        <f t="shared" si="77"/>
        <v>0</v>
      </c>
      <c r="DX26" s="79"/>
      <c r="DY26" s="78"/>
      <c r="DZ26" s="78">
        <f t="shared" si="78"/>
        <v>0</v>
      </c>
      <c r="EA26" s="78">
        <f t="shared" si="79"/>
        <v>0</v>
      </c>
      <c r="EB26" s="78">
        <f t="shared" si="80"/>
        <v>0</v>
      </c>
      <c r="EC26" s="77">
        <f t="shared" si="81"/>
        <v>0</v>
      </c>
      <c r="ED26" s="79"/>
      <c r="EE26" s="78"/>
      <c r="EF26" s="78">
        <f t="shared" si="82"/>
        <v>0</v>
      </c>
      <c r="EG26" s="78">
        <f t="shared" si="83"/>
        <v>0</v>
      </c>
      <c r="EH26" s="78">
        <f t="shared" si="84"/>
        <v>0</v>
      </c>
      <c r="EI26" s="77">
        <f t="shared" si="85"/>
        <v>0</v>
      </c>
      <c r="EJ26" s="79"/>
      <c r="EK26" s="78"/>
      <c r="EL26" s="78">
        <f t="shared" si="86"/>
        <v>0</v>
      </c>
      <c r="EM26" s="78">
        <f t="shared" si="87"/>
        <v>0</v>
      </c>
      <c r="EN26" s="78">
        <f t="shared" si="88"/>
        <v>0</v>
      </c>
      <c r="EO26" s="77">
        <f t="shared" si="89"/>
        <v>0</v>
      </c>
      <c r="EP26" s="79"/>
      <c r="EQ26" s="78"/>
      <c r="ER26" s="78">
        <f t="shared" si="90"/>
        <v>0</v>
      </c>
      <c r="ES26" s="78">
        <f t="shared" si="91"/>
        <v>0</v>
      </c>
      <c r="ET26" s="78">
        <f t="shared" si="92"/>
        <v>0</v>
      </c>
      <c r="EU26" s="77">
        <f t="shared" si="93"/>
        <v>0</v>
      </c>
      <c r="EV26" s="79"/>
      <c r="EW26" s="78"/>
      <c r="EX26" s="78">
        <f t="shared" si="94"/>
        <v>0</v>
      </c>
      <c r="EY26" s="78">
        <f t="shared" si="95"/>
        <v>0</v>
      </c>
      <c r="EZ26" s="78">
        <f t="shared" si="96"/>
        <v>0</v>
      </c>
      <c r="FA26" s="77">
        <f t="shared" si="97"/>
        <v>0</v>
      </c>
      <c r="FB26" s="79"/>
      <c r="FC26" s="78"/>
      <c r="FD26" s="78">
        <f t="shared" si="98"/>
        <v>0</v>
      </c>
      <c r="FE26" s="78">
        <f t="shared" si="99"/>
        <v>0</v>
      </c>
      <c r="FF26" s="78">
        <f t="shared" si="100"/>
        <v>0</v>
      </c>
      <c r="FG26" s="77">
        <f t="shared" si="101"/>
        <v>0</v>
      </c>
      <c r="FH26" s="79"/>
      <c r="FI26" s="80"/>
      <c r="FJ26" s="78"/>
      <c r="FK26" s="78"/>
      <c r="FL26" s="78"/>
      <c r="FM26" s="77">
        <f t="shared" si="102"/>
        <v>0</v>
      </c>
    </row>
    <row r="27" spans="1:169" s="52" customFormat="1" ht="12" hidden="1">
      <c r="A27" s="51">
        <v>45383</v>
      </c>
      <c r="C27" s="77"/>
      <c r="D27" s="77"/>
      <c r="E27" s="77">
        <f t="shared" si="0"/>
        <v>0</v>
      </c>
      <c r="F27" s="77"/>
      <c r="G27" s="77"/>
      <c r="H27" s="79"/>
      <c r="I27" s="79">
        <v>0</v>
      </c>
      <c r="J27" s="79">
        <v>0</v>
      </c>
      <c r="K27" s="79">
        <f t="shared" si="127"/>
        <v>0</v>
      </c>
      <c r="L27" s="79">
        <v>0</v>
      </c>
      <c r="M27" s="77">
        <v>0</v>
      </c>
      <c r="N27" s="79"/>
      <c r="O27" s="78">
        <f t="shared" si="2"/>
        <v>0</v>
      </c>
      <c r="P27" s="80">
        <f t="shared" si="3"/>
        <v>0</v>
      </c>
      <c r="Q27" s="78">
        <f t="shared" si="4"/>
        <v>0</v>
      </c>
      <c r="R27" s="78">
        <f t="shared" si="5"/>
        <v>0</v>
      </c>
      <c r="S27" s="78">
        <f t="shared" si="5"/>
        <v>0</v>
      </c>
      <c r="T27" s="79"/>
      <c r="U27" s="78">
        <f t="shared" si="103"/>
        <v>0</v>
      </c>
      <c r="V27" s="77">
        <f t="shared" si="6"/>
        <v>0</v>
      </c>
      <c r="W27" s="78">
        <f t="shared" si="7"/>
        <v>0</v>
      </c>
      <c r="X27" s="78">
        <f t="shared" si="8"/>
        <v>0</v>
      </c>
      <c r="Y27" s="77">
        <f t="shared" si="9"/>
        <v>0</v>
      </c>
      <c r="Z27" s="79"/>
      <c r="AA27" s="78">
        <f t="shared" si="104"/>
        <v>0</v>
      </c>
      <c r="AB27" s="78">
        <f t="shared" si="10"/>
        <v>0</v>
      </c>
      <c r="AC27" s="78">
        <f t="shared" si="11"/>
        <v>0</v>
      </c>
      <c r="AD27" s="78">
        <f t="shared" si="12"/>
        <v>0</v>
      </c>
      <c r="AE27" s="77">
        <f t="shared" si="13"/>
        <v>0</v>
      </c>
      <c r="AF27" s="79"/>
      <c r="AG27" s="78">
        <f t="shared" si="105"/>
        <v>0</v>
      </c>
      <c r="AH27" s="78">
        <f t="shared" si="14"/>
        <v>0</v>
      </c>
      <c r="AI27" s="78">
        <f t="shared" si="15"/>
        <v>0</v>
      </c>
      <c r="AJ27" s="78">
        <f t="shared" si="16"/>
        <v>0</v>
      </c>
      <c r="AK27" s="77">
        <f t="shared" si="17"/>
        <v>0</v>
      </c>
      <c r="AL27" s="79"/>
      <c r="AM27" s="78">
        <f t="shared" si="106"/>
        <v>0</v>
      </c>
      <c r="AN27" s="78">
        <f t="shared" si="18"/>
        <v>0</v>
      </c>
      <c r="AO27" s="78">
        <f t="shared" si="19"/>
        <v>0</v>
      </c>
      <c r="AP27" s="78">
        <f t="shared" si="20"/>
        <v>0</v>
      </c>
      <c r="AQ27" s="77">
        <f t="shared" si="21"/>
        <v>0</v>
      </c>
      <c r="AR27" s="79"/>
      <c r="AS27" s="78">
        <f t="shared" si="107"/>
        <v>0</v>
      </c>
      <c r="AT27" s="78">
        <f t="shared" si="22"/>
        <v>0</v>
      </c>
      <c r="AU27" s="78">
        <f t="shared" si="23"/>
        <v>0</v>
      </c>
      <c r="AV27" s="78">
        <f t="shared" si="24"/>
        <v>0</v>
      </c>
      <c r="AW27" s="77">
        <f t="shared" si="25"/>
        <v>0</v>
      </c>
      <c r="AX27" s="79"/>
      <c r="AY27" s="78">
        <f t="shared" si="108"/>
        <v>0</v>
      </c>
      <c r="AZ27" s="78">
        <f t="shared" si="26"/>
        <v>0</v>
      </c>
      <c r="BA27" s="78">
        <f t="shared" si="27"/>
        <v>0</v>
      </c>
      <c r="BB27" s="78">
        <f t="shared" si="28"/>
        <v>0</v>
      </c>
      <c r="BC27" s="77">
        <f t="shared" si="29"/>
        <v>0</v>
      </c>
      <c r="BD27" s="79"/>
      <c r="BE27" s="78">
        <f t="shared" si="109"/>
        <v>0</v>
      </c>
      <c r="BF27" s="78">
        <f t="shared" si="30"/>
        <v>0</v>
      </c>
      <c r="BG27" s="78">
        <f t="shared" si="31"/>
        <v>0</v>
      </c>
      <c r="BH27" s="78">
        <f t="shared" si="32"/>
        <v>0</v>
      </c>
      <c r="BI27" s="77">
        <f t="shared" si="33"/>
        <v>0</v>
      </c>
      <c r="BJ27" s="79"/>
      <c r="BK27" s="78">
        <f t="shared" si="110"/>
        <v>0</v>
      </c>
      <c r="BL27" s="78">
        <f t="shared" si="34"/>
        <v>0</v>
      </c>
      <c r="BM27" s="78">
        <f t="shared" si="35"/>
        <v>0</v>
      </c>
      <c r="BN27" s="78">
        <f t="shared" si="36"/>
        <v>0</v>
      </c>
      <c r="BO27" s="77">
        <f t="shared" si="37"/>
        <v>0</v>
      </c>
      <c r="BP27" s="79"/>
      <c r="BQ27" s="78">
        <f t="shared" si="111"/>
        <v>0</v>
      </c>
      <c r="BR27" s="78">
        <f t="shared" si="38"/>
        <v>0</v>
      </c>
      <c r="BS27" s="78">
        <f t="shared" si="39"/>
        <v>0</v>
      </c>
      <c r="BT27" s="78">
        <f t="shared" si="40"/>
        <v>0</v>
      </c>
      <c r="BU27" s="77">
        <f t="shared" si="41"/>
        <v>0</v>
      </c>
      <c r="BV27" s="79"/>
      <c r="BW27" s="78">
        <f t="shared" si="112"/>
        <v>0</v>
      </c>
      <c r="BX27" s="78">
        <f t="shared" si="42"/>
        <v>0</v>
      </c>
      <c r="BY27" s="78">
        <f t="shared" si="43"/>
        <v>0</v>
      </c>
      <c r="BZ27" s="78">
        <f t="shared" si="44"/>
        <v>0</v>
      </c>
      <c r="CA27" s="77">
        <f t="shared" si="45"/>
        <v>0</v>
      </c>
      <c r="CB27" s="79"/>
      <c r="CC27" s="78">
        <f t="shared" si="113"/>
        <v>0</v>
      </c>
      <c r="CD27" s="78">
        <f t="shared" si="46"/>
        <v>0</v>
      </c>
      <c r="CE27" s="78">
        <f t="shared" si="47"/>
        <v>0</v>
      </c>
      <c r="CF27" s="78">
        <f t="shared" si="48"/>
        <v>0</v>
      </c>
      <c r="CG27" s="77">
        <f t="shared" si="49"/>
        <v>0</v>
      </c>
      <c r="CH27" s="79"/>
      <c r="CI27" s="78">
        <f t="shared" si="114"/>
        <v>0</v>
      </c>
      <c r="CJ27" s="78">
        <f t="shared" si="50"/>
        <v>0</v>
      </c>
      <c r="CK27" s="78">
        <f t="shared" si="51"/>
        <v>0</v>
      </c>
      <c r="CL27" s="78">
        <f t="shared" si="52"/>
        <v>0</v>
      </c>
      <c r="CM27" s="77">
        <f t="shared" si="53"/>
        <v>0</v>
      </c>
      <c r="CN27" s="79"/>
      <c r="CO27" s="78">
        <f t="shared" si="115"/>
        <v>0</v>
      </c>
      <c r="CP27" s="78">
        <f t="shared" si="54"/>
        <v>0</v>
      </c>
      <c r="CQ27" s="78">
        <f t="shared" si="55"/>
        <v>0</v>
      </c>
      <c r="CR27" s="78">
        <f t="shared" si="56"/>
        <v>0</v>
      </c>
      <c r="CS27" s="77">
        <f t="shared" si="57"/>
        <v>0</v>
      </c>
      <c r="CT27" s="79"/>
      <c r="CU27" s="78">
        <f t="shared" si="116"/>
        <v>0</v>
      </c>
      <c r="CV27" s="78">
        <f t="shared" si="58"/>
        <v>0</v>
      </c>
      <c r="CW27" s="78">
        <f t="shared" si="59"/>
        <v>0</v>
      </c>
      <c r="CX27" s="78">
        <f t="shared" si="60"/>
        <v>0</v>
      </c>
      <c r="CY27" s="77">
        <f t="shared" si="61"/>
        <v>0</v>
      </c>
      <c r="CZ27" s="79"/>
      <c r="DA27" s="78">
        <f t="shared" si="117"/>
        <v>0</v>
      </c>
      <c r="DB27" s="78">
        <f t="shared" si="62"/>
        <v>0</v>
      </c>
      <c r="DC27" s="78">
        <f t="shared" si="63"/>
        <v>0</v>
      </c>
      <c r="DD27" s="78">
        <f t="shared" si="64"/>
        <v>0</v>
      </c>
      <c r="DE27" s="77">
        <f t="shared" si="65"/>
        <v>0</v>
      </c>
      <c r="DF27" s="79"/>
      <c r="DG27" s="78">
        <f t="shared" si="118"/>
        <v>0</v>
      </c>
      <c r="DH27" s="78">
        <f t="shared" si="66"/>
        <v>0</v>
      </c>
      <c r="DI27" s="78">
        <f t="shared" si="67"/>
        <v>0</v>
      </c>
      <c r="DJ27" s="78">
        <f t="shared" si="68"/>
        <v>0</v>
      </c>
      <c r="DK27" s="77">
        <f t="shared" si="69"/>
        <v>0</v>
      </c>
      <c r="DL27" s="79"/>
      <c r="DM27" s="90">
        <f t="shared" si="119"/>
        <v>0</v>
      </c>
      <c r="DN27" s="90">
        <f t="shared" si="70"/>
        <v>0</v>
      </c>
      <c r="DO27" s="90">
        <f t="shared" si="71"/>
        <v>0</v>
      </c>
      <c r="DP27" s="90">
        <f t="shared" si="72"/>
        <v>0</v>
      </c>
      <c r="DQ27" s="94">
        <f t="shared" si="73"/>
        <v>0</v>
      </c>
      <c r="DR27" s="79"/>
      <c r="DS27" s="78">
        <f t="shared" si="120"/>
        <v>0</v>
      </c>
      <c r="DT27" s="78">
        <f t="shared" si="74"/>
        <v>0</v>
      </c>
      <c r="DU27" s="78">
        <f t="shared" si="75"/>
        <v>0</v>
      </c>
      <c r="DV27" s="78">
        <f t="shared" si="76"/>
        <v>0</v>
      </c>
      <c r="DW27" s="77">
        <f t="shared" si="77"/>
        <v>0</v>
      </c>
      <c r="DX27" s="79"/>
      <c r="DY27" s="78">
        <f t="shared" si="121"/>
        <v>0</v>
      </c>
      <c r="DZ27" s="78">
        <f t="shared" si="78"/>
        <v>0</v>
      </c>
      <c r="EA27" s="78">
        <f t="shared" si="79"/>
        <v>0</v>
      </c>
      <c r="EB27" s="78">
        <f t="shared" si="80"/>
        <v>0</v>
      </c>
      <c r="EC27" s="77">
        <f t="shared" si="81"/>
        <v>0</v>
      </c>
      <c r="ED27" s="79"/>
      <c r="EE27" s="78">
        <f t="shared" si="122"/>
        <v>0</v>
      </c>
      <c r="EF27" s="78">
        <f t="shared" si="82"/>
        <v>0</v>
      </c>
      <c r="EG27" s="78">
        <f t="shared" si="83"/>
        <v>0</v>
      </c>
      <c r="EH27" s="78">
        <f t="shared" si="84"/>
        <v>0</v>
      </c>
      <c r="EI27" s="77">
        <f t="shared" si="85"/>
        <v>0</v>
      </c>
      <c r="EJ27" s="79"/>
      <c r="EK27" s="78">
        <f t="shared" si="123"/>
        <v>0</v>
      </c>
      <c r="EL27" s="78">
        <f t="shared" si="86"/>
        <v>0</v>
      </c>
      <c r="EM27" s="78">
        <f t="shared" si="87"/>
        <v>0</v>
      </c>
      <c r="EN27" s="78">
        <f t="shared" si="88"/>
        <v>0</v>
      </c>
      <c r="EO27" s="77">
        <f t="shared" si="89"/>
        <v>0</v>
      </c>
      <c r="EP27" s="79"/>
      <c r="EQ27" s="78">
        <f t="shared" si="124"/>
        <v>0</v>
      </c>
      <c r="ER27" s="78">
        <f t="shared" si="90"/>
        <v>0</v>
      </c>
      <c r="ES27" s="78">
        <f t="shared" si="91"/>
        <v>0</v>
      </c>
      <c r="ET27" s="78">
        <f t="shared" si="92"/>
        <v>0</v>
      </c>
      <c r="EU27" s="77">
        <f t="shared" si="93"/>
        <v>0</v>
      </c>
      <c r="EV27" s="79"/>
      <c r="EW27" s="78">
        <f t="shared" si="125"/>
        <v>0</v>
      </c>
      <c r="EX27" s="78">
        <f t="shared" si="94"/>
        <v>0</v>
      </c>
      <c r="EY27" s="78">
        <f t="shared" si="95"/>
        <v>0</v>
      </c>
      <c r="EZ27" s="78">
        <f t="shared" si="96"/>
        <v>0</v>
      </c>
      <c r="FA27" s="77">
        <f t="shared" si="97"/>
        <v>0</v>
      </c>
      <c r="FB27" s="79"/>
      <c r="FC27" s="78">
        <f t="shared" si="126"/>
        <v>0</v>
      </c>
      <c r="FD27" s="78">
        <f t="shared" si="98"/>
        <v>0</v>
      </c>
      <c r="FE27" s="78">
        <f t="shared" si="99"/>
        <v>0</v>
      </c>
      <c r="FF27" s="78">
        <f t="shared" si="100"/>
        <v>0</v>
      </c>
      <c r="FG27" s="77">
        <f t="shared" si="101"/>
        <v>0</v>
      </c>
      <c r="FH27" s="79"/>
      <c r="FI27" s="80"/>
      <c r="FJ27" s="78"/>
      <c r="FK27" s="78"/>
      <c r="FL27" s="78"/>
      <c r="FM27" s="77">
        <f t="shared" si="102"/>
        <v>0</v>
      </c>
    </row>
    <row r="28" spans="3:169" ht="12">
      <c r="C28" s="42"/>
      <c r="D28" s="42"/>
      <c r="E28" s="42"/>
      <c r="F28" s="42"/>
      <c r="G28" s="42"/>
      <c r="J28" s="50"/>
      <c r="M28" s="42"/>
      <c r="S28" s="42"/>
      <c r="Y28" s="42"/>
      <c r="AA28" s="33"/>
      <c r="AB28" s="33"/>
      <c r="AE28" s="42"/>
      <c r="AG28" s="33"/>
      <c r="AH28" s="33"/>
      <c r="AI28" s="33"/>
      <c r="AJ28" s="33"/>
      <c r="AK28" s="42"/>
      <c r="AM28" s="20"/>
      <c r="AN28" s="20"/>
      <c r="AO28" s="20"/>
      <c r="AP28" s="20"/>
      <c r="AQ28" s="42"/>
      <c r="AR28" s="33"/>
      <c r="AS28" s="33"/>
      <c r="AT28" s="33"/>
      <c r="AU28" s="33"/>
      <c r="AV28" s="33"/>
      <c r="AW28" s="42"/>
      <c r="AX28" s="33"/>
      <c r="AY28" s="33"/>
      <c r="AZ28" s="33"/>
      <c r="BA28" s="33"/>
      <c r="BB28" s="33"/>
      <c r="BC28" s="42"/>
      <c r="BD28" s="33"/>
      <c r="BE28" s="33"/>
      <c r="BF28" s="33"/>
      <c r="BG28" s="33"/>
      <c r="BH28" s="33"/>
      <c r="BI28" s="42"/>
      <c r="BJ28" s="33"/>
      <c r="BK28" s="33"/>
      <c r="BL28" s="33"/>
      <c r="BM28" s="33"/>
      <c r="BN28" s="33"/>
      <c r="BO28" s="42"/>
      <c r="BP28" s="33"/>
      <c r="BQ28" s="33"/>
      <c r="BR28" s="33"/>
      <c r="BS28" s="33"/>
      <c r="BT28" s="33"/>
      <c r="BU28" s="42"/>
      <c r="BV28" s="33"/>
      <c r="BW28" s="33"/>
      <c r="BX28" s="33"/>
      <c r="BY28" s="33"/>
      <c r="BZ28" s="33"/>
      <c r="CA28" s="42"/>
      <c r="CB28" s="33"/>
      <c r="CC28" s="33"/>
      <c r="CD28" s="33"/>
      <c r="CE28" s="33"/>
      <c r="CF28" s="33"/>
      <c r="CG28" s="42"/>
      <c r="CH28" s="33"/>
      <c r="CI28" s="33"/>
      <c r="CJ28" s="33"/>
      <c r="CK28" s="33"/>
      <c r="CL28" s="33"/>
      <c r="CM28" s="42"/>
      <c r="CN28" s="33"/>
      <c r="CO28" s="33"/>
      <c r="CP28" s="33"/>
      <c r="CQ28" s="33"/>
      <c r="CR28" s="33"/>
      <c r="CS28" s="42"/>
      <c r="CT28" s="33"/>
      <c r="CU28" s="33"/>
      <c r="CV28" s="33"/>
      <c r="CW28" s="33"/>
      <c r="CX28" s="33"/>
      <c r="CY28" s="42"/>
      <c r="CZ28" s="33"/>
      <c r="DA28" s="33"/>
      <c r="DB28" s="33"/>
      <c r="DC28" s="33"/>
      <c r="DD28" s="33"/>
      <c r="DE28" s="42"/>
      <c r="DF28" s="33"/>
      <c r="DG28" s="33"/>
      <c r="DH28" s="33"/>
      <c r="DI28" s="33"/>
      <c r="DJ28" s="33"/>
      <c r="DK28" s="42"/>
      <c r="DL28" s="33"/>
      <c r="DM28" s="95"/>
      <c r="DN28" s="95"/>
      <c r="DO28" s="95"/>
      <c r="DP28" s="95"/>
      <c r="DQ28" s="96"/>
      <c r="DR28" s="33"/>
      <c r="DS28" s="33"/>
      <c r="DT28" s="33"/>
      <c r="DU28" s="33"/>
      <c r="DV28" s="33"/>
      <c r="DW28" s="42"/>
      <c r="DX28" s="33"/>
      <c r="DY28" s="33"/>
      <c r="DZ28" s="33"/>
      <c r="EA28" s="33"/>
      <c r="EB28" s="33"/>
      <c r="EC28" s="42"/>
      <c r="ED28" s="33"/>
      <c r="EE28" s="33"/>
      <c r="EF28" s="33"/>
      <c r="EG28" s="33"/>
      <c r="EH28" s="33"/>
      <c r="EI28" s="42"/>
      <c r="EJ28" s="33"/>
      <c r="EK28" s="33"/>
      <c r="EL28" s="33"/>
      <c r="EM28" s="33"/>
      <c r="EN28" s="33"/>
      <c r="EO28" s="42"/>
      <c r="EP28" s="33"/>
      <c r="EQ28" s="33"/>
      <c r="ER28" s="33"/>
      <c r="ES28" s="33"/>
      <c r="ET28" s="33"/>
      <c r="EU28" s="42"/>
      <c r="EV28" s="33"/>
      <c r="EW28" s="33"/>
      <c r="EX28" s="33"/>
      <c r="EY28" s="33"/>
      <c r="EZ28" s="33"/>
      <c r="FA28" s="42"/>
      <c r="FB28" s="33"/>
      <c r="FC28" s="33"/>
      <c r="FD28" s="33"/>
      <c r="FE28" s="33"/>
      <c r="FF28" s="33"/>
      <c r="FG28" s="42"/>
      <c r="FH28" s="33"/>
      <c r="FI28" s="50"/>
      <c r="FJ28" s="50"/>
      <c r="FK28" s="50"/>
      <c r="FL28" s="50"/>
      <c r="FM28" s="42"/>
    </row>
    <row r="29" spans="1:169" ht="12.75" thickBot="1">
      <c r="A29" s="31" t="s">
        <v>4</v>
      </c>
      <c r="C29" s="49">
        <f>SUM(C8:C28)</f>
        <v>16195000</v>
      </c>
      <c r="D29" s="49">
        <f>SUM(D8:D28)</f>
        <v>1738750</v>
      </c>
      <c r="E29" s="49">
        <f>SUM(E8:E28)</f>
        <v>17933750</v>
      </c>
      <c r="F29" s="49">
        <f>SUM(F8:F28)</f>
        <v>613051</v>
      </c>
      <c r="G29" s="49">
        <f>SUM(G8:G28)</f>
        <v>258202</v>
      </c>
      <c r="I29" s="49">
        <f>SUM(I8:I28)</f>
        <v>8791065.4505</v>
      </c>
      <c r="J29" s="49">
        <f>SUM(J8:J28)</f>
        <v>943838.5336249997</v>
      </c>
      <c r="K29" s="49">
        <f>SUM(K8:K28)</f>
        <v>9734903.984125</v>
      </c>
      <c r="L29" s="49">
        <f>SUM(L8:L28)</f>
        <v>332779.96082090016</v>
      </c>
      <c r="M29" s="49">
        <f>SUM(M8:M28)</f>
        <v>140158.73303180002</v>
      </c>
      <c r="O29" s="49">
        <f>SUM(O8:O28)</f>
        <v>7403934.5495</v>
      </c>
      <c r="P29" s="49">
        <f>SUM(P8:P28)</f>
        <v>794911.4663749998</v>
      </c>
      <c r="Q29" s="49">
        <f>SUM(Q8:Q28)</f>
        <v>8198846.015875</v>
      </c>
      <c r="R29" s="49">
        <f>SUM(R8:R28)</f>
        <v>280271.0391791001</v>
      </c>
      <c r="S29" s="49">
        <f>SUM(S8:S28)</f>
        <v>118043.26696819998</v>
      </c>
      <c r="U29" s="49">
        <f>SUM(U8:U28)</f>
        <v>1323520.18</v>
      </c>
      <c r="V29" s="49">
        <f>SUM(V8:V28)</f>
        <v>142097.605</v>
      </c>
      <c r="W29" s="49">
        <f>SUM(W8:W28)</f>
        <v>1465617.7850000001</v>
      </c>
      <c r="X29" s="49">
        <f>SUM(X8:X28)</f>
        <v>50100.979924</v>
      </c>
      <c r="Y29" s="49">
        <f>SUM(Y8:Y28)</f>
        <v>21101.300248</v>
      </c>
      <c r="AA29" s="49">
        <f>SUM(AA8:AA28)</f>
        <v>964648.6969999999</v>
      </c>
      <c r="AB29" s="49">
        <f>SUM(AB8:AB28)</f>
        <v>103567.94825000002</v>
      </c>
      <c r="AC29" s="49">
        <f>SUM(AC8:AC28)</f>
        <v>1068216.64525</v>
      </c>
      <c r="AD29" s="49">
        <f>SUM(AD8:AD28)</f>
        <v>36516.1375946</v>
      </c>
      <c r="AE29" s="49">
        <f>SUM(AE8:AE28)</f>
        <v>15379.698849200002</v>
      </c>
      <c r="AG29" s="49">
        <f>SUM(AG8:AG28)</f>
        <v>511444.57800000004</v>
      </c>
      <c r="AH29" s="49">
        <f>SUM(AH8:AH28)</f>
        <v>54910.42049999999</v>
      </c>
      <c r="AI29" s="49">
        <f>SUM(AI8:AI28)</f>
        <v>566354.9985</v>
      </c>
      <c r="AJ29" s="49">
        <f>SUM(AJ8:AJ28)</f>
        <v>19360.395800399998</v>
      </c>
      <c r="AK29" s="49">
        <f>SUM(AK8:AK28)</f>
        <v>8154.122440800002</v>
      </c>
      <c r="AM29" s="49">
        <f>SUM(AM8:AM28)</f>
        <v>371966.76</v>
      </c>
      <c r="AN29" s="49">
        <f>SUM(AN8:AN28)</f>
        <v>39935.609999999986</v>
      </c>
      <c r="AO29" s="49">
        <f>SUM(AO8:AO28)</f>
        <v>411902.3699999999</v>
      </c>
      <c r="AP29" s="49">
        <f>SUM(AP8:AP28)</f>
        <v>14080.555368000001</v>
      </c>
      <c r="AQ29" s="49">
        <f>SUM(AQ8:AQ28)</f>
        <v>5930.383535999999</v>
      </c>
      <c r="AR29" s="33"/>
      <c r="AS29" s="49">
        <f>SUM(AS8:AS28)</f>
        <v>42607.4255</v>
      </c>
      <c r="AT29" s="49">
        <f>SUM(AT8:AT28)</f>
        <v>4574.4773749999995</v>
      </c>
      <c r="AU29" s="49">
        <f>SUM(AU8:AU28)</f>
        <v>47181.90287499999</v>
      </c>
      <c r="AV29" s="49">
        <f>SUM(AV8:AV28)</f>
        <v>1612.8758759000002</v>
      </c>
      <c r="AW29" s="49">
        <f>SUM(AW8:AW28)</f>
        <v>679.3036417999999</v>
      </c>
      <c r="AX29" s="33"/>
      <c r="AY29" s="49">
        <f>SUM(AY8:AY28)</f>
        <v>674082.8655</v>
      </c>
      <c r="AZ29" s="49">
        <f>SUM(AZ8:AZ28)</f>
        <v>72371.81737499998</v>
      </c>
      <c r="BA29" s="49">
        <f>SUM(BA8:BA28)</f>
        <v>746454.6828749999</v>
      </c>
      <c r="BB29" s="49">
        <f>SUM(BB8:BB28)</f>
        <v>25516.960467899997</v>
      </c>
      <c r="BC29" s="49">
        <f>SUM(BC8:BC28)</f>
        <v>10747.116025799998</v>
      </c>
      <c r="BD29" s="33"/>
      <c r="BE29" s="49">
        <f>SUM(BE8:BE28)</f>
        <v>73073.4595</v>
      </c>
      <c r="BF29" s="49">
        <f>SUM(BF8:BF28)</f>
        <v>7845.413875</v>
      </c>
      <c r="BG29" s="49">
        <f>SUM(BG8:BG28)</f>
        <v>80918.87337500001</v>
      </c>
      <c r="BH29" s="49">
        <f>SUM(BH8:BH28)</f>
        <v>2766.1474171</v>
      </c>
      <c r="BI29" s="49">
        <f>SUM(BI8:BI28)</f>
        <v>1165.0332442</v>
      </c>
      <c r="BJ29" s="33"/>
      <c r="BK29" s="49">
        <f>SUM(BK8:BK28)</f>
        <v>228587.56650000002</v>
      </c>
      <c r="BL29" s="49">
        <f>SUM(BL8:BL28)</f>
        <v>24541.934625</v>
      </c>
      <c r="BM29" s="49">
        <f>SUM(BM8:BM28)</f>
        <v>253129.501125</v>
      </c>
      <c r="BN29" s="49">
        <f>SUM(BN8:BN28)</f>
        <v>8653.030949700002</v>
      </c>
      <c r="BO29" s="49">
        <f>SUM(BO8:BO28)</f>
        <v>3644.4437694</v>
      </c>
      <c r="BP29" s="33"/>
      <c r="BQ29" s="49">
        <f>SUM(BQ8:BQ28)</f>
        <v>115922.19050000001</v>
      </c>
      <c r="BR29" s="49">
        <f>SUM(BR8:BR28)</f>
        <v>12445.798625</v>
      </c>
      <c r="BS29" s="49">
        <f>SUM(BS8:BS28)</f>
        <v>128367.98912500002</v>
      </c>
      <c r="BT29" s="49">
        <f>SUM(BT8:BT28)</f>
        <v>4388.1577529000015</v>
      </c>
      <c r="BU29" s="49">
        <f>SUM(BU8:BU28)</f>
        <v>1848.1840957999998</v>
      </c>
      <c r="BV29" s="33"/>
      <c r="BW29" s="49">
        <f>SUM(BW8:BW28)</f>
        <v>22512.6695</v>
      </c>
      <c r="BX29" s="49">
        <f>SUM(BX8:BX28)</f>
        <v>2417.0363749999997</v>
      </c>
      <c r="BY29" s="49">
        <f>SUM(BY8:BY28)</f>
        <v>24929.705875</v>
      </c>
      <c r="BZ29" s="49">
        <f>SUM(BZ8:BZ28)</f>
        <v>852.2021950999999</v>
      </c>
      <c r="CA29" s="49">
        <f>SUM(CA8:CA28)</f>
        <v>358.9266002</v>
      </c>
      <c r="CB29" s="33"/>
      <c r="CC29" s="49">
        <f>SUM(CC8:CC28)</f>
        <v>89451.463</v>
      </c>
      <c r="CD29" s="49">
        <f>SUM(CD8:CD28)</f>
        <v>9603.811750000004</v>
      </c>
      <c r="CE29" s="49">
        <f>SUM(CE8:CE28)</f>
        <v>99055.27475</v>
      </c>
      <c r="CF29" s="49">
        <f>SUM(CF8:CF28)</f>
        <v>3386.1258934</v>
      </c>
      <c r="CG29" s="49">
        <f>SUM(CG8:CG28)</f>
        <v>1426.1529268</v>
      </c>
      <c r="CH29" s="33"/>
      <c r="CI29" s="49">
        <f>SUM(CI8:CI28)</f>
        <v>218167.7035</v>
      </c>
      <c r="CJ29" s="49">
        <f>SUM(CJ8:CJ28)</f>
        <v>23423.222875</v>
      </c>
      <c r="CK29" s="49">
        <f>SUM(CK8:CK28)</f>
        <v>241590.92637499998</v>
      </c>
      <c r="CL29" s="49">
        <f>SUM(CL8:CL28)</f>
        <v>8258.593936300002</v>
      </c>
      <c r="CM29" s="49">
        <f>SUM(CM8:CM28)</f>
        <v>3478.3166026</v>
      </c>
      <c r="CN29" s="33"/>
      <c r="CO29" s="49">
        <f>SUM(CO8:CO28)</f>
        <v>488318.118</v>
      </c>
      <c r="CP29" s="49">
        <f>SUM(CP8:CP28)</f>
        <v>52427.48550000001</v>
      </c>
      <c r="CQ29" s="49">
        <f>SUM(CQ8:CQ28)</f>
        <v>540745.6035</v>
      </c>
      <c r="CR29" s="49">
        <f>SUM(CR8:CR28)</f>
        <v>18484.9589724</v>
      </c>
      <c r="CS29" s="49">
        <f>SUM(CS8:CS28)</f>
        <v>7785.409984799999</v>
      </c>
      <c r="CT29" s="33"/>
      <c r="CU29" s="49">
        <f>SUM(CU8:CU28)</f>
        <v>73879.9705</v>
      </c>
      <c r="CV29" s="49">
        <f>SUM(CV8:CV28)</f>
        <v>7932.003624999999</v>
      </c>
      <c r="CW29" s="49">
        <f>SUM(CW8:CW28)</f>
        <v>81811.974125</v>
      </c>
      <c r="CX29" s="49">
        <f>SUM(CX8:CX28)</f>
        <v>2796.6773569</v>
      </c>
      <c r="CY29" s="49">
        <f>SUM(CY8:CY28)</f>
        <v>1177.8917038000002</v>
      </c>
      <c r="CZ29" s="33"/>
      <c r="DA29" s="49">
        <f>SUM(DA8:DA28)</f>
        <v>212282.4405</v>
      </c>
      <c r="DB29" s="49">
        <f>SUM(DB8:DB28)</f>
        <v>22791.361124999992</v>
      </c>
      <c r="DC29" s="49">
        <f>SUM(DC8:DC28)</f>
        <v>235073.80162500002</v>
      </c>
      <c r="DD29" s="49">
        <f>SUM(DD8:DD28)</f>
        <v>8035.811202900001</v>
      </c>
      <c r="DE29" s="49">
        <f>SUM(DE8:DE28)</f>
        <v>3384.4859957999997</v>
      </c>
      <c r="DF29" s="33"/>
      <c r="DG29" s="49">
        <f>SUM(DG8:DG28)</f>
        <v>8180.094499999999</v>
      </c>
      <c r="DH29" s="49">
        <f>SUM(DH8:DH28)</f>
        <v>878.242625</v>
      </c>
      <c r="DI29" s="49">
        <f>SUM(DI8:DI28)</f>
        <v>9058.337124999998</v>
      </c>
      <c r="DJ29" s="49">
        <f>SUM(DJ8:DJ28)</f>
        <v>309.6520601</v>
      </c>
      <c r="DK29" s="49">
        <f>SUM(DK8:DK28)</f>
        <v>130.41783020000003</v>
      </c>
      <c r="DL29" s="33"/>
      <c r="DM29" s="97">
        <f>SUM(DM8:DM28)</f>
        <v>447820.90099999995</v>
      </c>
      <c r="DN29" s="97">
        <f>SUM(DN8:DN28)</f>
        <v>48079.56724999999</v>
      </c>
      <c r="DO29" s="97">
        <f>SUM(DO8:DO28)</f>
        <v>495900.4682499999</v>
      </c>
      <c r="DP29" s="97">
        <f>SUM(DP8:DP28)</f>
        <v>16951.963641799997</v>
      </c>
      <c r="DQ29" s="97">
        <f>SUM(DQ8:DQ28)</f>
        <v>7139.750063600001</v>
      </c>
      <c r="DR29" s="33"/>
      <c r="DS29" s="49">
        <f>SUM(DS8:DS28)</f>
        <v>70503.313</v>
      </c>
      <c r="DT29" s="49">
        <f>SUM(DT8:DT28)</f>
        <v>7569.474249999998</v>
      </c>
      <c r="DU29" s="49">
        <f>SUM(DU8:DU28)</f>
        <v>78072.78725000001</v>
      </c>
      <c r="DV29" s="49">
        <f>SUM(DV8:DV28)</f>
        <v>2668.8562234000005</v>
      </c>
      <c r="DW29" s="49">
        <f>SUM(DW8:DW28)</f>
        <v>1124.0565867999999</v>
      </c>
      <c r="DX29" s="33"/>
      <c r="DY29" s="49">
        <f>SUM(DY8:DY28)</f>
        <v>362814.9655</v>
      </c>
      <c r="DZ29" s="49">
        <f>SUM(DZ8:DZ28)</f>
        <v>38953.04237500001</v>
      </c>
      <c r="EA29" s="49">
        <f>SUM(EA8:EA28)</f>
        <v>401768.007875</v>
      </c>
      <c r="EB29" s="49">
        <f>SUM(EB8:EB28)</f>
        <v>13734.1202479</v>
      </c>
      <c r="EC29" s="49">
        <f>SUM(EC8:EC28)</f>
        <v>5784.4735858</v>
      </c>
      <c r="ED29" s="33"/>
      <c r="EE29" s="49">
        <f>SUM(EE8:EE28)</f>
        <v>103579.981</v>
      </c>
      <c r="EF29" s="49">
        <f>SUM(EF8:EF28)</f>
        <v>11120.69725</v>
      </c>
      <c r="EG29" s="49">
        <f>SUM(EG8:EG28)</f>
        <v>114700.67825000003</v>
      </c>
      <c r="EH29" s="49">
        <f>SUM(EH8:EH28)</f>
        <v>3920.9515857999995</v>
      </c>
      <c r="EI29" s="49">
        <f>SUM(EI8:EI28)</f>
        <v>1651.4083516</v>
      </c>
      <c r="EJ29" s="33"/>
      <c r="EK29" s="49">
        <f>SUM(EK8:EK28)</f>
        <v>1039.719</v>
      </c>
      <c r="EL29" s="49">
        <f>SUM(EL8:EL28)</f>
        <v>111.62775000000002</v>
      </c>
      <c r="EM29" s="49">
        <f>SUM(EM8:EM28)</f>
        <v>1151.34675</v>
      </c>
      <c r="EN29" s="49">
        <f>SUM(EN8:EN28)</f>
        <v>39.3578742</v>
      </c>
      <c r="EO29" s="49">
        <f>SUM(EO8:EO28)</f>
        <v>16.5765684</v>
      </c>
      <c r="EP29" s="33"/>
      <c r="EQ29" s="49">
        <f>SUM(EQ8:EQ28)</f>
        <v>1930.444</v>
      </c>
      <c r="ER29" s="49">
        <f>SUM(ER8:ER28)</f>
        <v>207.259</v>
      </c>
      <c r="ES29" s="49">
        <f>SUM(ES8:ES28)</f>
        <v>2137.703</v>
      </c>
      <c r="ET29" s="49">
        <f>SUM(ET8:ET28)</f>
        <v>73.0756792</v>
      </c>
      <c r="EU29" s="49">
        <f>SUM(EU8:EU28)</f>
        <v>30.7776784</v>
      </c>
      <c r="EV29" s="33"/>
      <c r="EW29" s="49">
        <f>SUM(EW8:EW28)</f>
        <v>348963.382</v>
      </c>
      <c r="EX29" s="49">
        <f>SUM(EX8:EX28)</f>
        <v>37465.8895</v>
      </c>
      <c r="EY29" s="49">
        <f>SUM(EY8:EY28)</f>
        <v>386429.2715</v>
      </c>
      <c r="EZ29" s="49">
        <f>SUM(EZ8:EZ28)</f>
        <v>13209.7777276</v>
      </c>
      <c r="FA29" s="49">
        <f>SUM(FA8:FA28)</f>
        <v>5563.6334152</v>
      </c>
      <c r="FB29" s="33"/>
      <c r="FC29" s="49">
        <f>SUM(FC8:FC28)</f>
        <v>648635.662</v>
      </c>
      <c r="FD29" s="49">
        <f>SUM(FD8:FD28)</f>
        <v>69639.71949999999</v>
      </c>
      <c r="FE29" s="49">
        <f>SUM(FE8:FE28)</f>
        <v>718275.3815</v>
      </c>
      <c r="FF29" s="49">
        <f>SUM(FF8:FF28)</f>
        <v>24553.6734316</v>
      </c>
      <c r="FG29" s="49">
        <f>SUM(FG8:FG28)</f>
        <v>10341.403223199999</v>
      </c>
      <c r="FH29" s="33"/>
      <c r="FI29" s="49">
        <f>SUM(FI8:FI28)</f>
        <v>0</v>
      </c>
      <c r="FJ29" s="49">
        <f>SUM(FJ8:FJ28)</f>
        <v>0</v>
      </c>
      <c r="FK29" s="49">
        <f>SUM(FK8:IV28)</f>
        <v>0</v>
      </c>
      <c r="FL29" s="42"/>
      <c r="FM29" s="49">
        <f>SUM(FM8:FM28)</f>
        <v>0</v>
      </c>
    </row>
    <row r="30" spans="33:43" ht="12.75" thickTop="1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16:43" ht="12">
      <c r="P31" s="33"/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33:43" ht="12"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33:43" ht="12"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33:43" ht="12"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33:43" ht="12"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1:43" ht="12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</row>
    <row r="44" spans="1:43" ht="12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</row>
    <row r="45" spans="1:43" ht="12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</row>
    <row r="46" spans="1:43" ht="12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</row>
    <row r="47" spans="1:43" ht="12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</row>
    <row r="48" spans="1:43" ht="12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</row>
    <row r="49" spans="1:43" ht="12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</row>
    <row r="50" spans="1:43" ht="12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</row>
    <row r="51" spans="1:43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M51" s="20"/>
      <c r="AN51" s="20"/>
      <c r="AO51" s="20"/>
      <c r="AP51" s="20"/>
      <c r="AQ51" s="20"/>
    </row>
    <row r="52" spans="1:43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M52" s="20"/>
      <c r="AN52" s="20"/>
      <c r="AO52" s="20"/>
      <c r="AP52" s="20"/>
      <c r="AQ52" s="20"/>
    </row>
    <row r="53" spans="1:43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M53" s="20"/>
      <c r="AN53" s="20"/>
      <c r="AO53" s="20"/>
      <c r="AP53" s="20"/>
      <c r="AQ53" s="20"/>
    </row>
    <row r="54" spans="1:43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M54" s="20"/>
      <c r="AN54" s="20"/>
      <c r="AO54" s="20"/>
      <c r="AP54" s="20"/>
      <c r="AQ54" s="20"/>
    </row>
    <row r="55" spans="1:43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M55" s="20"/>
      <c r="AN55" s="20"/>
      <c r="AO55" s="20"/>
      <c r="AP55" s="20"/>
      <c r="AQ55" s="20"/>
    </row>
    <row r="56" spans="1:43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M56" s="20"/>
      <c r="AN56" s="20"/>
      <c r="AO56" s="20"/>
      <c r="AP56" s="20"/>
      <c r="AQ56" s="20"/>
    </row>
    <row r="57" spans="1:37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</row>
    <row r="58" spans="1:37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</row>
    <row r="59" spans="1:37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</row>
    <row r="60" spans="1:37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</row>
    <row r="61" spans="1:37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</row>
    <row r="62" spans="1:37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</row>
    <row r="63" spans="1:37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</row>
    <row r="64" spans="1:37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33"/>
      <c r="AH64" s="33"/>
      <c r="AI64" s="33"/>
      <c r="AJ64" s="33"/>
      <c r="AK64" s="33"/>
    </row>
    <row r="65" spans="1:37" ht="12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33"/>
      <c r="AH65" s="33"/>
      <c r="AI65" s="33"/>
      <c r="AJ65" s="33"/>
      <c r="AK65" s="33"/>
    </row>
    <row r="66" spans="1:37" ht="12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AG66" s="33"/>
      <c r="AH66" s="33"/>
      <c r="AI66" s="33"/>
      <c r="AJ66" s="33"/>
      <c r="AK66" s="33"/>
    </row>
    <row r="67" spans="1:37" ht="12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AG67" s="33"/>
      <c r="AH67" s="33"/>
      <c r="AI67" s="33"/>
      <c r="AJ67" s="33"/>
      <c r="AK67" s="33"/>
    </row>
    <row r="68" spans="1:37" ht="12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AG68" s="33"/>
      <c r="AH68" s="33"/>
      <c r="AI68" s="33"/>
      <c r="AJ68" s="33"/>
      <c r="AK68" s="33"/>
    </row>
    <row r="69" spans="1:37" ht="12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AG69" s="33"/>
      <c r="AH69" s="33"/>
      <c r="AI69" s="33"/>
      <c r="AJ69" s="33"/>
      <c r="AK69" s="33"/>
    </row>
  </sheetData>
  <sheetProtection/>
  <printOptions/>
  <pageMargins left="0.7" right="0.7" top="0.75" bottom="0.75" header="0.3" footer="0.3"/>
  <pageSetup horizontalDpi="600" verticalDpi="600" orientation="landscape" scale="72"/>
  <colBreaks count="3" manualBreakCount="3">
    <brk id="13" max="65535" man="1"/>
    <brk id="26" max="65535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I69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8515625" style="33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">
      <c r="A1" s="44"/>
      <c r="B1" s="30"/>
      <c r="C1" s="43"/>
      <c r="D1" s="45"/>
      <c r="E1" s="45" t="s">
        <v>171</v>
      </c>
      <c r="F1" s="45"/>
      <c r="G1" s="45"/>
      <c r="I1" s="45"/>
      <c r="J1" s="45"/>
      <c r="K1" s="36"/>
      <c r="N1" s="45"/>
      <c r="R1" s="45" t="s">
        <v>171</v>
      </c>
      <c r="S1" s="45"/>
      <c r="AB1" s="45"/>
      <c r="AG1" s="45" t="s">
        <v>171</v>
      </c>
      <c r="AL1"/>
      <c r="AM1"/>
      <c r="AN1"/>
      <c r="AP1" s="45"/>
      <c r="AQ1" s="45"/>
      <c r="AR1"/>
      <c r="AS1"/>
      <c r="AT1"/>
      <c r="AU1" s="45" t="s">
        <v>171</v>
      </c>
      <c r="AV1"/>
      <c r="AW1"/>
      <c r="AX1"/>
      <c r="AY1"/>
      <c r="AZ1"/>
      <c r="BA1"/>
      <c r="BB1"/>
      <c r="BC1"/>
      <c r="BD1"/>
      <c r="BE1" s="45"/>
      <c r="BF1"/>
      <c r="BG1"/>
      <c r="BH1" s="20"/>
      <c r="BI1" s="20"/>
      <c r="BJ1" s="45" t="s">
        <v>171</v>
      </c>
      <c r="BK1" s="20"/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20"/>
      <c r="BX1" s="45" t="s">
        <v>171</v>
      </c>
      <c r="BY1" s="20"/>
      <c r="BZ1" s="20"/>
      <c r="CA1" s="20"/>
      <c r="CB1" s="20"/>
      <c r="CC1" s="20"/>
      <c r="CD1" s="20"/>
      <c r="CE1" s="20"/>
      <c r="CF1" s="20"/>
      <c r="CG1" s="20"/>
      <c r="CH1" s="45"/>
      <c r="CI1" s="20"/>
      <c r="CJ1" s="20"/>
      <c r="CK1" s="20"/>
      <c r="CL1" s="45" t="s">
        <v>171</v>
      </c>
      <c r="CM1" s="45"/>
      <c r="CN1" s="20"/>
      <c r="CO1" s="20"/>
      <c r="CP1" s="20"/>
      <c r="CQ1" s="20"/>
      <c r="CR1" s="20"/>
      <c r="CS1" s="20"/>
      <c r="CT1" s="20"/>
      <c r="CU1" s="20"/>
      <c r="CV1" s="45"/>
      <c r="CW1" s="20"/>
      <c r="CX1" s="20"/>
      <c r="CY1" s="20"/>
      <c r="CZ1" s="20"/>
      <c r="DA1" s="45" t="s">
        <v>171</v>
      </c>
      <c r="DB1" s="20"/>
      <c r="DC1" s="20"/>
      <c r="DD1" s="20"/>
      <c r="DE1" s="20"/>
      <c r="DF1" s="20"/>
      <c r="DG1" s="20"/>
      <c r="DH1" s="20"/>
      <c r="DI1" s="20"/>
      <c r="DJ1" s="45"/>
      <c r="DK1" s="45"/>
      <c r="DL1" s="20"/>
      <c r="DM1" s="20"/>
      <c r="DN1" s="20"/>
      <c r="DO1" s="45" t="s">
        <v>171</v>
      </c>
      <c r="DP1" s="20"/>
      <c r="DQ1" s="20"/>
      <c r="DR1" s="20"/>
      <c r="DS1" s="20"/>
      <c r="DT1" s="20"/>
      <c r="DU1" s="20"/>
      <c r="DV1" s="20"/>
      <c r="DW1" s="20"/>
      <c r="DX1" s="20"/>
      <c r="DY1" s="45"/>
      <c r="DZ1" s="20"/>
      <c r="EA1" s="20"/>
      <c r="EB1" s="20"/>
      <c r="EC1" s="20"/>
      <c r="ED1" s="45" t="s">
        <v>171</v>
      </c>
      <c r="EE1" s="20"/>
      <c r="EF1" s="20"/>
      <c r="EG1" s="20"/>
      <c r="EH1" s="20"/>
      <c r="EI1" s="20"/>
      <c r="EJ1" s="20"/>
      <c r="EK1" s="20"/>
      <c r="EL1" s="20"/>
      <c r="EM1" s="45"/>
      <c r="EN1" s="20"/>
      <c r="EO1" s="20"/>
      <c r="EP1" s="20"/>
      <c r="EQ1" s="20"/>
      <c r="ER1" s="45" t="s">
        <v>171</v>
      </c>
      <c r="ES1" s="20"/>
      <c r="ET1" s="20"/>
      <c r="EU1" s="20"/>
      <c r="EV1" s="20"/>
      <c r="EW1" s="20"/>
      <c r="EX1" s="20"/>
      <c r="EY1" s="20"/>
      <c r="EZ1" s="20"/>
      <c r="FA1" s="20"/>
      <c r="FB1" s="45"/>
      <c r="FC1" s="20"/>
      <c r="FD1" s="20"/>
      <c r="FE1" s="45" t="s">
        <v>171</v>
      </c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">
      <c r="A2" s="44"/>
      <c r="B2" s="30"/>
      <c r="C2" s="43"/>
      <c r="D2" s="45"/>
      <c r="E2" s="43" t="s">
        <v>172</v>
      </c>
      <c r="F2" s="43"/>
      <c r="G2" s="43"/>
      <c r="I2" s="45"/>
      <c r="J2" s="45"/>
      <c r="K2" s="36"/>
      <c r="N2" s="45"/>
      <c r="R2" s="43" t="s">
        <v>172</v>
      </c>
      <c r="S2" s="43"/>
      <c r="AB2" s="45"/>
      <c r="AG2" s="43" t="s">
        <v>172</v>
      </c>
      <c r="AL2"/>
      <c r="AM2"/>
      <c r="AN2"/>
      <c r="AP2" s="45"/>
      <c r="AQ2" s="45"/>
      <c r="AR2"/>
      <c r="AS2"/>
      <c r="AT2"/>
      <c r="AU2" s="43" t="s">
        <v>172</v>
      </c>
      <c r="AV2"/>
      <c r="AW2"/>
      <c r="AX2"/>
      <c r="AY2"/>
      <c r="AZ2"/>
      <c r="BA2"/>
      <c r="BB2"/>
      <c r="BC2"/>
      <c r="BD2"/>
      <c r="BE2" s="45"/>
      <c r="BF2"/>
      <c r="BG2"/>
      <c r="BH2" s="20"/>
      <c r="BI2" s="20"/>
      <c r="BJ2" s="43" t="s">
        <v>172</v>
      </c>
      <c r="BK2" s="20"/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20"/>
      <c r="BX2" s="43" t="s">
        <v>172</v>
      </c>
      <c r="BY2" s="20"/>
      <c r="BZ2" s="20"/>
      <c r="CA2" s="20"/>
      <c r="CB2" s="20"/>
      <c r="CC2" s="20"/>
      <c r="CD2" s="20"/>
      <c r="CE2" s="20"/>
      <c r="CF2" s="20"/>
      <c r="CG2" s="20"/>
      <c r="CH2" s="45"/>
      <c r="CI2" s="20"/>
      <c r="CJ2" s="20"/>
      <c r="CK2" s="20"/>
      <c r="CL2" s="43" t="s">
        <v>172</v>
      </c>
      <c r="CM2" s="43"/>
      <c r="CN2" s="20"/>
      <c r="CO2" s="20"/>
      <c r="CP2" s="20"/>
      <c r="CQ2" s="20"/>
      <c r="CR2" s="20"/>
      <c r="CS2" s="20"/>
      <c r="CT2" s="20"/>
      <c r="CU2" s="20"/>
      <c r="CV2" s="45"/>
      <c r="CW2" s="20"/>
      <c r="CX2" s="20"/>
      <c r="CY2" s="20"/>
      <c r="CZ2" s="20"/>
      <c r="DA2" s="43" t="s">
        <v>172</v>
      </c>
      <c r="DB2" s="20"/>
      <c r="DC2" s="20"/>
      <c r="DD2" s="20"/>
      <c r="DE2" s="20"/>
      <c r="DF2" s="20"/>
      <c r="DG2" s="20"/>
      <c r="DH2" s="20"/>
      <c r="DI2" s="20"/>
      <c r="DJ2" s="45"/>
      <c r="DK2" s="45"/>
      <c r="DL2" s="20"/>
      <c r="DM2" s="20"/>
      <c r="DN2" s="20"/>
      <c r="DO2" s="43" t="s">
        <v>172</v>
      </c>
      <c r="DP2" s="20"/>
      <c r="DQ2" s="20"/>
      <c r="DR2" s="20"/>
      <c r="DS2" s="20"/>
      <c r="DT2" s="20"/>
      <c r="DU2" s="20"/>
      <c r="DV2" s="20"/>
      <c r="DW2" s="20"/>
      <c r="DX2" s="20"/>
      <c r="DY2" s="45"/>
      <c r="DZ2" s="20"/>
      <c r="EA2" s="20"/>
      <c r="EB2" s="20"/>
      <c r="EC2" s="20"/>
      <c r="ED2" s="43" t="s">
        <v>172</v>
      </c>
      <c r="EE2" s="20"/>
      <c r="EF2" s="20"/>
      <c r="EG2" s="20"/>
      <c r="EH2" s="20"/>
      <c r="EI2" s="20"/>
      <c r="EJ2" s="20"/>
      <c r="EK2" s="20"/>
      <c r="EL2" s="20"/>
      <c r="EM2" s="45"/>
      <c r="EN2" s="20"/>
      <c r="EO2" s="20"/>
      <c r="EP2" s="20"/>
      <c r="EQ2" s="20"/>
      <c r="ER2" s="43" t="s">
        <v>172</v>
      </c>
      <c r="ES2" s="20"/>
      <c r="ET2" s="20"/>
      <c r="EU2" s="20"/>
      <c r="EV2" s="20"/>
      <c r="EW2" s="20"/>
      <c r="EX2" s="20"/>
      <c r="EY2" s="20"/>
      <c r="EZ2" s="20"/>
      <c r="FA2" s="20"/>
      <c r="FB2" s="45"/>
      <c r="FC2" s="20"/>
      <c r="FD2" s="20"/>
      <c r="FE2" s="43" t="s">
        <v>172</v>
      </c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">
      <c r="A3" s="44"/>
      <c r="B3" s="30"/>
      <c r="C3" s="43"/>
      <c r="D3" s="43"/>
      <c r="E3" s="45" t="s">
        <v>173</v>
      </c>
      <c r="F3" s="45"/>
      <c r="G3" s="45"/>
      <c r="I3" s="43"/>
      <c r="J3" s="43"/>
      <c r="K3" s="36"/>
      <c r="N3" s="45"/>
      <c r="R3" s="45" t="s">
        <v>173</v>
      </c>
      <c r="S3" s="45"/>
      <c r="AB3" s="45"/>
      <c r="AG3" s="45" t="s">
        <v>173</v>
      </c>
      <c r="AL3"/>
      <c r="AM3" s="12"/>
      <c r="AN3"/>
      <c r="AP3" s="45"/>
      <c r="AQ3" s="45"/>
      <c r="AR3"/>
      <c r="AS3"/>
      <c r="AT3"/>
      <c r="AU3" s="45" t="s">
        <v>173</v>
      </c>
      <c r="AV3"/>
      <c r="AW3"/>
      <c r="AX3"/>
      <c r="AY3"/>
      <c r="AZ3"/>
      <c r="BA3"/>
      <c r="BB3"/>
      <c r="BC3"/>
      <c r="BD3"/>
      <c r="BE3" s="45"/>
      <c r="BF3"/>
      <c r="BG3"/>
      <c r="BH3" s="20"/>
      <c r="BI3" s="20"/>
      <c r="BJ3" s="45" t="s">
        <v>173</v>
      </c>
      <c r="BK3" s="20"/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20"/>
      <c r="BX3" s="45" t="s">
        <v>173</v>
      </c>
      <c r="BY3" s="20"/>
      <c r="BZ3" s="20"/>
      <c r="CA3" s="20"/>
      <c r="CB3" s="20"/>
      <c r="CC3" s="20"/>
      <c r="CD3" s="20"/>
      <c r="CE3" s="20"/>
      <c r="CF3" s="20"/>
      <c r="CG3" s="20"/>
      <c r="CH3" s="45"/>
      <c r="CI3" s="20"/>
      <c r="CJ3" s="20"/>
      <c r="CK3" s="20"/>
      <c r="CL3" s="45" t="s">
        <v>173</v>
      </c>
      <c r="CM3" s="45"/>
      <c r="CN3" s="20"/>
      <c r="CO3" s="20"/>
      <c r="CP3" s="20"/>
      <c r="CQ3" s="20"/>
      <c r="CR3" s="20"/>
      <c r="CS3" s="20"/>
      <c r="CT3" s="20"/>
      <c r="CU3" s="20"/>
      <c r="CV3" s="45"/>
      <c r="CW3" s="20"/>
      <c r="CX3" s="20"/>
      <c r="CY3" s="20"/>
      <c r="CZ3" s="20"/>
      <c r="DA3" s="45" t="s">
        <v>173</v>
      </c>
      <c r="DB3" s="20"/>
      <c r="DC3" s="20"/>
      <c r="DD3" s="20"/>
      <c r="DE3" s="20"/>
      <c r="DF3" s="20"/>
      <c r="DG3" s="20"/>
      <c r="DH3" s="20"/>
      <c r="DI3" s="20"/>
      <c r="DJ3" s="45"/>
      <c r="DK3" s="45"/>
      <c r="DL3" s="20"/>
      <c r="DM3" s="20"/>
      <c r="DN3" s="20"/>
      <c r="DO3" s="45" t="s">
        <v>173</v>
      </c>
      <c r="DP3" s="20"/>
      <c r="DQ3" s="20"/>
      <c r="DR3" s="20"/>
      <c r="DS3" s="20"/>
      <c r="DT3" s="20"/>
      <c r="DU3" s="20"/>
      <c r="DV3" s="20"/>
      <c r="DW3" s="20"/>
      <c r="DX3" s="20"/>
      <c r="DY3" s="45"/>
      <c r="DZ3" s="20"/>
      <c r="EA3" s="20"/>
      <c r="EB3" s="20"/>
      <c r="EC3" s="20"/>
      <c r="ED3" s="45" t="s">
        <v>173</v>
      </c>
      <c r="EE3" s="20"/>
      <c r="EF3" s="20"/>
      <c r="EG3" s="20"/>
      <c r="EH3" s="20"/>
      <c r="EI3" s="20"/>
      <c r="EJ3" s="20"/>
      <c r="EK3" s="20"/>
      <c r="EL3" s="20"/>
      <c r="EM3" s="45"/>
      <c r="EN3" s="20"/>
      <c r="EO3" s="20"/>
      <c r="EP3" s="20"/>
      <c r="EQ3" s="20"/>
      <c r="ER3" s="45" t="s">
        <v>173</v>
      </c>
      <c r="ES3" s="20"/>
      <c r="ET3" s="20"/>
      <c r="EU3" s="20"/>
      <c r="EV3" s="20"/>
      <c r="EW3" s="20"/>
      <c r="EX3" s="20"/>
      <c r="EY3" s="20"/>
      <c r="EZ3" s="20"/>
      <c r="FA3" s="20"/>
      <c r="FB3" s="45"/>
      <c r="FC3" s="20"/>
      <c r="FD3" s="20"/>
      <c r="FE3" s="45" t="s">
        <v>173</v>
      </c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">
      <c r="A4" s="44"/>
      <c r="B4" s="30"/>
    </row>
    <row r="5" spans="1:211" ht="12">
      <c r="A5" s="22" t="s">
        <v>9</v>
      </c>
      <c r="C5" s="76" t="s">
        <v>174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ht="12">
      <c r="A8" s="19">
        <v>41913</v>
      </c>
      <c r="C8" s="77"/>
      <c r="D8" s="77">
        <v>268375</v>
      </c>
      <c r="E8" s="77">
        <f aca="true" t="shared" si="0" ref="E8:E27">C8+D8</f>
        <v>268375</v>
      </c>
      <c r="F8" s="77">
        <v>61306</v>
      </c>
      <c r="G8" s="77">
        <v>25821</v>
      </c>
      <c r="H8" s="78"/>
      <c r="I8" s="79"/>
      <c r="J8" s="79">
        <f aca="true" t="shared" si="1" ref="J8:J27">P8+V8+AB8+AH8+AN8+AT8+AZ8+BF8+BL8+BR8+BX8+CD8+CJ8+CP8+CV8+DB8+DH8+DN8+DT8+DZ8+EF8+EL8+ER8+EX8+FD8+FJ8+FP8+FV8+GB8+GH8+GN8+GT8+GZ8</f>
        <v>145680.90091250002</v>
      </c>
      <c r="K8" s="79">
        <f aca="true" t="shared" si="2" ref="K8:K27">I8+J8</f>
        <v>145680.90091250002</v>
      </c>
      <c r="L8" s="79">
        <f aca="true" t="shared" si="3" ref="L8:L27">R8+X8+AD8+AJ8+AP8+AV8+BB8+BH8+BN8+BT8+BZ8+CF8+CL8+CR8+CX8+DD8+DJ8+DP8+DV8+EB8+EH8+EN8+ET8+EZ8+FF8+FL8+FR8+FX8+GD8+GJ8+GP8+GV8+HB8</f>
        <v>33278.484625400015</v>
      </c>
      <c r="M8" s="79">
        <f aca="true" t="shared" si="4" ref="M8:M27">S8+Y8+AE8+AK8+AQ8+AW8+BC8+BI8+BO8+BU8+CA8+CG8+CM8+CS8+CY8+DE8+DK8+DQ8+DW8+EC8+EI8+EO8+EU8+FA8+FG8+FM8+FS8+FY8+GE8+GK8+GQ8+GW8+HC8</f>
        <v>14016.3075639</v>
      </c>
      <c r="N8" s="78"/>
      <c r="O8" s="78"/>
      <c r="P8" s="78">
        <f aca="true" t="shared" si="5" ref="P8:P27">D8*6.61452/100</f>
        <v>17751.71805</v>
      </c>
      <c r="Q8" s="79">
        <f aca="true" t="shared" si="6" ref="Q8:Q26">O8+P8</f>
        <v>17751.71805</v>
      </c>
      <c r="R8" s="79">
        <f aca="true" t="shared" si="7" ref="R8:R27">P$6*$F8</f>
        <v>4055.0976312000003</v>
      </c>
      <c r="S8" s="77">
        <f aca="true" t="shared" si="8" ref="S8:S27">P$6*$G8</f>
        <v>1707.9352092000001</v>
      </c>
      <c r="T8" s="78"/>
      <c r="U8" s="78"/>
      <c r="V8" s="78">
        <f aca="true" t="shared" si="9" ref="V8:V27">D8*0.11296/100</f>
        <v>303.1564</v>
      </c>
      <c r="W8" s="78">
        <f aca="true" t="shared" si="10" ref="W8:W27">U8+V8</f>
        <v>303.1564</v>
      </c>
      <c r="X8" s="79">
        <f aca="true" t="shared" si="11" ref="X8:X27">V$6*$F8</f>
        <v>69.25125759999999</v>
      </c>
      <c r="Y8" s="77">
        <f aca="true" t="shared" si="12" ref="Y8:Y27">V$6*$G8</f>
        <v>29.167401599999998</v>
      </c>
      <c r="Z8" s="78"/>
      <c r="AA8" s="79"/>
      <c r="AB8" s="78">
        <f aca="true" t="shared" si="13" ref="AB8:AB27">D8*0.50994/100</f>
        <v>1368.551475</v>
      </c>
      <c r="AC8" s="78">
        <f aca="true" t="shared" si="14" ref="AC8:AC27">AA8+AB8</f>
        <v>1368.551475</v>
      </c>
      <c r="AD8" s="79">
        <f aca="true" t="shared" si="15" ref="AD8:AD27">AB$6*$F8</f>
        <v>312.62381639999995</v>
      </c>
      <c r="AE8" s="77">
        <f aca="true" t="shared" si="16" ref="AE8:AE27">AB$6*$G8</f>
        <v>131.6716074</v>
      </c>
      <c r="AF8" s="78"/>
      <c r="AG8" s="78"/>
      <c r="AH8" s="78">
        <f aca="true" t="shared" si="17" ref="AH8:AH27">D8*8.86797/100</f>
        <v>23799.4144875</v>
      </c>
      <c r="AI8" s="78">
        <f aca="true" t="shared" si="18" ref="AI8:AI27">AG8+AH8</f>
        <v>23799.4144875</v>
      </c>
      <c r="AJ8" s="79">
        <f aca="true" t="shared" si="19" ref="AJ8:AJ27">AH$6*$F8</f>
        <v>5436.5976882</v>
      </c>
      <c r="AK8" s="77">
        <f aca="true" t="shared" si="20" ref="AK8:AK27">AH$6*$G8</f>
        <v>2289.7985337</v>
      </c>
      <c r="AL8" s="78"/>
      <c r="AM8" s="78"/>
      <c r="AN8" s="78">
        <f aca="true" t="shared" si="21" ref="AN8:AN27">D8*0.10742/100</f>
        <v>288.28842499999996</v>
      </c>
      <c r="AO8" s="78">
        <f aca="true" t="shared" si="22" ref="AO8:AO27">AM8+AN8</f>
        <v>288.28842499999996</v>
      </c>
      <c r="AP8" s="79">
        <f aca="true" t="shared" si="23" ref="AP8:AP27">AN$6*$F8</f>
        <v>65.8549052</v>
      </c>
      <c r="AQ8" s="77">
        <f aca="true" t="shared" si="24" ref="AQ8:AQ27">AN$6*$G8</f>
        <v>27.736918199999998</v>
      </c>
      <c r="AR8" s="78"/>
      <c r="AS8" s="78"/>
      <c r="AT8" s="78">
        <f aca="true" t="shared" si="25" ref="AT8:AT27">D8*0.09059/100</f>
        <v>243.1209125</v>
      </c>
      <c r="AU8" s="78">
        <f aca="true" t="shared" si="26" ref="AU8:AU27">AS8+AT8</f>
        <v>243.1209125</v>
      </c>
      <c r="AV8" s="79">
        <f aca="true" t="shared" si="27" ref="AV8:AV27">AT$6*$F8</f>
        <v>55.537105399999994</v>
      </c>
      <c r="AW8" s="77">
        <f aca="true" t="shared" si="28" ref="AW8:AW27">AT$6*$G8</f>
        <v>23.3912439</v>
      </c>
      <c r="AX8" s="78"/>
      <c r="AY8" s="78"/>
      <c r="AZ8" s="78">
        <f aca="true" t="shared" si="29" ref="AZ8:AZ27">D8*3.71668/100</f>
        <v>9974.63995</v>
      </c>
      <c r="BA8" s="78">
        <f aca="true" t="shared" si="30" ref="BA8:BA27">AY8+AZ8</f>
        <v>9974.63995</v>
      </c>
      <c r="BB8" s="79">
        <f aca="true" t="shared" si="31" ref="BB8:BB27">AZ$6*$F8</f>
        <v>2278.5478408</v>
      </c>
      <c r="BC8" s="77">
        <f aca="true" t="shared" si="32" ref="BC8:BC27">AZ$6*$G8</f>
        <v>959.6839428</v>
      </c>
      <c r="BD8" s="78"/>
      <c r="BE8" s="78"/>
      <c r="BF8" s="78">
        <f aca="true" t="shared" si="33" ref="BF8:BF27">D8*7.62623/100</f>
        <v>20466.8947625</v>
      </c>
      <c r="BG8" s="78">
        <f aca="true" t="shared" si="34" ref="BG8:BG27">BE8+BF8</f>
        <v>20466.8947625</v>
      </c>
      <c r="BH8" s="79">
        <f aca="true" t="shared" si="35" ref="BH8:BH27">BF$6*$F8</f>
        <v>4675.3365638000005</v>
      </c>
      <c r="BI8" s="77">
        <f aca="true" t="shared" si="36" ref="BI8:BI27">BF$6*$G8</f>
        <v>1969.1688483</v>
      </c>
      <c r="BJ8" s="78"/>
      <c r="BK8" s="78"/>
      <c r="BL8" s="78">
        <f aca="true" t="shared" si="37" ref="BL8:BL27">D8*0.08804/100</f>
        <v>236.27734999999996</v>
      </c>
      <c r="BM8" s="78">
        <f aca="true" t="shared" si="38" ref="BM8:BM27">BK8+BL8</f>
        <v>236.27734999999996</v>
      </c>
      <c r="BN8" s="79">
        <f aca="true" t="shared" si="39" ref="BN8:BN27">BL$6*$F8</f>
        <v>53.973802400000004</v>
      </c>
      <c r="BO8" s="77">
        <f aca="true" t="shared" si="40" ref="BO8:BO27">BL$6*$G8</f>
        <v>22.7328084</v>
      </c>
      <c r="BP8" s="78"/>
      <c r="BQ8" s="78"/>
      <c r="BR8" s="78">
        <f aca="true" t="shared" si="41" ref="BR8:BR27">D8*0.05914/100</f>
        <v>158.716975</v>
      </c>
      <c r="BS8" s="78">
        <f aca="true" t="shared" si="42" ref="BS8:BS27">BQ8+BR8</f>
        <v>158.716975</v>
      </c>
      <c r="BT8" s="79">
        <f aca="true" t="shared" si="43" ref="BT8:BT27">BR$6*$F8</f>
        <v>36.2563684</v>
      </c>
      <c r="BU8" s="77">
        <f aca="true" t="shared" si="44" ref="BU8:BU27">BR$6*$G8</f>
        <v>15.270539399999999</v>
      </c>
      <c r="BV8" s="78"/>
      <c r="BW8" s="78"/>
      <c r="BX8" s="78">
        <f aca="true" t="shared" si="45" ref="BX8:BX27">D8*-0.00881/100</f>
        <v>-23.6438375</v>
      </c>
      <c r="BY8" s="78">
        <f aca="true" t="shared" si="46" ref="BY8:BY27">BW8+BX8</f>
        <v>-23.6438375</v>
      </c>
      <c r="BZ8" s="79">
        <f aca="true" t="shared" si="47" ref="BZ8:BZ27">BX$6*$F8</f>
        <v>-5.4010586</v>
      </c>
      <c r="CA8" s="77">
        <f aca="true" t="shared" si="48" ref="CA8:CA27">BX$6*$G8</f>
        <v>-2.2748301</v>
      </c>
      <c r="CB8" s="78"/>
      <c r="CC8" s="78"/>
      <c r="CD8" s="78">
        <f aca="true" t="shared" si="49" ref="CD8:CD27">D8*-0.00574/100</f>
        <v>-15.404725000000001</v>
      </c>
      <c r="CE8" s="78">
        <f aca="true" t="shared" si="50" ref="CE8:CE27">CC8+CD8</f>
        <v>-15.404725000000001</v>
      </c>
      <c r="CF8" s="79">
        <f aca="true" t="shared" si="51" ref="CF8:CF27">CD$6*$F8</f>
        <v>-3.5189643999999998</v>
      </c>
      <c r="CG8" s="77">
        <f aca="true" t="shared" si="52" ref="CG8:CG27">CD$6*$G8</f>
        <v>-1.4821254</v>
      </c>
      <c r="CH8" s="78"/>
      <c r="CI8" s="78"/>
      <c r="CJ8" s="78">
        <f aca="true" t="shared" si="53" ref="CJ8:CJ27">D8*0.21346/100</f>
        <v>572.873275</v>
      </c>
      <c r="CK8" s="78">
        <f aca="true" t="shared" si="54" ref="CK8:CK27">CI8+CJ8</f>
        <v>572.873275</v>
      </c>
      <c r="CL8" s="79">
        <f aca="true" t="shared" si="55" ref="CL8:CL27">CJ$6*$F8</f>
        <v>130.8637876</v>
      </c>
      <c r="CM8" s="77">
        <f aca="true" t="shared" si="56" ref="CM8:CM27">CJ$6*$G8</f>
        <v>55.1175066</v>
      </c>
      <c r="CN8" s="78"/>
      <c r="CO8" s="78"/>
      <c r="CP8" s="78">
        <f aca="true" t="shared" si="57" ref="CP8:CP27">D8*1.3127/100</f>
        <v>3522.9586249999998</v>
      </c>
      <c r="CQ8" s="78">
        <f aca="true" t="shared" si="58" ref="CQ8:CQ27">CO8+CP8</f>
        <v>3522.9586249999998</v>
      </c>
      <c r="CR8" s="79">
        <f aca="true" t="shared" si="59" ref="CR8:CR27">CP$6*$F8</f>
        <v>804.763862</v>
      </c>
      <c r="CS8" s="77">
        <f aca="true" t="shared" si="60" ref="CS8:CS27">CP$6*$G8</f>
        <v>338.952267</v>
      </c>
      <c r="CT8" s="78"/>
      <c r="CU8" s="78"/>
      <c r="CV8" s="78">
        <f aca="true" t="shared" si="61" ref="CV8:CV27">D8*8.81851/100</f>
        <v>23666.6762125</v>
      </c>
      <c r="CW8" s="78">
        <f aca="true" t="shared" si="62" ref="CW8:CW27">CU8+CV8</f>
        <v>23666.6762125</v>
      </c>
      <c r="CX8" s="79">
        <f aca="true" t="shared" si="63" ref="CX8:CX27">CV$6*$F8</f>
        <v>5406.2757406</v>
      </c>
      <c r="CY8" s="77">
        <f aca="true" t="shared" si="64" ref="CY8:CY27">CV$6*$G8</f>
        <v>2277.0274671</v>
      </c>
      <c r="CZ8" s="78"/>
      <c r="DA8" s="78"/>
      <c r="DB8" s="78">
        <f aca="true" t="shared" si="65" ref="DB8:DB27">D8*1.27232/100</f>
        <v>3414.5887999999995</v>
      </c>
      <c r="DC8" s="78">
        <f aca="true" t="shared" si="66" ref="DC8:DC27">DA8+DB8</f>
        <v>3414.5887999999995</v>
      </c>
      <c r="DD8" s="79">
        <f aca="true" t="shared" si="67" ref="DD8:DD27">DB$6*$F8</f>
        <v>780.0084992000001</v>
      </c>
      <c r="DE8" s="77">
        <f aca="true" t="shared" si="68" ref="DE8:DE27">DB$6*$G8</f>
        <v>328.5257472</v>
      </c>
      <c r="DF8" s="78"/>
      <c r="DG8" s="78"/>
      <c r="DH8" s="78">
        <f aca="true" t="shared" si="69" ref="DH8:DH27">D8*2.59972/100</f>
        <v>6976.99855</v>
      </c>
      <c r="DI8" s="78">
        <f aca="true" t="shared" si="70" ref="DI8:DI27">DG8+DH8</f>
        <v>6976.99855</v>
      </c>
      <c r="DJ8" s="79">
        <f aca="true" t="shared" si="71" ref="DJ8:DJ27">DH$6*$F8</f>
        <v>1593.7843432000002</v>
      </c>
      <c r="DK8" s="77">
        <f aca="true" t="shared" si="72" ref="DK8:DK27">DH$6*$G8</f>
        <v>671.2737012</v>
      </c>
      <c r="DL8" s="78"/>
      <c r="DM8" s="78"/>
      <c r="DN8" s="78">
        <f aca="true" t="shared" si="73" ref="DN8:DN27">D8*0.42162/100</f>
        <v>1131.522675</v>
      </c>
      <c r="DO8" s="78">
        <f aca="true" t="shared" si="74" ref="DO8:DO27">DM8+DN8</f>
        <v>1131.522675</v>
      </c>
      <c r="DP8" s="79">
        <f aca="true" t="shared" si="75" ref="DP8:DP27">DN$6*$F8</f>
        <v>258.4783572</v>
      </c>
      <c r="DQ8" s="77">
        <f aca="true" t="shared" si="76" ref="DQ8:DQ27">DN$6*$G8</f>
        <v>108.86650019999999</v>
      </c>
      <c r="DR8" s="78"/>
      <c r="DS8" s="78"/>
      <c r="DT8" s="78">
        <f aca="true" t="shared" si="77" ref="DT8:DT27">D8*2.16282/100</f>
        <v>5804.468175</v>
      </c>
      <c r="DU8" s="78">
        <f aca="true" t="shared" si="78" ref="DU8:DU27">DS8+DT8</f>
        <v>5804.468175</v>
      </c>
      <c r="DV8" s="79">
        <f aca="true" t="shared" si="79" ref="DV8:DV27">DT$6*$F8</f>
        <v>1325.9384292</v>
      </c>
      <c r="DW8" s="77">
        <f aca="true" t="shared" si="80" ref="DW8:DW27">DT$6*$G8</f>
        <v>558.4617522</v>
      </c>
      <c r="DX8" s="78"/>
      <c r="DY8" s="78"/>
      <c r="DZ8" s="78">
        <f aca="true" t="shared" si="81" ref="DZ8:DZ27">D8*0.01933/100</f>
        <v>51.8768875</v>
      </c>
      <c r="EA8" s="78">
        <f aca="true" t="shared" si="82" ref="EA8:EA27">DY8+DZ8</f>
        <v>51.8768875</v>
      </c>
      <c r="EB8" s="79">
        <f aca="true" t="shared" si="83" ref="EB8:EB27">DZ$6*$F8</f>
        <v>11.8504498</v>
      </c>
      <c r="EC8" s="77">
        <f aca="true" t="shared" si="84" ref="EC8:EC27">DZ$6*$G8</f>
        <v>4.9911993</v>
      </c>
      <c r="ED8" s="78"/>
      <c r="EE8" s="78"/>
      <c r="EF8" s="78">
        <f aca="true" t="shared" si="85" ref="EF8:EF27">D8*0.02544/100</f>
        <v>68.2746</v>
      </c>
      <c r="EG8" s="78">
        <f aca="true" t="shared" si="86" ref="EG8:EG27">EE8+EF8</f>
        <v>68.2746</v>
      </c>
      <c r="EH8" s="79">
        <f aca="true" t="shared" si="87" ref="EH8:EH27">EF$6*$F8</f>
        <v>15.5962464</v>
      </c>
      <c r="EI8" s="77">
        <f aca="true" t="shared" si="88" ref="EI8:EI27">EF$6*$G8</f>
        <v>6.5688624</v>
      </c>
      <c r="EJ8" s="78"/>
      <c r="EK8" s="78"/>
      <c r="EL8" s="78">
        <f aca="true" t="shared" si="89" ref="EL8:EL27">D8*1.28187/100</f>
        <v>3440.2186125000003</v>
      </c>
      <c r="EM8" s="78">
        <f aca="true" t="shared" si="90" ref="EM8:EM27">EK8+EL8</f>
        <v>3440.2186125000003</v>
      </c>
      <c r="EN8" s="79">
        <f aca="true" t="shared" si="91" ref="EN8:EN27">EL$6*$F8</f>
        <v>785.8632222</v>
      </c>
      <c r="EO8" s="77">
        <f aca="true" t="shared" si="92" ref="EO8:EO27">EL$6*$G8</f>
        <v>330.99165270000003</v>
      </c>
      <c r="EP8" s="78"/>
      <c r="EQ8" s="78"/>
      <c r="ER8" s="78">
        <f aca="true" t="shared" si="93" ref="ER8:ER27">D8*0.0244/100</f>
        <v>65.4835</v>
      </c>
      <c r="ES8" s="78">
        <f aca="true" t="shared" si="94" ref="ES8:ES27">EQ8+ER8</f>
        <v>65.4835</v>
      </c>
      <c r="ET8" s="79">
        <f aca="true" t="shared" si="95" ref="ET8:ET27">ER$6*$F8</f>
        <v>14.958663999999999</v>
      </c>
      <c r="EU8" s="77">
        <f aca="true" t="shared" si="96" ref="EU8:EU27">ER$6*$G8</f>
        <v>6.300324</v>
      </c>
      <c r="EV8" s="78"/>
      <c r="EW8" s="78"/>
      <c r="EX8" s="78">
        <f aca="true" t="shared" si="97" ref="EX8:EX27">D8*0.36459/100</f>
        <v>978.4684125000001</v>
      </c>
      <c r="EY8" s="78">
        <f aca="true" t="shared" si="98" ref="EY8:EY27">EW8+EX8</f>
        <v>978.4684125000001</v>
      </c>
      <c r="EZ8" s="79">
        <f aca="true" t="shared" si="99" ref="EZ8:EZ27">EX$6*$F8</f>
        <v>223.5155454</v>
      </c>
      <c r="FA8" s="77">
        <f aca="true" t="shared" si="100" ref="FA8:FA27">EX$6*$G8</f>
        <v>94.1407839</v>
      </c>
      <c r="FB8" s="78"/>
      <c r="FC8" s="78"/>
      <c r="FD8" s="78">
        <f aca="true" t="shared" si="101" ref="FD8:FD27">D8*0.25327/100</f>
        <v>679.7133624999999</v>
      </c>
      <c r="FE8" s="78">
        <f aca="true" t="shared" si="102" ref="FE8:FE27">FC8+FD8</f>
        <v>679.7133624999999</v>
      </c>
      <c r="FF8" s="79">
        <f aca="true" t="shared" si="103" ref="FF8:FF27">FD$6*$F8</f>
        <v>155.2697062</v>
      </c>
      <c r="FG8" s="77">
        <f aca="true" t="shared" si="104" ref="FG8:FG27">FD$6*$G8</f>
        <v>65.3968467</v>
      </c>
      <c r="FH8" s="78"/>
      <c r="FI8" s="78"/>
      <c r="FJ8" s="78">
        <f aca="true" t="shared" si="105" ref="FJ8:FJ27">D8*0.09887/100</f>
        <v>265.3423625</v>
      </c>
      <c r="FK8" s="78">
        <f aca="true" t="shared" si="106" ref="FK8:FK27">FI8+FJ8</f>
        <v>265.3423625</v>
      </c>
      <c r="FL8" s="79">
        <f aca="true" t="shared" si="107" ref="FL8:FL27">FJ$6*$F8</f>
        <v>60.613242199999995</v>
      </c>
      <c r="FM8" s="77">
        <f aca="true" t="shared" si="108" ref="FM8:FM27">FJ$6*$G8</f>
        <v>25.5292227</v>
      </c>
      <c r="FN8" s="78"/>
      <c r="FO8" s="78"/>
      <c r="FP8" s="78">
        <f aca="true" t="shared" si="109" ref="FP8:FP27">D8*1.11111/100</f>
        <v>2981.9414625</v>
      </c>
      <c r="FQ8" s="78">
        <f aca="true" t="shared" si="110" ref="FQ8:FQ27">FO8+FP8</f>
        <v>2981.9414625</v>
      </c>
      <c r="FR8" s="79">
        <f aca="true" t="shared" si="111" ref="FR8:FR27">FP$6*$F8</f>
        <v>681.1770966</v>
      </c>
      <c r="FS8" s="77">
        <f aca="true" t="shared" si="112" ref="FS8:FS27">FP$6*$G8</f>
        <v>286.8997131</v>
      </c>
      <c r="FT8" s="78"/>
      <c r="FU8" s="78"/>
      <c r="FV8" s="78">
        <f aca="true" t="shared" si="113" ref="FV8:FV27">D8*2.50422/100</f>
        <v>6720.700425</v>
      </c>
      <c r="FW8" s="78">
        <f aca="true" t="shared" si="114" ref="FW8:FW27">FU8+FV8</f>
        <v>6720.700425</v>
      </c>
      <c r="FX8" s="79">
        <f aca="true" t="shared" si="115" ref="FX8:FX27">FV$6*$F8</f>
        <v>1535.2371132</v>
      </c>
      <c r="FY8" s="77">
        <f aca="true" t="shared" si="116" ref="FY8:FY27">FV$6*$G8</f>
        <v>646.6146462</v>
      </c>
      <c r="FZ8" s="78"/>
      <c r="GA8" s="78"/>
      <c r="GB8" s="78">
        <f aca="true" t="shared" si="117" ref="GB8:GB27">D8*0.31957/100</f>
        <v>857.6459875</v>
      </c>
      <c r="GC8" s="78">
        <f aca="true" t="shared" si="118" ref="GC8:GC27">GA8+GB8</f>
        <v>857.6459875</v>
      </c>
      <c r="GD8" s="79">
        <f aca="true" t="shared" si="119" ref="GD8:GD27">GB$6*$F8</f>
        <v>195.9155842</v>
      </c>
      <c r="GE8" s="77">
        <f aca="true" t="shared" si="120" ref="GE8:GE27">GB$6*$G8</f>
        <v>82.5161697</v>
      </c>
      <c r="GF8" s="78"/>
      <c r="GG8" s="78"/>
      <c r="GH8" s="78">
        <f aca="true" t="shared" si="121" ref="GH8:GH27">D8*0.50748/100</f>
        <v>1361.94945</v>
      </c>
      <c r="GI8" s="78">
        <f aca="true" t="shared" si="122" ref="GI8:GI27">GG8+GH8</f>
        <v>1361.94945</v>
      </c>
      <c r="GJ8" s="79">
        <f aca="true" t="shared" si="123" ref="GJ8:GJ27">GH$6*$F8</f>
        <v>311.1156888</v>
      </c>
      <c r="GK8" s="77">
        <f aca="true" t="shared" si="124" ref="GK8:GK27">GH$6*$G8</f>
        <v>131.0364108</v>
      </c>
      <c r="GL8" s="78"/>
      <c r="GM8" s="78"/>
      <c r="GN8" s="78">
        <f aca="true" t="shared" si="125" ref="GN8:GN27">D8*2.35189/100</f>
        <v>6311.8847875</v>
      </c>
      <c r="GO8" s="78">
        <f aca="true" t="shared" si="126" ref="GO8:GO27">GM8+GN8</f>
        <v>6311.8847875</v>
      </c>
      <c r="GP8" s="79">
        <f aca="true" t="shared" si="127" ref="GP8:GP27">GN$6*$F8</f>
        <v>1441.8496834</v>
      </c>
      <c r="GQ8" s="77">
        <f aca="true" t="shared" si="128" ref="GQ8:GQ27">GN$6*$G8</f>
        <v>607.2815168999999</v>
      </c>
      <c r="GR8" s="78"/>
      <c r="GS8" s="78"/>
      <c r="GT8" s="78">
        <f aca="true" t="shared" si="129" ref="GT8:GT27">D8*0.12482/100</f>
        <v>334.98567499999996</v>
      </c>
      <c r="GU8" s="78">
        <f aca="true" t="shared" si="130" ref="GU8:GU27">GS8+GT8</f>
        <v>334.98567499999996</v>
      </c>
      <c r="GV8" s="79">
        <f aca="true" t="shared" si="131" ref="GV8:GV27">GT$6*$F8</f>
        <v>76.5221492</v>
      </c>
      <c r="GW8" s="77">
        <f aca="true" t="shared" si="132" ref="GW8:GW27">GT$6*$G8</f>
        <v>32.2297722</v>
      </c>
      <c r="GX8" s="78"/>
      <c r="GY8" s="78"/>
      <c r="GZ8" s="78">
        <f aca="true" t="shared" si="133" ref="GZ8:GZ27">D8*0.71564/100</f>
        <v>1920.59885</v>
      </c>
      <c r="HA8" s="78">
        <f aca="true" t="shared" si="134" ref="HA8:HA27">GY8+GZ8</f>
        <v>1920.59885</v>
      </c>
      <c r="HB8" s="79">
        <f aca="true" t="shared" si="135" ref="HB8:HB27">GZ$6*$F8</f>
        <v>438.7302584</v>
      </c>
      <c r="HC8" s="77">
        <f aca="true" t="shared" si="136" ref="HC8:HC27">GZ$6*$G8</f>
        <v>184.7854044</v>
      </c>
      <c r="HD8" s="78"/>
      <c r="HE8" s="78"/>
      <c r="HF8" s="78"/>
      <c r="HG8" s="78"/>
      <c r="HH8" s="78"/>
      <c r="HI8" s="78"/>
    </row>
    <row r="9" spans="1:217" ht="12">
      <c r="A9" s="19">
        <v>42095</v>
      </c>
      <c r="C9" s="77">
        <v>135000</v>
      </c>
      <c r="D9" s="77">
        <v>268375</v>
      </c>
      <c r="E9" s="77">
        <f t="shared" si="0"/>
        <v>403375</v>
      </c>
      <c r="F9" s="77">
        <v>61306</v>
      </c>
      <c r="G9" s="77">
        <v>25821</v>
      </c>
      <c r="H9" s="78"/>
      <c r="I9" s="79">
        <f>O9+U9+AA9+AG9+AM9+AS9+AY9+BE9+BK9+BQ9+BW9+CC9+CI9+CO9+CU9+DA9+DG9+DM9+DS9+DY9+EE9+EK9+EQ9+EW9+FC9+FI9+FO9+FU9+GA9+GG9+GM9+GS9+GY9</f>
        <v>73281.4965</v>
      </c>
      <c r="J9" s="79">
        <f t="shared" si="1"/>
        <v>145680.90091250002</v>
      </c>
      <c r="K9" s="79">
        <f t="shared" si="2"/>
        <v>218962.3974125</v>
      </c>
      <c r="L9" s="79">
        <f t="shared" si="3"/>
        <v>33278.484625400015</v>
      </c>
      <c r="M9" s="79">
        <f t="shared" si="4"/>
        <v>14016.3075639</v>
      </c>
      <c r="N9" s="78"/>
      <c r="O9" s="78">
        <f aca="true" t="shared" si="137" ref="O9:O27">C9*6.61452/100</f>
        <v>8929.601999999999</v>
      </c>
      <c r="P9" s="78">
        <f t="shared" si="5"/>
        <v>17751.71805</v>
      </c>
      <c r="Q9" s="79">
        <f t="shared" si="6"/>
        <v>26681.32005</v>
      </c>
      <c r="R9" s="79">
        <f t="shared" si="7"/>
        <v>4055.0976312000003</v>
      </c>
      <c r="S9" s="77">
        <f t="shared" si="8"/>
        <v>1707.9352092000001</v>
      </c>
      <c r="T9" s="78"/>
      <c r="U9" s="78">
        <f aca="true" t="shared" si="138" ref="U9:U27">C9*0.11296/100</f>
        <v>152.496</v>
      </c>
      <c r="V9" s="78">
        <f t="shared" si="9"/>
        <v>303.1564</v>
      </c>
      <c r="W9" s="78">
        <f t="shared" si="10"/>
        <v>455.65240000000006</v>
      </c>
      <c r="X9" s="79">
        <f t="shared" si="11"/>
        <v>69.25125759999999</v>
      </c>
      <c r="Y9" s="77">
        <f t="shared" si="12"/>
        <v>29.167401599999998</v>
      </c>
      <c r="Z9" s="78"/>
      <c r="AA9" s="79">
        <f aca="true" t="shared" si="139" ref="AA9:AA27">C9*0.50994/100</f>
        <v>688.419</v>
      </c>
      <c r="AB9" s="78">
        <f t="shared" si="13"/>
        <v>1368.551475</v>
      </c>
      <c r="AC9" s="78">
        <f t="shared" si="14"/>
        <v>2056.970475</v>
      </c>
      <c r="AD9" s="79">
        <f t="shared" si="15"/>
        <v>312.62381639999995</v>
      </c>
      <c r="AE9" s="77">
        <f t="shared" si="16"/>
        <v>131.6716074</v>
      </c>
      <c r="AF9" s="78"/>
      <c r="AG9" s="78">
        <f aca="true" t="shared" si="140" ref="AG9:AG27">C9*8.86797/100</f>
        <v>11971.7595</v>
      </c>
      <c r="AH9" s="78">
        <f t="shared" si="17"/>
        <v>23799.4144875</v>
      </c>
      <c r="AI9" s="78">
        <f t="shared" si="18"/>
        <v>35771.1739875</v>
      </c>
      <c r="AJ9" s="79">
        <f t="shared" si="19"/>
        <v>5436.5976882</v>
      </c>
      <c r="AK9" s="77">
        <f t="shared" si="20"/>
        <v>2289.7985337</v>
      </c>
      <c r="AL9" s="78"/>
      <c r="AM9" s="78">
        <f aca="true" t="shared" si="141" ref="AM9:AM27">C9*0.10742/100</f>
        <v>145.017</v>
      </c>
      <c r="AN9" s="78">
        <f t="shared" si="21"/>
        <v>288.28842499999996</v>
      </c>
      <c r="AO9" s="78">
        <f t="shared" si="22"/>
        <v>433.30542499999996</v>
      </c>
      <c r="AP9" s="79">
        <f t="shared" si="23"/>
        <v>65.8549052</v>
      </c>
      <c r="AQ9" s="77">
        <f t="shared" si="24"/>
        <v>27.736918199999998</v>
      </c>
      <c r="AR9" s="78"/>
      <c r="AS9" s="78">
        <f aca="true" t="shared" si="142" ref="AS9:AS27">C9*0.09059/100</f>
        <v>122.2965</v>
      </c>
      <c r="AT9" s="78">
        <f t="shared" si="25"/>
        <v>243.1209125</v>
      </c>
      <c r="AU9" s="78">
        <f t="shared" si="26"/>
        <v>365.4174125</v>
      </c>
      <c r="AV9" s="79">
        <f t="shared" si="27"/>
        <v>55.537105399999994</v>
      </c>
      <c r="AW9" s="77">
        <f t="shared" si="28"/>
        <v>23.3912439</v>
      </c>
      <c r="AX9" s="78"/>
      <c r="AY9" s="78">
        <f aca="true" t="shared" si="143" ref="AY9:AY27">C9*3.71668/100</f>
        <v>5017.518</v>
      </c>
      <c r="AZ9" s="78">
        <f t="shared" si="29"/>
        <v>9974.63995</v>
      </c>
      <c r="BA9" s="78">
        <f t="shared" si="30"/>
        <v>14992.15795</v>
      </c>
      <c r="BB9" s="79">
        <f t="shared" si="31"/>
        <v>2278.5478408</v>
      </c>
      <c r="BC9" s="77">
        <f t="shared" si="32"/>
        <v>959.6839428</v>
      </c>
      <c r="BD9" s="78"/>
      <c r="BE9" s="78">
        <f aca="true" t="shared" si="144" ref="BE9:BE27">C9*7.62623/100</f>
        <v>10295.4105</v>
      </c>
      <c r="BF9" s="78">
        <f t="shared" si="33"/>
        <v>20466.8947625</v>
      </c>
      <c r="BG9" s="78">
        <f t="shared" si="34"/>
        <v>30762.3052625</v>
      </c>
      <c r="BH9" s="79">
        <f t="shared" si="35"/>
        <v>4675.3365638000005</v>
      </c>
      <c r="BI9" s="77">
        <f t="shared" si="36"/>
        <v>1969.1688483</v>
      </c>
      <c r="BJ9" s="78"/>
      <c r="BK9" s="78">
        <f aca="true" t="shared" si="145" ref="BK9:BK27">C9*0.08804/100</f>
        <v>118.854</v>
      </c>
      <c r="BL9" s="78">
        <f t="shared" si="37"/>
        <v>236.27734999999996</v>
      </c>
      <c r="BM9" s="78">
        <f t="shared" si="38"/>
        <v>355.13134999999994</v>
      </c>
      <c r="BN9" s="79">
        <f t="shared" si="39"/>
        <v>53.973802400000004</v>
      </c>
      <c r="BO9" s="77">
        <f t="shared" si="40"/>
        <v>22.7328084</v>
      </c>
      <c r="BP9" s="78"/>
      <c r="BQ9" s="78">
        <f aca="true" t="shared" si="146" ref="BQ9:BQ27">C9*0.05914/100</f>
        <v>79.839</v>
      </c>
      <c r="BR9" s="78">
        <f t="shared" si="41"/>
        <v>158.716975</v>
      </c>
      <c r="BS9" s="78">
        <f t="shared" si="42"/>
        <v>238.555975</v>
      </c>
      <c r="BT9" s="79">
        <f t="shared" si="43"/>
        <v>36.2563684</v>
      </c>
      <c r="BU9" s="77">
        <f t="shared" si="44"/>
        <v>15.270539399999999</v>
      </c>
      <c r="BV9" s="78"/>
      <c r="BW9" s="78">
        <f aca="true" t="shared" si="147" ref="BW9:BW27">C9*-0.00881/100</f>
        <v>-11.8935</v>
      </c>
      <c r="BX9" s="78">
        <f t="shared" si="45"/>
        <v>-23.6438375</v>
      </c>
      <c r="BY9" s="78">
        <f t="shared" si="46"/>
        <v>-35.5373375</v>
      </c>
      <c r="BZ9" s="79">
        <f t="shared" si="47"/>
        <v>-5.4010586</v>
      </c>
      <c r="CA9" s="77">
        <f t="shared" si="48"/>
        <v>-2.2748301</v>
      </c>
      <c r="CB9" s="78"/>
      <c r="CC9" s="78">
        <f aca="true" t="shared" si="148" ref="CC9:CC27">C9*-0.00574/100</f>
        <v>-7.7490000000000006</v>
      </c>
      <c r="CD9" s="78">
        <f t="shared" si="49"/>
        <v>-15.404725000000001</v>
      </c>
      <c r="CE9" s="78">
        <f t="shared" si="50"/>
        <v>-23.153725</v>
      </c>
      <c r="CF9" s="79">
        <f t="shared" si="51"/>
        <v>-3.5189643999999998</v>
      </c>
      <c r="CG9" s="77">
        <f t="shared" si="52"/>
        <v>-1.4821254</v>
      </c>
      <c r="CH9" s="78"/>
      <c r="CI9" s="78">
        <f aca="true" t="shared" si="149" ref="CI9:CI27">C9*0.21346/100</f>
        <v>288.17100000000005</v>
      </c>
      <c r="CJ9" s="78">
        <f t="shared" si="53"/>
        <v>572.873275</v>
      </c>
      <c r="CK9" s="78">
        <f t="shared" si="54"/>
        <v>861.0442750000001</v>
      </c>
      <c r="CL9" s="79">
        <f t="shared" si="55"/>
        <v>130.8637876</v>
      </c>
      <c r="CM9" s="77">
        <f t="shared" si="56"/>
        <v>55.1175066</v>
      </c>
      <c r="CN9" s="78"/>
      <c r="CO9" s="78">
        <f aca="true" t="shared" si="150" ref="CO9:CO27">C9*1.3127/100</f>
        <v>1772.145</v>
      </c>
      <c r="CP9" s="78">
        <f t="shared" si="57"/>
        <v>3522.9586249999998</v>
      </c>
      <c r="CQ9" s="78">
        <f t="shared" si="58"/>
        <v>5295.103625</v>
      </c>
      <c r="CR9" s="79">
        <f t="shared" si="59"/>
        <v>804.763862</v>
      </c>
      <c r="CS9" s="77">
        <f t="shared" si="60"/>
        <v>338.952267</v>
      </c>
      <c r="CT9" s="78"/>
      <c r="CU9" s="78">
        <f aca="true" t="shared" si="151" ref="CU9:CU27">C9*8.81851/100</f>
        <v>11904.988500000001</v>
      </c>
      <c r="CV9" s="78">
        <f t="shared" si="61"/>
        <v>23666.6762125</v>
      </c>
      <c r="CW9" s="78">
        <f t="shared" si="62"/>
        <v>35571.6647125</v>
      </c>
      <c r="CX9" s="79">
        <f t="shared" si="63"/>
        <v>5406.2757406</v>
      </c>
      <c r="CY9" s="77">
        <f t="shared" si="64"/>
        <v>2277.0274671</v>
      </c>
      <c r="CZ9" s="78"/>
      <c r="DA9" s="78">
        <f aca="true" t="shared" si="152" ref="DA9:DA27">C9*1.27232/100</f>
        <v>1717.6319999999998</v>
      </c>
      <c r="DB9" s="78">
        <f t="shared" si="65"/>
        <v>3414.5887999999995</v>
      </c>
      <c r="DC9" s="78">
        <f t="shared" si="66"/>
        <v>5132.220799999999</v>
      </c>
      <c r="DD9" s="79">
        <f t="shared" si="67"/>
        <v>780.0084992000001</v>
      </c>
      <c r="DE9" s="77">
        <f t="shared" si="68"/>
        <v>328.5257472</v>
      </c>
      <c r="DF9" s="78"/>
      <c r="DG9" s="78">
        <f aca="true" t="shared" si="153" ref="DG9:DG27">C9*2.59972/100</f>
        <v>3509.6220000000003</v>
      </c>
      <c r="DH9" s="78">
        <f t="shared" si="69"/>
        <v>6976.99855</v>
      </c>
      <c r="DI9" s="78">
        <f t="shared" si="70"/>
        <v>10486.62055</v>
      </c>
      <c r="DJ9" s="79">
        <f t="shared" si="71"/>
        <v>1593.7843432000002</v>
      </c>
      <c r="DK9" s="77">
        <f t="shared" si="72"/>
        <v>671.2737012</v>
      </c>
      <c r="DL9" s="78"/>
      <c r="DM9" s="78">
        <f aca="true" t="shared" si="154" ref="DM9:DM27">C9*0.42162/100</f>
        <v>569.187</v>
      </c>
      <c r="DN9" s="78">
        <f t="shared" si="73"/>
        <v>1131.522675</v>
      </c>
      <c r="DO9" s="78">
        <f t="shared" si="74"/>
        <v>1700.709675</v>
      </c>
      <c r="DP9" s="79">
        <f t="shared" si="75"/>
        <v>258.4783572</v>
      </c>
      <c r="DQ9" s="77">
        <f t="shared" si="76"/>
        <v>108.86650019999999</v>
      </c>
      <c r="DR9" s="78"/>
      <c r="DS9" s="78">
        <f aca="true" t="shared" si="155" ref="DS9:DS27">C9*2.16282/100</f>
        <v>2919.8070000000002</v>
      </c>
      <c r="DT9" s="78">
        <f t="shared" si="77"/>
        <v>5804.468175</v>
      </c>
      <c r="DU9" s="78">
        <f t="shared" si="78"/>
        <v>8724.275175</v>
      </c>
      <c r="DV9" s="79">
        <f t="shared" si="79"/>
        <v>1325.9384292</v>
      </c>
      <c r="DW9" s="77">
        <f t="shared" si="80"/>
        <v>558.4617522</v>
      </c>
      <c r="DX9" s="78"/>
      <c r="DY9" s="78">
        <f aca="true" t="shared" si="156" ref="DY9:DY27">C9*0.01933/100</f>
        <v>26.0955</v>
      </c>
      <c r="DZ9" s="78">
        <f t="shared" si="81"/>
        <v>51.8768875</v>
      </c>
      <c r="EA9" s="78">
        <f t="shared" si="82"/>
        <v>77.9723875</v>
      </c>
      <c r="EB9" s="79">
        <f t="shared" si="83"/>
        <v>11.8504498</v>
      </c>
      <c r="EC9" s="77">
        <f t="shared" si="84"/>
        <v>4.9911993</v>
      </c>
      <c r="ED9" s="78"/>
      <c r="EE9" s="78">
        <f aca="true" t="shared" si="157" ref="EE9:EE27">C9*0.02544/100</f>
        <v>34.344</v>
      </c>
      <c r="EF9" s="78">
        <f t="shared" si="85"/>
        <v>68.2746</v>
      </c>
      <c r="EG9" s="78">
        <f t="shared" si="86"/>
        <v>102.61860000000001</v>
      </c>
      <c r="EH9" s="79">
        <f t="shared" si="87"/>
        <v>15.5962464</v>
      </c>
      <c r="EI9" s="77">
        <f t="shared" si="88"/>
        <v>6.5688624</v>
      </c>
      <c r="EJ9" s="78"/>
      <c r="EK9" s="78">
        <f aca="true" t="shared" si="158" ref="EK9:EK27">C9*1.28187/100</f>
        <v>1730.5245000000002</v>
      </c>
      <c r="EL9" s="78">
        <f t="shared" si="89"/>
        <v>3440.2186125000003</v>
      </c>
      <c r="EM9" s="78">
        <f t="shared" si="90"/>
        <v>5170.7431125</v>
      </c>
      <c r="EN9" s="79">
        <f t="shared" si="91"/>
        <v>785.8632222</v>
      </c>
      <c r="EO9" s="77">
        <f t="shared" si="92"/>
        <v>330.99165270000003</v>
      </c>
      <c r="EP9" s="78"/>
      <c r="EQ9" s="78">
        <f aca="true" t="shared" si="159" ref="EQ9:EQ27">C9*0.0244/100</f>
        <v>32.94</v>
      </c>
      <c r="ER9" s="78">
        <f t="shared" si="93"/>
        <v>65.4835</v>
      </c>
      <c r="ES9" s="78">
        <f t="shared" si="94"/>
        <v>98.4235</v>
      </c>
      <c r="ET9" s="79">
        <f t="shared" si="95"/>
        <v>14.958663999999999</v>
      </c>
      <c r="EU9" s="77">
        <f t="shared" si="96"/>
        <v>6.300324</v>
      </c>
      <c r="EV9" s="78"/>
      <c r="EW9" s="78">
        <f aca="true" t="shared" si="160" ref="EW9:EW27">C9*0.36459/100</f>
        <v>492.1965</v>
      </c>
      <c r="EX9" s="78">
        <f t="shared" si="97"/>
        <v>978.4684125000001</v>
      </c>
      <c r="EY9" s="78">
        <f t="shared" si="98"/>
        <v>1470.6649125000001</v>
      </c>
      <c r="EZ9" s="79">
        <f t="shared" si="99"/>
        <v>223.5155454</v>
      </c>
      <c r="FA9" s="77">
        <f t="shared" si="100"/>
        <v>94.1407839</v>
      </c>
      <c r="FB9" s="78"/>
      <c r="FC9" s="78">
        <f aca="true" t="shared" si="161" ref="FC9:FC27">C9*0.25327/100</f>
        <v>341.9145</v>
      </c>
      <c r="FD9" s="78">
        <f t="shared" si="101"/>
        <v>679.7133624999999</v>
      </c>
      <c r="FE9" s="78">
        <f t="shared" si="102"/>
        <v>1021.6278624999999</v>
      </c>
      <c r="FF9" s="79">
        <f t="shared" si="103"/>
        <v>155.2697062</v>
      </c>
      <c r="FG9" s="77">
        <f t="shared" si="104"/>
        <v>65.3968467</v>
      </c>
      <c r="FH9" s="78"/>
      <c r="FI9" s="78">
        <f aca="true" t="shared" si="162" ref="FI9:FI27">C9*0.09887/100</f>
        <v>133.4745</v>
      </c>
      <c r="FJ9" s="78">
        <f t="shared" si="105"/>
        <v>265.3423625</v>
      </c>
      <c r="FK9" s="78">
        <f t="shared" si="106"/>
        <v>398.81686249999996</v>
      </c>
      <c r="FL9" s="79">
        <f t="shared" si="107"/>
        <v>60.613242199999995</v>
      </c>
      <c r="FM9" s="77">
        <f t="shared" si="108"/>
        <v>25.5292227</v>
      </c>
      <c r="FN9" s="78"/>
      <c r="FO9" s="78">
        <f aca="true" t="shared" si="163" ref="FO9:FO27">C9*1.11111/100</f>
        <v>1499.9985000000001</v>
      </c>
      <c r="FP9" s="78">
        <f t="shared" si="109"/>
        <v>2981.9414625</v>
      </c>
      <c r="FQ9" s="78">
        <f t="shared" si="110"/>
        <v>4481.939962500001</v>
      </c>
      <c r="FR9" s="79">
        <f t="shared" si="111"/>
        <v>681.1770966</v>
      </c>
      <c r="FS9" s="77">
        <f t="shared" si="112"/>
        <v>286.8997131</v>
      </c>
      <c r="FT9" s="78"/>
      <c r="FU9" s="78">
        <f aca="true" t="shared" si="164" ref="FU9:FU27">C9*2.50422/100</f>
        <v>3380.697</v>
      </c>
      <c r="FV9" s="78">
        <f t="shared" si="113"/>
        <v>6720.700425</v>
      </c>
      <c r="FW9" s="78">
        <f t="shared" si="114"/>
        <v>10101.397425</v>
      </c>
      <c r="FX9" s="79">
        <f t="shared" si="115"/>
        <v>1535.2371132</v>
      </c>
      <c r="FY9" s="77">
        <f t="shared" si="116"/>
        <v>646.6146462</v>
      </c>
      <c r="FZ9" s="78"/>
      <c r="GA9" s="78">
        <f aca="true" t="shared" si="165" ref="GA9:GA27">C9*0.31957/100</f>
        <v>431.4195</v>
      </c>
      <c r="GB9" s="78">
        <f t="shared" si="117"/>
        <v>857.6459875</v>
      </c>
      <c r="GC9" s="78">
        <f t="shared" si="118"/>
        <v>1289.0654875</v>
      </c>
      <c r="GD9" s="79">
        <f t="shared" si="119"/>
        <v>195.9155842</v>
      </c>
      <c r="GE9" s="77">
        <f t="shared" si="120"/>
        <v>82.5161697</v>
      </c>
      <c r="GF9" s="78"/>
      <c r="GG9" s="78">
        <f aca="true" t="shared" si="166" ref="GG9:GG27">C9*0.50748/100</f>
        <v>685.0980000000001</v>
      </c>
      <c r="GH9" s="78">
        <f t="shared" si="121"/>
        <v>1361.94945</v>
      </c>
      <c r="GI9" s="78">
        <f t="shared" si="122"/>
        <v>2047.04745</v>
      </c>
      <c r="GJ9" s="79">
        <f t="shared" si="123"/>
        <v>311.1156888</v>
      </c>
      <c r="GK9" s="77">
        <f t="shared" si="124"/>
        <v>131.0364108</v>
      </c>
      <c r="GL9" s="78"/>
      <c r="GM9" s="78">
        <f aca="true" t="shared" si="167" ref="GM9:GM27">C9*2.35189/100</f>
        <v>3175.0515</v>
      </c>
      <c r="GN9" s="78">
        <f t="shared" si="125"/>
        <v>6311.8847875</v>
      </c>
      <c r="GO9" s="78">
        <f t="shared" si="126"/>
        <v>9486.9362875</v>
      </c>
      <c r="GP9" s="79">
        <f t="shared" si="127"/>
        <v>1441.8496834</v>
      </c>
      <c r="GQ9" s="77">
        <f t="shared" si="128"/>
        <v>607.2815168999999</v>
      </c>
      <c r="GR9" s="78"/>
      <c r="GS9" s="78">
        <f aca="true" t="shared" si="168" ref="GS9:GS27">C9*0.12482/100</f>
        <v>168.507</v>
      </c>
      <c r="GT9" s="78">
        <f t="shared" si="129"/>
        <v>334.98567499999996</v>
      </c>
      <c r="GU9" s="78">
        <f t="shared" si="130"/>
        <v>503.49267499999996</v>
      </c>
      <c r="GV9" s="79">
        <f t="shared" si="131"/>
        <v>76.5221492</v>
      </c>
      <c r="GW9" s="77">
        <f t="shared" si="132"/>
        <v>32.2297722</v>
      </c>
      <c r="GX9" s="78"/>
      <c r="GY9" s="78">
        <f aca="true" t="shared" si="169" ref="GY9:GY27">C9*0.71564/100</f>
        <v>966.114</v>
      </c>
      <c r="GZ9" s="78">
        <f t="shared" si="133"/>
        <v>1920.59885</v>
      </c>
      <c r="HA9" s="78">
        <f t="shared" si="134"/>
        <v>2886.71285</v>
      </c>
      <c r="HB9" s="79">
        <f t="shared" si="135"/>
        <v>438.7302584</v>
      </c>
      <c r="HC9" s="77">
        <f t="shared" si="136"/>
        <v>184.7854044</v>
      </c>
      <c r="HD9" s="78"/>
      <c r="HE9" s="78"/>
      <c r="HF9" s="78"/>
      <c r="HG9" s="78"/>
      <c r="HH9" s="78"/>
      <c r="HI9" s="78"/>
    </row>
    <row r="10" spans="1:217" ht="12">
      <c r="A10" s="19">
        <v>42278</v>
      </c>
      <c r="C10" s="77"/>
      <c r="D10" s="77">
        <v>266350</v>
      </c>
      <c r="E10" s="77">
        <f t="shared" si="0"/>
        <v>266350</v>
      </c>
      <c r="F10" s="77">
        <v>61306</v>
      </c>
      <c r="G10" s="77">
        <v>25821</v>
      </c>
      <c r="H10" s="78"/>
      <c r="I10" s="79"/>
      <c r="J10" s="79">
        <f t="shared" si="1"/>
        <v>144581.67846499998</v>
      </c>
      <c r="K10" s="79">
        <f t="shared" si="2"/>
        <v>144581.67846499998</v>
      </c>
      <c r="L10" s="79">
        <f t="shared" si="3"/>
        <v>33278.484625400015</v>
      </c>
      <c r="M10" s="79">
        <f t="shared" si="4"/>
        <v>14016.3075639</v>
      </c>
      <c r="N10" s="78"/>
      <c r="O10" s="78"/>
      <c r="P10" s="78">
        <f t="shared" si="5"/>
        <v>17617.77402</v>
      </c>
      <c r="Q10" s="79">
        <f t="shared" si="6"/>
        <v>17617.77402</v>
      </c>
      <c r="R10" s="79">
        <f t="shared" si="7"/>
        <v>4055.0976312000003</v>
      </c>
      <c r="S10" s="77">
        <f t="shared" si="8"/>
        <v>1707.9352092000001</v>
      </c>
      <c r="T10" s="78"/>
      <c r="U10" s="78"/>
      <c r="V10" s="78">
        <f t="shared" si="9"/>
        <v>300.86896</v>
      </c>
      <c r="W10" s="78">
        <f t="shared" si="10"/>
        <v>300.86896</v>
      </c>
      <c r="X10" s="79">
        <f t="shared" si="11"/>
        <v>69.25125759999999</v>
      </c>
      <c r="Y10" s="77">
        <f t="shared" si="12"/>
        <v>29.167401599999998</v>
      </c>
      <c r="Z10" s="78"/>
      <c r="AA10" s="79"/>
      <c r="AB10" s="78">
        <f t="shared" si="13"/>
        <v>1358.22519</v>
      </c>
      <c r="AC10" s="78">
        <f t="shared" si="14"/>
        <v>1358.22519</v>
      </c>
      <c r="AD10" s="79">
        <f t="shared" si="15"/>
        <v>312.62381639999995</v>
      </c>
      <c r="AE10" s="77">
        <f t="shared" si="16"/>
        <v>131.6716074</v>
      </c>
      <c r="AF10" s="78"/>
      <c r="AG10" s="78"/>
      <c r="AH10" s="78">
        <f t="shared" si="17"/>
        <v>23619.838095</v>
      </c>
      <c r="AI10" s="78">
        <f t="shared" si="18"/>
        <v>23619.838095</v>
      </c>
      <c r="AJ10" s="79">
        <f t="shared" si="19"/>
        <v>5436.5976882</v>
      </c>
      <c r="AK10" s="77">
        <f t="shared" si="20"/>
        <v>2289.7985337</v>
      </c>
      <c r="AL10" s="78"/>
      <c r="AM10" s="78"/>
      <c r="AN10" s="78">
        <f t="shared" si="21"/>
        <v>286.11316999999997</v>
      </c>
      <c r="AO10" s="78">
        <f t="shared" si="22"/>
        <v>286.11316999999997</v>
      </c>
      <c r="AP10" s="79">
        <f t="shared" si="23"/>
        <v>65.8549052</v>
      </c>
      <c r="AQ10" s="77">
        <f t="shared" si="24"/>
        <v>27.736918199999998</v>
      </c>
      <c r="AR10" s="78"/>
      <c r="AS10" s="78"/>
      <c r="AT10" s="78">
        <f t="shared" si="25"/>
        <v>241.28646500000002</v>
      </c>
      <c r="AU10" s="78">
        <f t="shared" si="26"/>
        <v>241.28646500000002</v>
      </c>
      <c r="AV10" s="79">
        <f t="shared" si="27"/>
        <v>55.537105399999994</v>
      </c>
      <c r="AW10" s="77">
        <f t="shared" si="28"/>
        <v>23.3912439</v>
      </c>
      <c r="AX10" s="78"/>
      <c r="AY10" s="78"/>
      <c r="AZ10" s="78">
        <f t="shared" si="29"/>
        <v>9899.377180000001</v>
      </c>
      <c r="BA10" s="78">
        <f t="shared" si="30"/>
        <v>9899.377180000001</v>
      </c>
      <c r="BB10" s="79">
        <f t="shared" si="31"/>
        <v>2278.5478408</v>
      </c>
      <c r="BC10" s="77">
        <f t="shared" si="32"/>
        <v>959.6839428</v>
      </c>
      <c r="BD10" s="78"/>
      <c r="BE10" s="78"/>
      <c r="BF10" s="78">
        <f t="shared" si="33"/>
        <v>20312.463605</v>
      </c>
      <c r="BG10" s="78">
        <f t="shared" si="34"/>
        <v>20312.463605</v>
      </c>
      <c r="BH10" s="79">
        <f t="shared" si="35"/>
        <v>4675.3365638000005</v>
      </c>
      <c r="BI10" s="77">
        <f t="shared" si="36"/>
        <v>1969.1688483</v>
      </c>
      <c r="BJ10" s="78"/>
      <c r="BK10" s="78"/>
      <c r="BL10" s="78">
        <f t="shared" si="37"/>
        <v>234.49453999999997</v>
      </c>
      <c r="BM10" s="78">
        <f t="shared" si="38"/>
        <v>234.49453999999997</v>
      </c>
      <c r="BN10" s="79">
        <f t="shared" si="39"/>
        <v>53.973802400000004</v>
      </c>
      <c r="BO10" s="77">
        <f t="shared" si="40"/>
        <v>22.7328084</v>
      </c>
      <c r="BP10" s="78"/>
      <c r="BQ10" s="78"/>
      <c r="BR10" s="78">
        <f t="shared" si="41"/>
        <v>157.51939000000002</v>
      </c>
      <c r="BS10" s="78">
        <f t="shared" si="42"/>
        <v>157.51939000000002</v>
      </c>
      <c r="BT10" s="79">
        <f t="shared" si="43"/>
        <v>36.2563684</v>
      </c>
      <c r="BU10" s="77">
        <f t="shared" si="44"/>
        <v>15.270539399999999</v>
      </c>
      <c r="BV10" s="78"/>
      <c r="BW10" s="78"/>
      <c r="BX10" s="78">
        <f t="shared" si="45"/>
        <v>-23.465435000000003</v>
      </c>
      <c r="BY10" s="78">
        <f t="shared" si="46"/>
        <v>-23.465435000000003</v>
      </c>
      <c r="BZ10" s="79">
        <f t="shared" si="47"/>
        <v>-5.4010586</v>
      </c>
      <c r="CA10" s="77">
        <f t="shared" si="48"/>
        <v>-2.2748301</v>
      </c>
      <c r="CB10" s="78"/>
      <c r="CC10" s="78"/>
      <c r="CD10" s="78">
        <f t="shared" si="49"/>
        <v>-15.288490000000001</v>
      </c>
      <c r="CE10" s="78">
        <f t="shared" si="50"/>
        <v>-15.288490000000001</v>
      </c>
      <c r="CF10" s="79">
        <f t="shared" si="51"/>
        <v>-3.5189643999999998</v>
      </c>
      <c r="CG10" s="77">
        <f t="shared" si="52"/>
        <v>-1.4821254</v>
      </c>
      <c r="CH10" s="78"/>
      <c r="CI10" s="78"/>
      <c r="CJ10" s="78">
        <f t="shared" si="53"/>
        <v>568.55071</v>
      </c>
      <c r="CK10" s="78">
        <f t="shared" si="54"/>
        <v>568.55071</v>
      </c>
      <c r="CL10" s="79">
        <f t="shared" si="55"/>
        <v>130.8637876</v>
      </c>
      <c r="CM10" s="77">
        <f t="shared" si="56"/>
        <v>55.1175066</v>
      </c>
      <c r="CN10" s="78"/>
      <c r="CO10" s="78"/>
      <c r="CP10" s="78">
        <f t="shared" si="57"/>
        <v>3496.37645</v>
      </c>
      <c r="CQ10" s="78">
        <f t="shared" si="58"/>
        <v>3496.37645</v>
      </c>
      <c r="CR10" s="79">
        <f t="shared" si="59"/>
        <v>804.763862</v>
      </c>
      <c r="CS10" s="77">
        <f t="shared" si="60"/>
        <v>338.952267</v>
      </c>
      <c r="CT10" s="78"/>
      <c r="CU10" s="78"/>
      <c r="CV10" s="78">
        <f t="shared" si="61"/>
        <v>23488.101384999998</v>
      </c>
      <c r="CW10" s="78">
        <f t="shared" si="62"/>
        <v>23488.101384999998</v>
      </c>
      <c r="CX10" s="79">
        <f t="shared" si="63"/>
        <v>5406.2757406</v>
      </c>
      <c r="CY10" s="77">
        <f t="shared" si="64"/>
        <v>2277.0274671</v>
      </c>
      <c r="CZ10" s="78"/>
      <c r="DA10" s="78"/>
      <c r="DB10" s="78">
        <f t="shared" si="65"/>
        <v>3388.8243199999997</v>
      </c>
      <c r="DC10" s="78">
        <f t="shared" si="66"/>
        <v>3388.8243199999997</v>
      </c>
      <c r="DD10" s="79">
        <f t="shared" si="67"/>
        <v>780.0084992000001</v>
      </c>
      <c r="DE10" s="77">
        <f t="shared" si="68"/>
        <v>328.5257472</v>
      </c>
      <c r="DF10" s="78"/>
      <c r="DG10" s="78"/>
      <c r="DH10" s="78">
        <f t="shared" si="69"/>
        <v>6924.35422</v>
      </c>
      <c r="DI10" s="78">
        <f t="shared" si="70"/>
        <v>6924.35422</v>
      </c>
      <c r="DJ10" s="79">
        <f t="shared" si="71"/>
        <v>1593.7843432000002</v>
      </c>
      <c r="DK10" s="77">
        <f t="shared" si="72"/>
        <v>671.2737012</v>
      </c>
      <c r="DL10" s="78"/>
      <c r="DM10" s="78"/>
      <c r="DN10" s="78">
        <f t="shared" si="73"/>
        <v>1122.98487</v>
      </c>
      <c r="DO10" s="78">
        <f t="shared" si="74"/>
        <v>1122.98487</v>
      </c>
      <c r="DP10" s="79">
        <f t="shared" si="75"/>
        <v>258.4783572</v>
      </c>
      <c r="DQ10" s="77">
        <f t="shared" si="76"/>
        <v>108.86650019999999</v>
      </c>
      <c r="DR10" s="78"/>
      <c r="DS10" s="78"/>
      <c r="DT10" s="78">
        <f t="shared" si="77"/>
        <v>5760.671069999999</v>
      </c>
      <c r="DU10" s="78">
        <f t="shared" si="78"/>
        <v>5760.671069999999</v>
      </c>
      <c r="DV10" s="79">
        <f t="shared" si="79"/>
        <v>1325.9384292</v>
      </c>
      <c r="DW10" s="77">
        <f t="shared" si="80"/>
        <v>558.4617522</v>
      </c>
      <c r="DX10" s="78"/>
      <c r="DY10" s="78"/>
      <c r="DZ10" s="78">
        <f t="shared" si="81"/>
        <v>51.485455</v>
      </c>
      <c r="EA10" s="78">
        <f t="shared" si="82"/>
        <v>51.485455</v>
      </c>
      <c r="EB10" s="79">
        <f t="shared" si="83"/>
        <v>11.8504498</v>
      </c>
      <c r="EC10" s="77">
        <f t="shared" si="84"/>
        <v>4.9911993</v>
      </c>
      <c r="ED10" s="78"/>
      <c r="EE10" s="78"/>
      <c r="EF10" s="78">
        <f t="shared" si="85"/>
        <v>67.75944</v>
      </c>
      <c r="EG10" s="78">
        <f t="shared" si="86"/>
        <v>67.75944</v>
      </c>
      <c r="EH10" s="79">
        <f t="shared" si="87"/>
        <v>15.5962464</v>
      </c>
      <c r="EI10" s="77">
        <f t="shared" si="88"/>
        <v>6.5688624</v>
      </c>
      <c r="EJ10" s="78"/>
      <c r="EK10" s="78"/>
      <c r="EL10" s="78">
        <f t="shared" si="89"/>
        <v>3414.2607450000005</v>
      </c>
      <c r="EM10" s="78">
        <f t="shared" si="90"/>
        <v>3414.2607450000005</v>
      </c>
      <c r="EN10" s="79">
        <f t="shared" si="91"/>
        <v>785.8632222</v>
      </c>
      <c r="EO10" s="77">
        <f t="shared" si="92"/>
        <v>330.99165270000003</v>
      </c>
      <c r="EP10" s="78"/>
      <c r="EQ10" s="78"/>
      <c r="ER10" s="78">
        <f t="shared" si="93"/>
        <v>64.9894</v>
      </c>
      <c r="ES10" s="78">
        <f t="shared" si="94"/>
        <v>64.9894</v>
      </c>
      <c r="ET10" s="79">
        <f t="shared" si="95"/>
        <v>14.958663999999999</v>
      </c>
      <c r="EU10" s="77">
        <f t="shared" si="96"/>
        <v>6.300324</v>
      </c>
      <c r="EV10" s="78"/>
      <c r="EW10" s="78"/>
      <c r="EX10" s="78">
        <f t="shared" si="97"/>
        <v>971.0854650000001</v>
      </c>
      <c r="EY10" s="78">
        <f t="shared" si="98"/>
        <v>971.0854650000001</v>
      </c>
      <c r="EZ10" s="79">
        <f t="shared" si="99"/>
        <v>223.5155454</v>
      </c>
      <c r="FA10" s="77">
        <f t="shared" si="100"/>
        <v>94.1407839</v>
      </c>
      <c r="FB10" s="78"/>
      <c r="FC10" s="78"/>
      <c r="FD10" s="78">
        <f t="shared" si="101"/>
        <v>674.584645</v>
      </c>
      <c r="FE10" s="78">
        <f t="shared" si="102"/>
        <v>674.584645</v>
      </c>
      <c r="FF10" s="79">
        <f t="shared" si="103"/>
        <v>155.2697062</v>
      </c>
      <c r="FG10" s="77">
        <f t="shared" si="104"/>
        <v>65.3968467</v>
      </c>
      <c r="FH10" s="78"/>
      <c r="FI10" s="78"/>
      <c r="FJ10" s="78">
        <f t="shared" si="105"/>
        <v>263.340245</v>
      </c>
      <c r="FK10" s="78">
        <f t="shared" si="106"/>
        <v>263.340245</v>
      </c>
      <c r="FL10" s="79">
        <f t="shared" si="107"/>
        <v>60.613242199999995</v>
      </c>
      <c r="FM10" s="77">
        <f t="shared" si="108"/>
        <v>25.5292227</v>
      </c>
      <c r="FN10" s="78"/>
      <c r="FO10" s="78"/>
      <c r="FP10" s="78">
        <f t="shared" si="109"/>
        <v>2959.4414850000003</v>
      </c>
      <c r="FQ10" s="78">
        <f t="shared" si="110"/>
        <v>2959.4414850000003</v>
      </c>
      <c r="FR10" s="79">
        <f t="shared" si="111"/>
        <v>681.1770966</v>
      </c>
      <c r="FS10" s="77">
        <f t="shared" si="112"/>
        <v>286.8997131</v>
      </c>
      <c r="FT10" s="78"/>
      <c r="FU10" s="78"/>
      <c r="FV10" s="78">
        <f t="shared" si="113"/>
        <v>6669.98997</v>
      </c>
      <c r="FW10" s="78">
        <f t="shared" si="114"/>
        <v>6669.98997</v>
      </c>
      <c r="FX10" s="79">
        <f t="shared" si="115"/>
        <v>1535.2371132</v>
      </c>
      <c r="FY10" s="77">
        <f t="shared" si="116"/>
        <v>646.6146462</v>
      </c>
      <c r="FZ10" s="78"/>
      <c r="GA10" s="78"/>
      <c r="GB10" s="78">
        <f t="shared" si="117"/>
        <v>851.174695</v>
      </c>
      <c r="GC10" s="78">
        <f t="shared" si="118"/>
        <v>851.174695</v>
      </c>
      <c r="GD10" s="79">
        <f t="shared" si="119"/>
        <v>195.9155842</v>
      </c>
      <c r="GE10" s="77">
        <f t="shared" si="120"/>
        <v>82.5161697</v>
      </c>
      <c r="GF10" s="78"/>
      <c r="GG10" s="78"/>
      <c r="GH10" s="78">
        <f t="shared" si="121"/>
        <v>1351.67298</v>
      </c>
      <c r="GI10" s="78">
        <f t="shared" si="122"/>
        <v>1351.67298</v>
      </c>
      <c r="GJ10" s="79">
        <f t="shared" si="123"/>
        <v>311.1156888</v>
      </c>
      <c r="GK10" s="77">
        <f t="shared" si="124"/>
        <v>131.0364108</v>
      </c>
      <c r="GL10" s="78"/>
      <c r="GM10" s="78"/>
      <c r="GN10" s="78">
        <f t="shared" si="125"/>
        <v>6264.2590150000005</v>
      </c>
      <c r="GO10" s="78">
        <f t="shared" si="126"/>
        <v>6264.2590150000005</v>
      </c>
      <c r="GP10" s="79">
        <f t="shared" si="127"/>
        <v>1441.8496834</v>
      </c>
      <c r="GQ10" s="77">
        <f t="shared" si="128"/>
        <v>607.2815168999999</v>
      </c>
      <c r="GR10" s="78"/>
      <c r="GS10" s="78"/>
      <c r="GT10" s="78">
        <f t="shared" si="129"/>
        <v>332.45807</v>
      </c>
      <c r="GU10" s="78">
        <f t="shared" si="130"/>
        <v>332.45807</v>
      </c>
      <c r="GV10" s="79">
        <f t="shared" si="131"/>
        <v>76.5221492</v>
      </c>
      <c r="GW10" s="77">
        <f t="shared" si="132"/>
        <v>32.2297722</v>
      </c>
      <c r="GX10" s="78"/>
      <c r="GY10" s="78"/>
      <c r="GZ10" s="78">
        <f t="shared" si="133"/>
        <v>1906.10714</v>
      </c>
      <c r="HA10" s="78">
        <f t="shared" si="134"/>
        <v>1906.10714</v>
      </c>
      <c r="HB10" s="79">
        <f t="shared" si="135"/>
        <v>438.7302584</v>
      </c>
      <c r="HC10" s="77">
        <f t="shared" si="136"/>
        <v>184.7854044</v>
      </c>
      <c r="HD10" s="78"/>
      <c r="HE10" s="78"/>
      <c r="HF10" s="78"/>
      <c r="HG10" s="78"/>
      <c r="HH10" s="78"/>
      <c r="HI10" s="78"/>
    </row>
    <row r="11" spans="1:217" ht="12">
      <c r="A11" s="19">
        <v>42461</v>
      </c>
      <c r="C11" s="77">
        <v>5090000</v>
      </c>
      <c r="D11" s="77">
        <v>266350</v>
      </c>
      <c r="E11" s="77">
        <f t="shared" si="0"/>
        <v>5356350</v>
      </c>
      <c r="F11" s="77">
        <v>61306</v>
      </c>
      <c r="G11" s="77">
        <v>25821</v>
      </c>
      <c r="H11" s="78"/>
      <c r="I11" s="79">
        <f>O11+U11+AA11+AG11+AM11+AS11+AY11+BE11+BK11+BQ11+BW11+CC11+CI11+CO11+CU11+DA11+DG11+DM11+DS11+DY11+EE11+EK11+EQ11+EW11+FC11+FI11+FO11+FU11+GA11+GG11+GM11+GS11+GY11</f>
        <v>2762983.831</v>
      </c>
      <c r="J11" s="79">
        <f t="shared" si="1"/>
        <v>144581.67846499998</v>
      </c>
      <c r="K11" s="79">
        <f t="shared" si="2"/>
        <v>2907565.5094649997</v>
      </c>
      <c r="L11" s="79">
        <f t="shared" si="3"/>
        <v>33278.484625400015</v>
      </c>
      <c r="M11" s="79">
        <f t="shared" si="4"/>
        <v>14016.3075639</v>
      </c>
      <c r="N11" s="78"/>
      <c r="O11" s="78">
        <f t="shared" si="137"/>
        <v>336679.06799999997</v>
      </c>
      <c r="P11" s="78">
        <f t="shared" si="5"/>
        <v>17617.77402</v>
      </c>
      <c r="Q11" s="79">
        <f t="shared" si="6"/>
        <v>354296.84202</v>
      </c>
      <c r="R11" s="79">
        <f t="shared" si="7"/>
        <v>4055.0976312000003</v>
      </c>
      <c r="S11" s="77">
        <f t="shared" si="8"/>
        <v>1707.9352092000001</v>
      </c>
      <c r="T11" s="78"/>
      <c r="U11" s="78">
        <f t="shared" si="138"/>
        <v>5749.664000000001</v>
      </c>
      <c r="V11" s="78">
        <f t="shared" si="9"/>
        <v>300.86896</v>
      </c>
      <c r="W11" s="78">
        <f t="shared" si="10"/>
        <v>6050.5329600000005</v>
      </c>
      <c r="X11" s="79">
        <f t="shared" si="11"/>
        <v>69.25125759999999</v>
      </c>
      <c r="Y11" s="77">
        <f t="shared" si="12"/>
        <v>29.167401599999998</v>
      </c>
      <c r="Z11" s="78"/>
      <c r="AA11" s="79">
        <f t="shared" si="139"/>
        <v>25955.945999999996</v>
      </c>
      <c r="AB11" s="78">
        <f t="shared" si="13"/>
        <v>1358.22519</v>
      </c>
      <c r="AC11" s="78">
        <f t="shared" si="14"/>
        <v>27314.171189999997</v>
      </c>
      <c r="AD11" s="79">
        <f t="shared" si="15"/>
        <v>312.62381639999995</v>
      </c>
      <c r="AE11" s="77">
        <f t="shared" si="16"/>
        <v>131.6716074</v>
      </c>
      <c r="AF11" s="78"/>
      <c r="AG11" s="78">
        <f t="shared" si="140"/>
        <v>451379.67299999995</v>
      </c>
      <c r="AH11" s="78">
        <f t="shared" si="17"/>
        <v>23619.838095</v>
      </c>
      <c r="AI11" s="78">
        <f t="shared" si="18"/>
        <v>474999.51109499997</v>
      </c>
      <c r="AJ11" s="79">
        <f t="shared" si="19"/>
        <v>5436.5976882</v>
      </c>
      <c r="AK11" s="77">
        <f t="shared" si="20"/>
        <v>2289.7985337</v>
      </c>
      <c r="AL11" s="78"/>
      <c r="AM11" s="78">
        <f t="shared" si="141"/>
        <v>5467.678000000001</v>
      </c>
      <c r="AN11" s="78">
        <f t="shared" si="21"/>
        <v>286.11316999999997</v>
      </c>
      <c r="AO11" s="78">
        <f t="shared" si="22"/>
        <v>5753.79117</v>
      </c>
      <c r="AP11" s="79">
        <f t="shared" si="23"/>
        <v>65.8549052</v>
      </c>
      <c r="AQ11" s="77">
        <f t="shared" si="24"/>
        <v>27.736918199999998</v>
      </c>
      <c r="AR11" s="78"/>
      <c r="AS11" s="78">
        <f t="shared" si="142"/>
        <v>4611.031</v>
      </c>
      <c r="AT11" s="78">
        <f t="shared" si="25"/>
        <v>241.28646500000002</v>
      </c>
      <c r="AU11" s="78">
        <f t="shared" si="26"/>
        <v>4852.317465</v>
      </c>
      <c r="AV11" s="79">
        <f t="shared" si="27"/>
        <v>55.537105399999994</v>
      </c>
      <c r="AW11" s="77">
        <f t="shared" si="28"/>
        <v>23.3912439</v>
      </c>
      <c r="AX11" s="78"/>
      <c r="AY11" s="78">
        <f t="shared" si="143"/>
        <v>189179.012</v>
      </c>
      <c r="AZ11" s="78">
        <f t="shared" si="29"/>
        <v>9899.377180000001</v>
      </c>
      <c r="BA11" s="78">
        <f t="shared" si="30"/>
        <v>199078.38918</v>
      </c>
      <c r="BB11" s="79">
        <f t="shared" si="31"/>
        <v>2278.5478408</v>
      </c>
      <c r="BC11" s="77">
        <f t="shared" si="32"/>
        <v>959.6839428</v>
      </c>
      <c r="BD11" s="78"/>
      <c r="BE11" s="78">
        <f t="shared" si="144"/>
        <v>388175.10699999996</v>
      </c>
      <c r="BF11" s="78">
        <f t="shared" si="33"/>
        <v>20312.463605</v>
      </c>
      <c r="BG11" s="78">
        <f t="shared" si="34"/>
        <v>408487.57060499996</v>
      </c>
      <c r="BH11" s="79">
        <f t="shared" si="35"/>
        <v>4675.3365638000005</v>
      </c>
      <c r="BI11" s="77">
        <f t="shared" si="36"/>
        <v>1969.1688483</v>
      </c>
      <c r="BJ11" s="78"/>
      <c r="BK11" s="78">
        <f t="shared" si="145"/>
        <v>4481.236</v>
      </c>
      <c r="BL11" s="78">
        <f t="shared" si="37"/>
        <v>234.49453999999997</v>
      </c>
      <c r="BM11" s="78">
        <f t="shared" si="38"/>
        <v>4715.73054</v>
      </c>
      <c r="BN11" s="79">
        <f t="shared" si="39"/>
        <v>53.973802400000004</v>
      </c>
      <c r="BO11" s="77">
        <f t="shared" si="40"/>
        <v>22.7328084</v>
      </c>
      <c r="BP11" s="78"/>
      <c r="BQ11" s="78">
        <f t="shared" si="146"/>
        <v>3010.2259999999997</v>
      </c>
      <c r="BR11" s="78">
        <f t="shared" si="41"/>
        <v>157.51939000000002</v>
      </c>
      <c r="BS11" s="78">
        <f t="shared" si="42"/>
        <v>3167.7453899999996</v>
      </c>
      <c r="BT11" s="79">
        <f t="shared" si="43"/>
        <v>36.2563684</v>
      </c>
      <c r="BU11" s="77">
        <f t="shared" si="44"/>
        <v>15.270539399999999</v>
      </c>
      <c r="BV11" s="78"/>
      <c r="BW11" s="78">
        <f t="shared" si="147"/>
        <v>-448.42900000000003</v>
      </c>
      <c r="BX11" s="78">
        <f t="shared" si="45"/>
        <v>-23.465435000000003</v>
      </c>
      <c r="BY11" s="78">
        <f t="shared" si="46"/>
        <v>-471.89443500000004</v>
      </c>
      <c r="BZ11" s="79">
        <f t="shared" si="47"/>
        <v>-5.4010586</v>
      </c>
      <c r="CA11" s="77">
        <f t="shared" si="48"/>
        <v>-2.2748301</v>
      </c>
      <c r="CB11" s="78"/>
      <c r="CC11" s="78">
        <f t="shared" si="148"/>
        <v>-292.166</v>
      </c>
      <c r="CD11" s="78">
        <f t="shared" si="49"/>
        <v>-15.288490000000001</v>
      </c>
      <c r="CE11" s="78">
        <f t="shared" si="50"/>
        <v>-307.45449</v>
      </c>
      <c r="CF11" s="79">
        <f t="shared" si="51"/>
        <v>-3.5189643999999998</v>
      </c>
      <c r="CG11" s="77">
        <f t="shared" si="52"/>
        <v>-1.4821254</v>
      </c>
      <c r="CH11" s="78"/>
      <c r="CI11" s="78">
        <f t="shared" si="149"/>
        <v>10865.114000000001</v>
      </c>
      <c r="CJ11" s="78">
        <f t="shared" si="53"/>
        <v>568.55071</v>
      </c>
      <c r="CK11" s="78">
        <f t="shared" si="54"/>
        <v>11433.664710000001</v>
      </c>
      <c r="CL11" s="79">
        <f t="shared" si="55"/>
        <v>130.8637876</v>
      </c>
      <c r="CM11" s="77">
        <f t="shared" si="56"/>
        <v>55.1175066</v>
      </c>
      <c r="CN11" s="78"/>
      <c r="CO11" s="78">
        <f t="shared" si="150"/>
        <v>66816.43</v>
      </c>
      <c r="CP11" s="78">
        <f t="shared" si="57"/>
        <v>3496.37645</v>
      </c>
      <c r="CQ11" s="78">
        <f t="shared" si="58"/>
        <v>70312.80644999999</v>
      </c>
      <c r="CR11" s="79">
        <f t="shared" si="59"/>
        <v>804.763862</v>
      </c>
      <c r="CS11" s="77">
        <f t="shared" si="60"/>
        <v>338.952267</v>
      </c>
      <c r="CT11" s="78"/>
      <c r="CU11" s="78">
        <f t="shared" si="151"/>
        <v>448862.159</v>
      </c>
      <c r="CV11" s="78">
        <f t="shared" si="61"/>
        <v>23488.101384999998</v>
      </c>
      <c r="CW11" s="78">
        <f t="shared" si="62"/>
        <v>472350.260385</v>
      </c>
      <c r="CX11" s="79">
        <f t="shared" si="63"/>
        <v>5406.2757406</v>
      </c>
      <c r="CY11" s="77">
        <f t="shared" si="64"/>
        <v>2277.0274671</v>
      </c>
      <c r="CZ11" s="78"/>
      <c r="DA11" s="78">
        <f t="shared" si="152"/>
        <v>64761.087999999996</v>
      </c>
      <c r="DB11" s="78">
        <f t="shared" si="65"/>
        <v>3388.8243199999997</v>
      </c>
      <c r="DC11" s="78">
        <f t="shared" si="66"/>
        <v>68149.91232</v>
      </c>
      <c r="DD11" s="79">
        <f t="shared" si="67"/>
        <v>780.0084992000001</v>
      </c>
      <c r="DE11" s="77">
        <f t="shared" si="68"/>
        <v>328.5257472</v>
      </c>
      <c r="DF11" s="78"/>
      <c r="DG11" s="78">
        <f t="shared" si="153"/>
        <v>132325.74800000002</v>
      </c>
      <c r="DH11" s="78">
        <f t="shared" si="69"/>
        <v>6924.35422</v>
      </c>
      <c r="DI11" s="78">
        <f t="shared" si="70"/>
        <v>139250.10222000003</v>
      </c>
      <c r="DJ11" s="79">
        <f t="shared" si="71"/>
        <v>1593.7843432000002</v>
      </c>
      <c r="DK11" s="77">
        <f t="shared" si="72"/>
        <v>671.2737012</v>
      </c>
      <c r="DL11" s="78"/>
      <c r="DM11" s="78">
        <f t="shared" si="154"/>
        <v>21460.458</v>
      </c>
      <c r="DN11" s="78">
        <f t="shared" si="73"/>
        <v>1122.98487</v>
      </c>
      <c r="DO11" s="78">
        <f t="shared" si="74"/>
        <v>22583.44287</v>
      </c>
      <c r="DP11" s="79">
        <f t="shared" si="75"/>
        <v>258.4783572</v>
      </c>
      <c r="DQ11" s="77">
        <f t="shared" si="76"/>
        <v>108.86650019999999</v>
      </c>
      <c r="DR11" s="78"/>
      <c r="DS11" s="78">
        <f t="shared" si="155"/>
        <v>110087.538</v>
      </c>
      <c r="DT11" s="78">
        <f t="shared" si="77"/>
        <v>5760.671069999999</v>
      </c>
      <c r="DU11" s="78">
        <f t="shared" si="78"/>
        <v>115848.20907</v>
      </c>
      <c r="DV11" s="79">
        <f t="shared" si="79"/>
        <v>1325.9384292</v>
      </c>
      <c r="DW11" s="77">
        <f t="shared" si="80"/>
        <v>558.4617522</v>
      </c>
      <c r="DX11" s="78"/>
      <c r="DY11" s="78">
        <f t="shared" si="156"/>
        <v>983.8969999999999</v>
      </c>
      <c r="DZ11" s="78">
        <f t="shared" si="81"/>
        <v>51.485455</v>
      </c>
      <c r="EA11" s="78">
        <f t="shared" si="82"/>
        <v>1035.382455</v>
      </c>
      <c r="EB11" s="79">
        <f t="shared" si="83"/>
        <v>11.8504498</v>
      </c>
      <c r="EC11" s="77">
        <f t="shared" si="84"/>
        <v>4.9911993</v>
      </c>
      <c r="ED11" s="78"/>
      <c r="EE11" s="78">
        <f t="shared" si="157"/>
        <v>1294.896</v>
      </c>
      <c r="EF11" s="78">
        <f t="shared" si="85"/>
        <v>67.75944</v>
      </c>
      <c r="EG11" s="78">
        <f t="shared" si="86"/>
        <v>1362.65544</v>
      </c>
      <c r="EH11" s="79">
        <f t="shared" si="87"/>
        <v>15.5962464</v>
      </c>
      <c r="EI11" s="77">
        <f t="shared" si="88"/>
        <v>6.5688624</v>
      </c>
      <c r="EJ11" s="78"/>
      <c r="EK11" s="78">
        <f t="shared" si="158"/>
        <v>65247.183000000005</v>
      </c>
      <c r="EL11" s="78">
        <f t="shared" si="89"/>
        <v>3414.2607450000005</v>
      </c>
      <c r="EM11" s="78">
        <f t="shared" si="90"/>
        <v>68661.44374500001</v>
      </c>
      <c r="EN11" s="79">
        <f t="shared" si="91"/>
        <v>785.8632222</v>
      </c>
      <c r="EO11" s="77">
        <f t="shared" si="92"/>
        <v>330.99165270000003</v>
      </c>
      <c r="EP11" s="78"/>
      <c r="EQ11" s="78">
        <f t="shared" si="159"/>
        <v>1241.96</v>
      </c>
      <c r="ER11" s="78">
        <f t="shared" si="93"/>
        <v>64.9894</v>
      </c>
      <c r="ES11" s="78">
        <f t="shared" si="94"/>
        <v>1306.9494</v>
      </c>
      <c r="ET11" s="79">
        <f t="shared" si="95"/>
        <v>14.958663999999999</v>
      </c>
      <c r="EU11" s="77">
        <f t="shared" si="96"/>
        <v>6.300324</v>
      </c>
      <c r="EV11" s="78"/>
      <c r="EW11" s="78">
        <f t="shared" si="160"/>
        <v>18557.631</v>
      </c>
      <c r="EX11" s="78">
        <f t="shared" si="97"/>
        <v>971.0854650000001</v>
      </c>
      <c r="EY11" s="78">
        <f t="shared" si="98"/>
        <v>19528.716465</v>
      </c>
      <c r="EZ11" s="79">
        <f t="shared" si="99"/>
        <v>223.5155454</v>
      </c>
      <c r="FA11" s="77">
        <f t="shared" si="100"/>
        <v>94.1407839</v>
      </c>
      <c r="FB11" s="78"/>
      <c r="FC11" s="78">
        <f t="shared" si="161"/>
        <v>12891.443000000001</v>
      </c>
      <c r="FD11" s="78">
        <f t="shared" si="101"/>
        <v>674.584645</v>
      </c>
      <c r="FE11" s="78">
        <f t="shared" si="102"/>
        <v>13566.027645000002</v>
      </c>
      <c r="FF11" s="79">
        <f t="shared" si="103"/>
        <v>155.2697062</v>
      </c>
      <c r="FG11" s="77">
        <f t="shared" si="104"/>
        <v>65.3968467</v>
      </c>
      <c r="FH11" s="78"/>
      <c r="FI11" s="78">
        <f t="shared" si="162"/>
        <v>5032.483</v>
      </c>
      <c r="FJ11" s="78">
        <f t="shared" si="105"/>
        <v>263.340245</v>
      </c>
      <c r="FK11" s="78">
        <f t="shared" si="106"/>
        <v>5295.8232450000005</v>
      </c>
      <c r="FL11" s="79">
        <f t="shared" si="107"/>
        <v>60.613242199999995</v>
      </c>
      <c r="FM11" s="77">
        <f t="shared" si="108"/>
        <v>25.5292227</v>
      </c>
      <c r="FN11" s="78"/>
      <c r="FO11" s="78">
        <f t="shared" si="163"/>
        <v>56555.499</v>
      </c>
      <c r="FP11" s="78">
        <f t="shared" si="109"/>
        <v>2959.4414850000003</v>
      </c>
      <c r="FQ11" s="78">
        <f t="shared" si="110"/>
        <v>59514.94048500001</v>
      </c>
      <c r="FR11" s="79">
        <f t="shared" si="111"/>
        <v>681.1770966</v>
      </c>
      <c r="FS11" s="77">
        <f t="shared" si="112"/>
        <v>286.8997131</v>
      </c>
      <c r="FT11" s="78"/>
      <c r="FU11" s="78">
        <f t="shared" si="164"/>
        <v>127464.79800000001</v>
      </c>
      <c r="FV11" s="78">
        <f t="shared" si="113"/>
        <v>6669.98997</v>
      </c>
      <c r="FW11" s="78">
        <f t="shared" si="114"/>
        <v>134134.78797</v>
      </c>
      <c r="FX11" s="79">
        <f t="shared" si="115"/>
        <v>1535.2371132</v>
      </c>
      <c r="FY11" s="77">
        <f t="shared" si="116"/>
        <v>646.6146462</v>
      </c>
      <c r="FZ11" s="78"/>
      <c r="GA11" s="78">
        <f t="shared" si="165"/>
        <v>16266.113000000001</v>
      </c>
      <c r="GB11" s="78">
        <f t="shared" si="117"/>
        <v>851.174695</v>
      </c>
      <c r="GC11" s="78">
        <f t="shared" si="118"/>
        <v>17117.287695000003</v>
      </c>
      <c r="GD11" s="79">
        <f t="shared" si="119"/>
        <v>195.9155842</v>
      </c>
      <c r="GE11" s="77">
        <f t="shared" si="120"/>
        <v>82.5161697</v>
      </c>
      <c r="GF11" s="78"/>
      <c r="GG11" s="78">
        <f t="shared" si="166"/>
        <v>25830.732000000004</v>
      </c>
      <c r="GH11" s="78">
        <f t="shared" si="121"/>
        <v>1351.67298</v>
      </c>
      <c r="GI11" s="78">
        <f t="shared" si="122"/>
        <v>27182.404980000003</v>
      </c>
      <c r="GJ11" s="79">
        <f t="shared" si="123"/>
        <v>311.1156888</v>
      </c>
      <c r="GK11" s="77">
        <f t="shared" si="124"/>
        <v>131.0364108</v>
      </c>
      <c r="GL11" s="78"/>
      <c r="GM11" s="78">
        <f t="shared" si="167"/>
        <v>119711.201</v>
      </c>
      <c r="GN11" s="78">
        <f t="shared" si="125"/>
        <v>6264.2590150000005</v>
      </c>
      <c r="GO11" s="78">
        <f t="shared" si="126"/>
        <v>125975.460015</v>
      </c>
      <c r="GP11" s="79">
        <f t="shared" si="127"/>
        <v>1441.8496834</v>
      </c>
      <c r="GQ11" s="77">
        <f t="shared" si="128"/>
        <v>607.2815168999999</v>
      </c>
      <c r="GR11" s="78"/>
      <c r="GS11" s="78">
        <f t="shared" si="168"/>
        <v>6353.338000000001</v>
      </c>
      <c r="GT11" s="78">
        <f t="shared" si="129"/>
        <v>332.45807</v>
      </c>
      <c r="GU11" s="78">
        <f t="shared" si="130"/>
        <v>6685.79607</v>
      </c>
      <c r="GV11" s="79">
        <f t="shared" si="131"/>
        <v>76.5221492</v>
      </c>
      <c r="GW11" s="77">
        <f t="shared" si="132"/>
        <v>32.2297722</v>
      </c>
      <c r="GX11" s="78"/>
      <c r="GY11" s="78">
        <f t="shared" si="169"/>
        <v>36426.076</v>
      </c>
      <c r="GZ11" s="78">
        <f t="shared" si="133"/>
        <v>1906.10714</v>
      </c>
      <c r="HA11" s="78">
        <f t="shared" si="134"/>
        <v>38332.18314</v>
      </c>
      <c r="HB11" s="79">
        <f t="shared" si="135"/>
        <v>438.7302584</v>
      </c>
      <c r="HC11" s="77">
        <f t="shared" si="136"/>
        <v>184.7854044</v>
      </c>
      <c r="HD11" s="78"/>
      <c r="HE11" s="78"/>
      <c r="HF11" s="78"/>
      <c r="HG11" s="78"/>
      <c r="HH11" s="78"/>
      <c r="HI11" s="78"/>
    </row>
    <row r="12" spans="1:217" ht="12">
      <c r="A12" s="19">
        <v>42644</v>
      </c>
      <c r="C12" s="77"/>
      <c r="D12" s="77">
        <v>164550</v>
      </c>
      <c r="E12" s="77">
        <f t="shared" si="0"/>
        <v>164550</v>
      </c>
      <c r="F12" s="77">
        <v>61306</v>
      </c>
      <c r="G12" s="77">
        <v>25821</v>
      </c>
      <c r="H12" s="78"/>
      <c r="I12" s="79"/>
      <c r="J12" s="79">
        <f t="shared" si="1"/>
        <v>89322.001845</v>
      </c>
      <c r="K12" s="79">
        <f t="shared" si="2"/>
        <v>89322.001845</v>
      </c>
      <c r="L12" s="79">
        <f t="shared" si="3"/>
        <v>33278.484625400015</v>
      </c>
      <c r="M12" s="79">
        <f t="shared" si="4"/>
        <v>14016.3075639</v>
      </c>
      <c r="N12" s="78"/>
      <c r="O12" s="78"/>
      <c r="P12" s="78">
        <f t="shared" si="5"/>
        <v>10884.19266</v>
      </c>
      <c r="Q12" s="79">
        <f t="shared" si="6"/>
        <v>10884.19266</v>
      </c>
      <c r="R12" s="79">
        <f t="shared" si="7"/>
        <v>4055.0976312000003</v>
      </c>
      <c r="S12" s="77">
        <f t="shared" si="8"/>
        <v>1707.9352092000001</v>
      </c>
      <c r="T12" s="78"/>
      <c r="U12" s="78"/>
      <c r="V12" s="78">
        <f t="shared" si="9"/>
        <v>185.87568</v>
      </c>
      <c r="W12" s="78">
        <f t="shared" si="10"/>
        <v>185.87568</v>
      </c>
      <c r="X12" s="79">
        <f t="shared" si="11"/>
        <v>69.25125759999999</v>
      </c>
      <c r="Y12" s="77">
        <f t="shared" si="12"/>
        <v>29.167401599999998</v>
      </c>
      <c r="Z12" s="78"/>
      <c r="AA12" s="79"/>
      <c r="AB12" s="78">
        <f t="shared" si="13"/>
        <v>839.1062699999999</v>
      </c>
      <c r="AC12" s="78">
        <f t="shared" si="14"/>
        <v>839.1062699999999</v>
      </c>
      <c r="AD12" s="79">
        <f t="shared" si="15"/>
        <v>312.62381639999995</v>
      </c>
      <c r="AE12" s="77">
        <f t="shared" si="16"/>
        <v>131.6716074</v>
      </c>
      <c r="AF12" s="78"/>
      <c r="AG12" s="78"/>
      <c r="AH12" s="78">
        <f t="shared" si="17"/>
        <v>14592.244635</v>
      </c>
      <c r="AI12" s="78">
        <f t="shared" si="18"/>
        <v>14592.244635</v>
      </c>
      <c r="AJ12" s="79">
        <f t="shared" si="19"/>
        <v>5436.5976882</v>
      </c>
      <c r="AK12" s="77">
        <f t="shared" si="20"/>
        <v>2289.7985337</v>
      </c>
      <c r="AL12" s="78"/>
      <c r="AM12" s="78"/>
      <c r="AN12" s="78">
        <f t="shared" si="21"/>
        <v>176.75960999999998</v>
      </c>
      <c r="AO12" s="78">
        <f t="shared" si="22"/>
        <v>176.75960999999998</v>
      </c>
      <c r="AP12" s="79">
        <f t="shared" si="23"/>
        <v>65.8549052</v>
      </c>
      <c r="AQ12" s="77">
        <f t="shared" si="24"/>
        <v>27.736918199999998</v>
      </c>
      <c r="AR12" s="78"/>
      <c r="AS12" s="78"/>
      <c r="AT12" s="78">
        <f t="shared" si="25"/>
        <v>149.065845</v>
      </c>
      <c r="AU12" s="78">
        <f t="shared" si="26"/>
        <v>149.065845</v>
      </c>
      <c r="AV12" s="79">
        <f t="shared" si="27"/>
        <v>55.537105399999994</v>
      </c>
      <c r="AW12" s="77">
        <f t="shared" si="28"/>
        <v>23.3912439</v>
      </c>
      <c r="AX12" s="78"/>
      <c r="AY12" s="78"/>
      <c r="AZ12" s="78">
        <f t="shared" si="29"/>
        <v>6115.79694</v>
      </c>
      <c r="BA12" s="78">
        <f t="shared" si="30"/>
        <v>6115.79694</v>
      </c>
      <c r="BB12" s="79">
        <f t="shared" si="31"/>
        <v>2278.5478408</v>
      </c>
      <c r="BC12" s="77">
        <f t="shared" si="32"/>
        <v>959.6839428</v>
      </c>
      <c r="BD12" s="78"/>
      <c r="BE12" s="78"/>
      <c r="BF12" s="78">
        <f t="shared" si="33"/>
        <v>12548.961465</v>
      </c>
      <c r="BG12" s="78">
        <f t="shared" si="34"/>
        <v>12548.961465</v>
      </c>
      <c r="BH12" s="79">
        <f t="shared" si="35"/>
        <v>4675.3365638000005</v>
      </c>
      <c r="BI12" s="77">
        <f t="shared" si="36"/>
        <v>1969.1688483</v>
      </c>
      <c r="BJ12" s="78"/>
      <c r="BK12" s="78"/>
      <c r="BL12" s="78">
        <f t="shared" si="37"/>
        <v>144.86981999999998</v>
      </c>
      <c r="BM12" s="78">
        <f t="shared" si="38"/>
        <v>144.86981999999998</v>
      </c>
      <c r="BN12" s="79">
        <f t="shared" si="39"/>
        <v>53.973802400000004</v>
      </c>
      <c r="BO12" s="77">
        <f t="shared" si="40"/>
        <v>22.7328084</v>
      </c>
      <c r="BP12" s="78"/>
      <c r="BQ12" s="78"/>
      <c r="BR12" s="78">
        <f t="shared" si="41"/>
        <v>97.31486999999998</v>
      </c>
      <c r="BS12" s="78">
        <f t="shared" si="42"/>
        <v>97.31486999999998</v>
      </c>
      <c r="BT12" s="79">
        <f t="shared" si="43"/>
        <v>36.2563684</v>
      </c>
      <c r="BU12" s="77">
        <f t="shared" si="44"/>
        <v>15.270539399999999</v>
      </c>
      <c r="BV12" s="78"/>
      <c r="BW12" s="78"/>
      <c r="BX12" s="78">
        <f t="shared" si="45"/>
        <v>-14.496855</v>
      </c>
      <c r="BY12" s="78">
        <f t="shared" si="46"/>
        <v>-14.496855</v>
      </c>
      <c r="BZ12" s="79">
        <f t="shared" si="47"/>
        <v>-5.4010586</v>
      </c>
      <c r="CA12" s="77">
        <f t="shared" si="48"/>
        <v>-2.2748301</v>
      </c>
      <c r="CB12" s="78"/>
      <c r="CC12" s="78"/>
      <c r="CD12" s="78">
        <f t="shared" si="49"/>
        <v>-9.445170000000001</v>
      </c>
      <c r="CE12" s="78">
        <f t="shared" si="50"/>
        <v>-9.445170000000001</v>
      </c>
      <c r="CF12" s="79">
        <f t="shared" si="51"/>
        <v>-3.5189643999999998</v>
      </c>
      <c r="CG12" s="77">
        <f t="shared" si="52"/>
        <v>-1.4821254</v>
      </c>
      <c r="CH12" s="78"/>
      <c r="CI12" s="78"/>
      <c r="CJ12" s="78">
        <f t="shared" si="53"/>
        <v>351.24843</v>
      </c>
      <c r="CK12" s="78">
        <f t="shared" si="54"/>
        <v>351.24843</v>
      </c>
      <c r="CL12" s="79">
        <f t="shared" si="55"/>
        <v>130.8637876</v>
      </c>
      <c r="CM12" s="77">
        <f t="shared" si="56"/>
        <v>55.1175066</v>
      </c>
      <c r="CN12" s="78"/>
      <c r="CO12" s="78"/>
      <c r="CP12" s="78">
        <f t="shared" si="57"/>
        <v>2160.04785</v>
      </c>
      <c r="CQ12" s="78">
        <f t="shared" si="58"/>
        <v>2160.04785</v>
      </c>
      <c r="CR12" s="79">
        <f t="shared" si="59"/>
        <v>804.763862</v>
      </c>
      <c r="CS12" s="77">
        <f t="shared" si="60"/>
        <v>338.952267</v>
      </c>
      <c r="CT12" s="78"/>
      <c r="CU12" s="78"/>
      <c r="CV12" s="78">
        <f t="shared" si="61"/>
        <v>14510.858204999999</v>
      </c>
      <c r="CW12" s="78">
        <f t="shared" si="62"/>
        <v>14510.858204999999</v>
      </c>
      <c r="CX12" s="79">
        <f t="shared" si="63"/>
        <v>5406.2757406</v>
      </c>
      <c r="CY12" s="77">
        <f t="shared" si="64"/>
        <v>2277.0274671</v>
      </c>
      <c r="CZ12" s="78"/>
      <c r="DA12" s="78"/>
      <c r="DB12" s="78">
        <f t="shared" si="65"/>
        <v>2093.60256</v>
      </c>
      <c r="DC12" s="78">
        <f t="shared" si="66"/>
        <v>2093.60256</v>
      </c>
      <c r="DD12" s="79">
        <f t="shared" si="67"/>
        <v>780.0084992000001</v>
      </c>
      <c r="DE12" s="77">
        <f t="shared" si="68"/>
        <v>328.5257472</v>
      </c>
      <c r="DF12" s="78"/>
      <c r="DG12" s="78"/>
      <c r="DH12" s="78">
        <f t="shared" si="69"/>
        <v>4277.83926</v>
      </c>
      <c r="DI12" s="78">
        <f t="shared" si="70"/>
        <v>4277.83926</v>
      </c>
      <c r="DJ12" s="79">
        <f t="shared" si="71"/>
        <v>1593.7843432000002</v>
      </c>
      <c r="DK12" s="77">
        <f t="shared" si="72"/>
        <v>671.2737012</v>
      </c>
      <c r="DL12" s="78"/>
      <c r="DM12" s="78"/>
      <c r="DN12" s="78">
        <f t="shared" si="73"/>
        <v>693.77571</v>
      </c>
      <c r="DO12" s="78">
        <f t="shared" si="74"/>
        <v>693.77571</v>
      </c>
      <c r="DP12" s="79">
        <f t="shared" si="75"/>
        <v>258.4783572</v>
      </c>
      <c r="DQ12" s="77">
        <f t="shared" si="76"/>
        <v>108.86650019999999</v>
      </c>
      <c r="DR12" s="78"/>
      <c r="DS12" s="78"/>
      <c r="DT12" s="78">
        <f t="shared" si="77"/>
        <v>3558.92031</v>
      </c>
      <c r="DU12" s="78">
        <f t="shared" si="78"/>
        <v>3558.92031</v>
      </c>
      <c r="DV12" s="79">
        <f t="shared" si="79"/>
        <v>1325.9384292</v>
      </c>
      <c r="DW12" s="77">
        <f t="shared" si="80"/>
        <v>558.4617522</v>
      </c>
      <c r="DX12" s="78"/>
      <c r="DY12" s="78"/>
      <c r="DZ12" s="78">
        <f t="shared" si="81"/>
        <v>31.807515</v>
      </c>
      <c r="EA12" s="78">
        <f t="shared" si="82"/>
        <v>31.807515</v>
      </c>
      <c r="EB12" s="79">
        <f t="shared" si="83"/>
        <v>11.8504498</v>
      </c>
      <c r="EC12" s="77">
        <f t="shared" si="84"/>
        <v>4.9911993</v>
      </c>
      <c r="ED12" s="78"/>
      <c r="EE12" s="78"/>
      <c r="EF12" s="78">
        <f t="shared" si="85"/>
        <v>41.86152</v>
      </c>
      <c r="EG12" s="78">
        <f t="shared" si="86"/>
        <v>41.86152</v>
      </c>
      <c r="EH12" s="79">
        <f t="shared" si="87"/>
        <v>15.5962464</v>
      </c>
      <c r="EI12" s="77">
        <f t="shared" si="88"/>
        <v>6.5688624</v>
      </c>
      <c r="EJ12" s="78"/>
      <c r="EK12" s="78"/>
      <c r="EL12" s="78">
        <f t="shared" si="89"/>
        <v>2109.317085</v>
      </c>
      <c r="EM12" s="78">
        <f t="shared" si="90"/>
        <v>2109.317085</v>
      </c>
      <c r="EN12" s="79">
        <f t="shared" si="91"/>
        <v>785.8632222</v>
      </c>
      <c r="EO12" s="77">
        <f t="shared" si="92"/>
        <v>330.99165270000003</v>
      </c>
      <c r="EP12" s="78"/>
      <c r="EQ12" s="78"/>
      <c r="ER12" s="78">
        <f t="shared" si="93"/>
        <v>40.150200000000005</v>
      </c>
      <c r="ES12" s="78">
        <f t="shared" si="94"/>
        <v>40.150200000000005</v>
      </c>
      <c r="ET12" s="79">
        <f t="shared" si="95"/>
        <v>14.958663999999999</v>
      </c>
      <c r="EU12" s="77">
        <f t="shared" si="96"/>
        <v>6.300324</v>
      </c>
      <c r="EV12" s="78"/>
      <c r="EW12" s="78"/>
      <c r="EX12" s="78">
        <f t="shared" si="97"/>
        <v>599.932845</v>
      </c>
      <c r="EY12" s="78">
        <f t="shared" si="98"/>
        <v>599.932845</v>
      </c>
      <c r="EZ12" s="79">
        <f t="shared" si="99"/>
        <v>223.5155454</v>
      </c>
      <c r="FA12" s="77">
        <f t="shared" si="100"/>
        <v>94.1407839</v>
      </c>
      <c r="FB12" s="78"/>
      <c r="FC12" s="78"/>
      <c r="FD12" s="78">
        <f t="shared" si="101"/>
        <v>416.75578499999995</v>
      </c>
      <c r="FE12" s="78">
        <f t="shared" si="102"/>
        <v>416.75578499999995</v>
      </c>
      <c r="FF12" s="79">
        <f t="shared" si="103"/>
        <v>155.2697062</v>
      </c>
      <c r="FG12" s="77">
        <f t="shared" si="104"/>
        <v>65.3968467</v>
      </c>
      <c r="FH12" s="78"/>
      <c r="FI12" s="78"/>
      <c r="FJ12" s="78">
        <f t="shared" si="105"/>
        <v>162.690585</v>
      </c>
      <c r="FK12" s="78">
        <f t="shared" si="106"/>
        <v>162.690585</v>
      </c>
      <c r="FL12" s="79">
        <f t="shared" si="107"/>
        <v>60.613242199999995</v>
      </c>
      <c r="FM12" s="77">
        <f t="shared" si="108"/>
        <v>25.5292227</v>
      </c>
      <c r="FN12" s="78"/>
      <c r="FO12" s="78"/>
      <c r="FP12" s="78">
        <f t="shared" si="109"/>
        <v>1828.331505</v>
      </c>
      <c r="FQ12" s="78">
        <f t="shared" si="110"/>
        <v>1828.331505</v>
      </c>
      <c r="FR12" s="79">
        <f t="shared" si="111"/>
        <v>681.1770966</v>
      </c>
      <c r="FS12" s="77">
        <f t="shared" si="112"/>
        <v>286.8997131</v>
      </c>
      <c r="FT12" s="78"/>
      <c r="FU12" s="78"/>
      <c r="FV12" s="78">
        <f t="shared" si="113"/>
        <v>4120.69401</v>
      </c>
      <c r="FW12" s="78">
        <f t="shared" si="114"/>
        <v>4120.69401</v>
      </c>
      <c r="FX12" s="79">
        <f t="shared" si="115"/>
        <v>1535.2371132</v>
      </c>
      <c r="FY12" s="77">
        <f t="shared" si="116"/>
        <v>646.6146462</v>
      </c>
      <c r="FZ12" s="78"/>
      <c r="GA12" s="78"/>
      <c r="GB12" s="78">
        <f t="shared" si="117"/>
        <v>525.852435</v>
      </c>
      <c r="GC12" s="78">
        <f t="shared" si="118"/>
        <v>525.852435</v>
      </c>
      <c r="GD12" s="79">
        <f t="shared" si="119"/>
        <v>195.9155842</v>
      </c>
      <c r="GE12" s="77">
        <f t="shared" si="120"/>
        <v>82.5161697</v>
      </c>
      <c r="GF12" s="78"/>
      <c r="GG12" s="78"/>
      <c r="GH12" s="78">
        <f t="shared" si="121"/>
        <v>835.05834</v>
      </c>
      <c r="GI12" s="78">
        <f t="shared" si="122"/>
        <v>835.05834</v>
      </c>
      <c r="GJ12" s="79">
        <f t="shared" si="123"/>
        <v>311.1156888</v>
      </c>
      <c r="GK12" s="77">
        <f t="shared" si="124"/>
        <v>131.0364108</v>
      </c>
      <c r="GL12" s="78"/>
      <c r="GM12" s="78"/>
      <c r="GN12" s="78">
        <f t="shared" si="125"/>
        <v>3870.0349950000004</v>
      </c>
      <c r="GO12" s="78">
        <f t="shared" si="126"/>
        <v>3870.0349950000004</v>
      </c>
      <c r="GP12" s="79">
        <f t="shared" si="127"/>
        <v>1441.8496834</v>
      </c>
      <c r="GQ12" s="77">
        <f t="shared" si="128"/>
        <v>607.2815168999999</v>
      </c>
      <c r="GR12" s="78"/>
      <c r="GS12" s="78"/>
      <c r="GT12" s="78">
        <f t="shared" si="129"/>
        <v>205.39131</v>
      </c>
      <c r="GU12" s="78">
        <f t="shared" si="130"/>
        <v>205.39131</v>
      </c>
      <c r="GV12" s="79">
        <f t="shared" si="131"/>
        <v>76.5221492</v>
      </c>
      <c r="GW12" s="77">
        <f t="shared" si="132"/>
        <v>32.2297722</v>
      </c>
      <c r="GX12" s="78"/>
      <c r="GY12" s="78"/>
      <c r="GZ12" s="78">
        <f t="shared" si="133"/>
        <v>1177.58562</v>
      </c>
      <c r="HA12" s="78">
        <f t="shared" si="134"/>
        <v>1177.58562</v>
      </c>
      <c r="HB12" s="79">
        <f t="shared" si="135"/>
        <v>438.7302584</v>
      </c>
      <c r="HC12" s="77">
        <f t="shared" si="136"/>
        <v>184.7854044</v>
      </c>
      <c r="HD12" s="78"/>
      <c r="HE12" s="78"/>
      <c r="HF12" s="78"/>
      <c r="HG12" s="78"/>
      <c r="HH12" s="78"/>
      <c r="HI12" s="78"/>
    </row>
    <row r="13" spans="1:217" ht="12">
      <c r="A13" s="19">
        <v>42826</v>
      </c>
      <c r="C13" s="77">
        <v>5300000</v>
      </c>
      <c r="D13" s="77">
        <v>164550</v>
      </c>
      <c r="E13" s="77">
        <f t="shared" si="0"/>
        <v>5464550</v>
      </c>
      <c r="F13" s="77">
        <v>61306</v>
      </c>
      <c r="G13" s="77">
        <v>25821</v>
      </c>
      <c r="H13" s="78"/>
      <c r="I13" s="79">
        <f>O13+U13+AA13+AG13+AM13+AS13+AY13+BE13+BK13+BQ13+BW13+CC13+CI13+CO13+CU13+DA13+DG13+DM13+DS13+DY13+EE13+EK13+EQ13+EW13+FC13+FI13+FO13+FU13+GA13+GG13+GM13+GS13+GY13</f>
        <v>2876977.27</v>
      </c>
      <c r="J13" s="79">
        <f t="shared" si="1"/>
        <v>89322.001845</v>
      </c>
      <c r="K13" s="79">
        <f t="shared" si="2"/>
        <v>2966299.271845</v>
      </c>
      <c r="L13" s="79">
        <f t="shared" si="3"/>
        <v>33278.484625400015</v>
      </c>
      <c r="M13" s="79">
        <f t="shared" si="4"/>
        <v>14016.3075639</v>
      </c>
      <c r="N13" s="78"/>
      <c r="O13" s="78">
        <f t="shared" si="137"/>
        <v>350569.56</v>
      </c>
      <c r="P13" s="78">
        <f t="shared" si="5"/>
        <v>10884.19266</v>
      </c>
      <c r="Q13" s="79">
        <f t="shared" si="6"/>
        <v>361453.75266</v>
      </c>
      <c r="R13" s="79">
        <f t="shared" si="7"/>
        <v>4055.0976312000003</v>
      </c>
      <c r="S13" s="77">
        <f t="shared" si="8"/>
        <v>1707.9352092000001</v>
      </c>
      <c r="T13" s="78"/>
      <c r="U13" s="78">
        <f t="shared" si="138"/>
        <v>5986.88</v>
      </c>
      <c r="V13" s="78">
        <f t="shared" si="9"/>
        <v>185.87568</v>
      </c>
      <c r="W13" s="78">
        <f t="shared" si="10"/>
        <v>6172.75568</v>
      </c>
      <c r="X13" s="79">
        <f t="shared" si="11"/>
        <v>69.25125759999999</v>
      </c>
      <c r="Y13" s="77">
        <f t="shared" si="12"/>
        <v>29.167401599999998</v>
      </c>
      <c r="Z13" s="78"/>
      <c r="AA13" s="79">
        <f t="shared" si="139"/>
        <v>27026.819999999996</v>
      </c>
      <c r="AB13" s="78">
        <f t="shared" si="13"/>
        <v>839.1062699999999</v>
      </c>
      <c r="AC13" s="78">
        <f t="shared" si="14"/>
        <v>27865.926269999996</v>
      </c>
      <c r="AD13" s="79">
        <f t="shared" si="15"/>
        <v>312.62381639999995</v>
      </c>
      <c r="AE13" s="77">
        <f t="shared" si="16"/>
        <v>131.6716074</v>
      </c>
      <c r="AF13" s="78"/>
      <c r="AG13" s="78">
        <f t="shared" si="140"/>
        <v>470002.41</v>
      </c>
      <c r="AH13" s="78">
        <f t="shared" si="17"/>
        <v>14592.244635</v>
      </c>
      <c r="AI13" s="78">
        <f t="shared" si="18"/>
        <v>484594.654635</v>
      </c>
      <c r="AJ13" s="79">
        <f t="shared" si="19"/>
        <v>5436.5976882</v>
      </c>
      <c r="AK13" s="77">
        <f t="shared" si="20"/>
        <v>2289.7985337</v>
      </c>
      <c r="AL13" s="78"/>
      <c r="AM13" s="78">
        <f t="shared" si="141"/>
        <v>5693.26</v>
      </c>
      <c r="AN13" s="78">
        <f t="shared" si="21"/>
        <v>176.75960999999998</v>
      </c>
      <c r="AO13" s="78">
        <f t="shared" si="22"/>
        <v>5870.01961</v>
      </c>
      <c r="AP13" s="79">
        <f t="shared" si="23"/>
        <v>65.8549052</v>
      </c>
      <c r="AQ13" s="77">
        <f t="shared" si="24"/>
        <v>27.736918199999998</v>
      </c>
      <c r="AR13" s="78"/>
      <c r="AS13" s="78">
        <f t="shared" si="142"/>
        <v>4801.27</v>
      </c>
      <c r="AT13" s="78">
        <f t="shared" si="25"/>
        <v>149.065845</v>
      </c>
      <c r="AU13" s="78">
        <f t="shared" si="26"/>
        <v>4950.3358450000005</v>
      </c>
      <c r="AV13" s="79">
        <f t="shared" si="27"/>
        <v>55.537105399999994</v>
      </c>
      <c r="AW13" s="77">
        <f t="shared" si="28"/>
        <v>23.3912439</v>
      </c>
      <c r="AX13" s="78"/>
      <c r="AY13" s="78">
        <f t="shared" si="143"/>
        <v>196984.04</v>
      </c>
      <c r="AZ13" s="78">
        <f t="shared" si="29"/>
        <v>6115.79694</v>
      </c>
      <c r="BA13" s="78">
        <f t="shared" si="30"/>
        <v>203099.83694</v>
      </c>
      <c r="BB13" s="79">
        <f t="shared" si="31"/>
        <v>2278.5478408</v>
      </c>
      <c r="BC13" s="77">
        <f t="shared" si="32"/>
        <v>959.6839428</v>
      </c>
      <c r="BD13" s="78"/>
      <c r="BE13" s="78">
        <f t="shared" si="144"/>
        <v>404190.19</v>
      </c>
      <c r="BF13" s="78">
        <f t="shared" si="33"/>
        <v>12548.961465</v>
      </c>
      <c r="BG13" s="78">
        <f t="shared" si="34"/>
        <v>416739.151465</v>
      </c>
      <c r="BH13" s="79">
        <f t="shared" si="35"/>
        <v>4675.3365638000005</v>
      </c>
      <c r="BI13" s="77">
        <f t="shared" si="36"/>
        <v>1969.1688483</v>
      </c>
      <c r="BJ13" s="78"/>
      <c r="BK13" s="78">
        <f t="shared" si="145"/>
        <v>4666.119999999999</v>
      </c>
      <c r="BL13" s="78">
        <f t="shared" si="37"/>
        <v>144.86981999999998</v>
      </c>
      <c r="BM13" s="78">
        <f t="shared" si="38"/>
        <v>4810.989819999999</v>
      </c>
      <c r="BN13" s="79">
        <f t="shared" si="39"/>
        <v>53.973802400000004</v>
      </c>
      <c r="BO13" s="77">
        <f t="shared" si="40"/>
        <v>22.7328084</v>
      </c>
      <c r="BP13" s="78"/>
      <c r="BQ13" s="78">
        <f t="shared" si="146"/>
        <v>3134.42</v>
      </c>
      <c r="BR13" s="78">
        <f t="shared" si="41"/>
        <v>97.31486999999998</v>
      </c>
      <c r="BS13" s="78">
        <f t="shared" si="42"/>
        <v>3231.7348700000002</v>
      </c>
      <c r="BT13" s="79">
        <f t="shared" si="43"/>
        <v>36.2563684</v>
      </c>
      <c r="BU13" s="77">
        <f t="shared" si="44"/>
        <v>15.270539399999999</v>
      </c>
      <c r="BV13" s="78"/>
      <c r="BW13" s="78">
        <f t="shared" si="147"/>
        <v>-466.93</v>
      </c>
      <c r="BX13" s="78">
        <f t="shared" si="45"/>
        <v>-14.496855</v>
      </c>
      <c r="BY13" s="78">
        <f t="shared" si="46"/>
        <v>-481.426855</v>
      </c>
      <c r="BZ13" s="79">
        <f t="shared" si="47"/>
        <v>-5.4010586</v>
      </c>
      <c r="CA13" s="77">
        <f t="shared" si="48"/>
        <v>-2.2748301</v>
      </c>
      <c r="CB13" s="78"/>
      <c r="CC13" s="78">
        <f t="shared" si="148"/>
        <v>-304.22</v>
      </c>
      <c r="CD13" s="78">
        <f t="shared" si="49"/>
        <v>-9.445170000000001</v>
      </c>
      <c r="CE13" s="78">
        <f t="shared" si="50"/>
        <v>-313.66517000000005</v>
      </c>
      <c r="CF13" s="79">
        <f t="shared" si="51"/>
        <v>-3.5189643999999998</v>
      </c>
      <c r="CG13" s="77">
        <f t="shared" si="52"/>
        <v>-1.4821254</v>
      </c>
      <c r="CH13" s="78"/>
      <c r="CI13" s="78">
        <f t="shared" si="149"/>
        <v>11313.38</v>
      </c>
      <c r="CJ13" s="78">
        <f t="shared" si="53"/>
        <v>351.24843</v>
      </c>
      <c r="CK13" s="78">
        <f t="shared" si="54"/>
        <v>11664.628429999999</v>
      </c>
      <c r="CL13" s="79">
        <f t="shared" si="55"/>
        <v>130.8637876</v>
      </c>
      <c r="CM13" s="77">
        <f t="shared" si="56"/>
        <v>55.1175066</v>
      </c>
      <c r="CN13" s="78"/>
      <c r="CO13" s="78">
        <f t="shared" si="150"/>
        <v>69573.1</v>
      </c>
      <c r="CP13" s="78">
        <f t="shared" si="57"/>
        <v>2160.04785</v>
      </c>
      <c r="CQ13" s="78">
        <f t="shared" si="58"/>
        <v>71733.14785000001</v>
      </c>
      <c r="CR13" s="79">
        <f t="shared" si="59"/>
        <v>804.763862</v>
      </c>
      <c r="CS13" s="77">
        <f t="shared" si="60"/>
        <v>338.952267</v>
      </c>
      <c r="CT13" s="78"/>
      <c r="CU13" s="78">
        <f t="shared" si="151"/>
        <v>467381.03</v>
      </c>
      <c r="CV13" s="78">
        <f t="shared" si="61"/>
        <v>14510.858204999999</v>
      </c>
      <c r="CW13" s="78">
        <f t="shared" si="62"/>
        <v>481891.888205</v>
      </c>
      <c r="CX13" s="79">
        <f t="shared" si="63"/>
        <v>5406.2757406</v>
      </c>
      <c r="CY13" s="77">
        <f t="shared" si="64"/>
        <v>2277.0274671</v>
      </c>
      <c r="CZ13" s="78"/>
      <c r="DA13" s="78">
        <f t="shared" si="152"/>
        <v>67432.95999999999</v>
      </c>
      <c r="DB13" s="78">
        <f t="shared" si="65"/>
        <v>2093.60256</v>
      </c>
      <c r="DC13" s="78">
        <f t="shared" si="66"/>
        <v>69526.56255999999</v>
      </c>
      <c r="DD13" s="79">
        <f t="shared" si="67"/>
        <v>780.0084992000001</v>
      </c>
      <c r="DE13" s="77">
        <f t="shared" si="68"/>
        <v>328.5257472</v>
      </c>
      <c r="DF13" s="78"/>
      <c r="DG13" s="78">
        <f t="shared" si="153"/>
        <v>137785.16</v>
      </c>
      <c r="DH13" s="78">
        <f t="shared" si="69"/>
        <v>4277.83926</v>
      </c>
      <c r="DI13" s="78">
        <f t="shared" si="70"/>
        <v>142062.99926</v>
      </c>
      <c r="DJ13" s="79">
        <f t="shared" si="71"/>
        <v>1593.7843432000002</v>
      </c>
      <c r="DK13" s="77">
        <f t="shared" si="72"/>
        <v>671.2737012</v>
      </c>
      <c r="DL13" s="78"/>
      <c r="DM13" s="78">
        <f t="shared" si="154"/>
        <v>22345.86</v>
      </c>
      <c r="DN13" s="78">
        <f t="shared" si="73"/>
        <v>693.77571</v>
      </c>
      <c r="DO13" s="78">
        <f t="shared" si="74"/>
        <v>23039.635710000002</v>
      </c>
      <c r="DP13" s="79">
        <f t="shared" si="75"/>
        <v>258.4783572</v>
      </c>
      <c r="DQ13" s="77">
        <f t="shared" si="76"/>
        <v>108.86650019999999</v>
      </c>
      <c r="DR13" s="78"/>
      <c r="DS13" s="78">
        <f t="shared" si="155"/>
        <v>114629.46</v>
      </c>
      <c r="DT13" s="78">
        <f t="shared" si="77"/>
        <v>3558.92031</v>
      </c>
      <c r="DU13" s="78">
        <f t="shared" si="78"/>
        <v>118188.38031000001</v>
      </c>
      <c r="DV13" s="79">
        <f t="shared" si="79"/>
        <v>1325.9384292</v>
      </c>
      <c r="DW13" s="77">
        <f t="shared" si="80"/>
        <v>558.4617522</v>
      </c>
      <c r="DX13" s="78"/>
      <c r="DY13" s="78">
        <f t="shared" si="156"/>
        <v>1024.49</v>
      </c>
      <c r="DZ13" s="78">
        <f t="shared" si="81"/>
        <v>31.807515</v>
      </c>
      <c r="EA13" s="78">
        <f t="shared" si="82"/>
        <v>1056.297515</v>
      </c>
      <c r="EB13" s="79">
        <f t="shared" si="83"/>
        <v>11.8504498</v>
      </c>
      <c r="EC13" s="77">
        <f t="shared" si="84"/>
        <v>4.9911993</v>
      </c>
      <c r="ED13" s="78"/>
      <c r="EE13" s="78">
        <f t="shared" si="157"/>
        <v>1348.32</v>
      </c>
      <c r="EF13" s="78">
        <f t="shared" si="85"/>
        <v>41.86152</v>
      </c>
      <c r="EG13" s="78">
        <f t="shared" si="86"/>
        <v>1390.1815199999999</v>
      </c>
      <c r="EH13" s="79">
        <f t="shared" si="87"/>
        <v>15.5962464</v>
      </c>
      <c r="EI13" s="77">
        <f t="shared" si="88"/>
        <v>6.5688624</v>
      </c>
      <c r="EJ13" s="78"/>
      <c r="EK13" s="78">
        <f t="shared" si="158"/>
        <v>67939.11</v>
      </c>
      <c r="EL13" s="78">
        <f t="shared" si="89"/>
        <v>2109.317085</v>
      </c>
      <c r="EM13" s="78">
        <f t="shared" si="90"/>
        <v>70048.427085</v>
      </c>
      <c r="EN13" s="79">
        <f t="shared" si="91"/>
        <v>785.8632222</v>
      </c>
      <c r="EO13" s="77">
        <f t="shared" si="92"/>
        <v>330.99165270000003</v>
      </c>
      <c r="EP13" s="78"/>
      <c r="EQ13" s="78">
        <f t="shared" si="159"/>
        <v>1293.2</v>
      </c>
      <c r="ER13" s="78">
        <f t="shared" si="93"/>
        <v>40.150200000000005</v>
      </c>
      <c r="ES13" s="78">
        <f t="shared" si="94"/>
        <v>1333.3502</v>
      </c>
      <c r="ET13" s="79">
        <f t="shared" si="95"/>
        <v>14.958663999999999</v>
      </c>
      <c r="EU13" s="77">
        <f t="shared" si="96"/>
        <v>6.300324</v>
      </c>
      <c r="EV13" s="78"/>
      <c r="EW13" s="78">
        <f t="shared" si="160"/>
        <v>19323.270000000004</v>
      </c>
      <c r="EX13" s="78">
        <f t="shared" si="97"/>
        <v>599.932845</v>
      </c>
      <c r="EY13" s="78">
        <f t="shared" si="98"/>
        <v>19923.202845000003</v>
      </c>
      <c r="EZ13" s="79">
        <f t="shared" si="99"/>
        <v>223.5155454</v>
      </c>
      <c r="FA13" s="77">
        <f t="shared" si="100"/>
        <v>94.1407839</v>
      </c>
      <c r="FB13" s="78"/>
      <c r="FC13" s="78">
        <f t="shared" si="161"/>
        <v>13423.31</v>
      </c>
      <c r="FD13" s="78">
        <f t="shared" si="101"/>
        <v>416.75578499999995</v>
      </c>
      <c r="FE13" s="78">
        <f t="shared" si="102"/>
        <v>13840.065784999999</v>
      </c>
      <c r="FF13" s="79">
        <f t="shared" si="103"/>
        <v>155.2697062</v>
      </c>
      <c r="FG13" s="77">
        <f t="shared" si="104"/>
        <v>65.3968467</v>
      </c>
      <c r="FH13" s="78"/>
      <c r="FI13" s="78">
        <f t="shared" si="162"/>
        <v>5240.11</v>
      </c>
      <c r="FJ13" s="78">
        <f t="shared" si="105"/>
        <v>162.690585</v>
      </c>
      <c r="FK13" s="78">
        <f t="shared" si="106"/>
        <v>5402.800585</v>
      </c>
      <c r="FL13" s="79">
        <f t="shared" si="107"/>
        <v>60.613242199999995</v>
      </c>
      <c r="FM13" s="77">
        <f t="shared" si="108"/>
        <v>25.5292227</v>
      </c>
      <c r="FN13" s="78"/>
      <c r="FO13" s="78">
        <f t="shared" si="163"/>
        <v>58888.83</v>
      </c>
      <c r="FP13" s="78">
        <f t="shared" si="109"/>
        <v>1828.331505</v>
      </c>
      <c r="FQ13" s="78">
        <f t="shared" si="110"/>
        <v>60717.161505000004</v>
      </c>
      <c r="FR13" s="79">
        <f t="shared" si="111"/>
        <v>681.1770966</v>
      </c>
      <c r="FS13" s="77">
        <f t="shared" si="112"/>
        <v>286.8997131</v>
      </c>
      <c r="FT13" s="78"/>
      <c r="FU13" s="78">
        <f t="shared" si="164"/>
        <v>132723.66</v>
      </c>
      <c r="FV13" s="78">
        <f t="shared" si="113"/>
        <v>4120.69401</v>
      </c>
      <c r="FW13" s="78">
        <f t="shared" si="114"/>
        <v>136844.35401</v>
      </c>
      <c r="FX13" s="79">
        <f t="shared" si="115"/>
        <v>1535.2371132</v>
      </c>
      <c r="FY13" s="77">
        <f t="shared" si="116"/>
        <v>646.6146462</v>
      </c>
      <c r="FZ13" s="78"/>
      <c r="GA13" s="78">
        <f t="shared" si="165"/>
        <v>16937.21</v>
      </c>
      <c r="GB13" s="78">
        <f t="shared" si="117"/>
        <v>525.852435</v>
      </c>
      <c r="GC13" s="78">
        <f t="shared" si="118"/>
        <v>17463.062435</v>
      </c>
      <c r="GD13" s="79">
        <f t="shared" si="119"/>
        <v>195.9155842</v>
      </c>
      <c r="GE13" s="77">
        <f t="shared" si="120"/>
        <v>82.5161697</v>
      </c>
      <c r="GF13" s="78"/>
      <c r="GG13" s="78">
        <f t="shared" si="166"/>
        <v>26896.44</v>
      </c>
      <c r="GH13" s="78">
        <f t="shared" si="121"/>
        <v>835.05834</v>
      </c>
      <c r="GI13" s="78">
        <f t="shared" si="122"/>
        <v>27731.49834</v>
      </c>
      <c r="GJ13" s="79">
        <f t="shared" si="123"/>
        <v>311.1156888</v>
      </c>
      <c r="GK13" s="77">
        <f t="shared" si="124"/>
        <v>131.0364108</v>
      </c>
      <c r="GL13" s="78"/>
      <c r="GM13" s="78">
        <f t="shared" si="167"/>
        <v>124650.17</v>
      </c>
      <c r="GN13" s="78">
        <f t="shared" si="125"/>
        <v>3870.0349950000004</v>
      </c>
      <c r="GO13" s="78">
        <f t="shared" si="126"/>
        <v>128520.204995</v>
      </c>
      <c r="GP13" s="79">
        <f t="shared" si="127"/>
        <v>1441.8496834</v>
      </c>
      <c r="GQ13" s="77">
        <f t="shared" si="128"/>
        <v>607.2815168999999</v>
      </c>
      <c r="GR13" s="78"/>
      <c r="GS13" s="78">
        <f t="shared" si="168"/>
        <v>6615.46</v>
      </c>
      <c r="GT13" s="78">
        <f t="shared" si="129"/>
        <v>205.39131</v>
      </c>
      <c r="GU13" s="78">
        <f t="shared" si="130"/>
        <v>6820.85131</v>
      </c>
      <c r="GV13" s="79">
        <f t="shared" si="131"/>
        <v>76.5221492</v>
      </c>
      <c r="GW13" s="77">
        <f t="shared" si="132"/>
        <v>32.2297722</v>
      </c>
      <c r="GX13" s="78"/>
      <c r="GY13" s="78">
        <f t="shared" si="169"/>
        <v>37928.920000000006</v>
      </c>
      <c r="GZ13" s="78">
        <f t="shared" si="133"/>
        <v>1177.58562</v>
      </c>
      <c r="HA13" s="78">
        <f t="shared" si="134"/>
        <v>39106.50562</v>
      </c>
      <c r="HB13" s="79">
        <f t="shared" si="135"/>
        <v>438.7302584</v>
      </c>
      <c r="HC13" s="77">
        <f t="shared" si="136"/>
        <v>184.7854044</v>
      </c>
      <c r="HD13" s="78"/>
      <c r="HE13" s="78"/>
      <c r="HF13" s="78"/>
      <c r="HG13" s="78"/>
      <c r="HH13" s="78"/>
      <c r="HI13" s="78"/>
    </row>
    <row r="14" spans="1:217" ht="12">
      <c r="A14" s="19">
        <v>43009</v>
      </c>
      <c r="C14" s="77"/>
      <c r="D14" s="77">
        <v>85050</v>
      </c>
      <c r="E14" s="77">
        <f t="shared" si="0"/>
        <v>85050</v>
      </c>
      <c r="F14" s="77">
        <v>61306</v>
      </c>
      <c r="G14" s="77">
        <v>25821</v>
      </c>
      <c r="H14" s="78"/>
      <c r="I14" s="79"/>
      <c r="J14" s="79">
        <f t="shared" si="1"/>
        <v>46167.342795000004</v>
      </c>
      <c r="K14" s="79">
        <f t="shared" si="2"/>
        <v>46167.342795000004</v>
      </c>
      <c r="L14" s="79">
        <f t="shared" si="3"/>
        <v>33278.484625400015</v>
      </c>
      <c r="M14" s="79">
        <f t="shared" si="4"/>
        <v>14016.3075639</v>
      </c>
      <c r="N14" s="78"/>
      <c r="O14" s="78"/>
      <c r="P14" s="78">
        <f t="shared" si="5"/>
        <v>5625.64926</v>
      </c>
      <c r="Q14" s="79">
        <f t="shared" si="6"/>
        <v>5625.64926</v>
      </c>
      <c r="R14" s="79">
        <f t="shared" si="7"/>
        <v>4055.0976312000003</v>
      </c>
      <c r="S14" s="77">
        <f t="shared" si="8"/>
        <v>1707.9352092000001</v>
      </c>
      <c r="T14" s="78"/>
      <c r="U14" s="78"/>
      <c r="V14" s="78">
        <f t="shared" si="9"/>
        <v>96.07248</v>
      </c>
      <c r="W14" s="78">
        <f t="shared" si="10"/>
        <v>96.07248</v>
      </c>
      <c r="X14" s="79">
        <f t="shared" si="11"/>
        <v>69.25125759999999</v>
      </c>
      <c r="Y14" s="77">
        <f t="shared" si="12"/>
        <v>29.167401599999998</v>
      </c>
      <c r="Z14" s="78"/>
      <c r="AA14" s="79"/>
      <c r="AB14" s="78">
        <f t="shared" si="13"/>
        <v>433.70396999999997</v>
      </c>
      <c r="AC14" s="78">
        <f t="shared" si="14"/>
        <v>433.70396999999997</v>
      </c>
      <c r="AD14" s="79">
        <f t="shared" si="15"/>
        <v>312.62381639999995</v>
      </c>
      <c r="AE14" s="77">
        <f t="shared" si="16"/>
        <v>131.6716074</v>
      </c>
      <c r="AF14" s="78"/>
      <c r="AG14" s="78"/>
      <c r="AH14" s="78">
        <f t="shared" si="17"/>
        <v>7542.208484999999</v>
      </c>
      <c r="AI14" s="78">
        <f t="shared" si="18"/>
        <v>7542.208484999999</v>
      </c>
      <c r="AJ14" s="79">
        <f t="shared" si="19"/>
        <v>5436.5976882</v>
      </c>
      <c r="AK14" s="77">
        <f t="shared" si="20"/>
        <v>2289.7985337</v>
      </c>
      <c r="AL14" s="78"/>
      <c r="AM14" s="78"/>
      <c r="AN14" s="78">
        <f t="shared" si="21"/>
        <v>91.36071</v>
      </c>
      <c r="AO14" s="78">
        <f t="shared" si="22"/>
        <v>91.36071</v>
      </c>
      <c r="AP14" s="79">
        <f t="shared" si="23"/>
        <v>65.8549052</v>
      </c>
      <c r="AQ14" s="77">
        <f t="shared" si="24"/>
        <v>27.736918199999998</v>
      </c>
      <c r="AR14" s="78"/>
      <c r="AS14" s="78"/>
      <c r="AT14" s="78">
        <f t="shared" si="25"/>
        <v>77.046795</v>
      </c>
      <c r="AU14" s="78">
        <f t="shared" si="26"/>
        <v>77.046795</v>
      </c>
      <c r="AV14" s="79">
        <f t="shared" si="27"/>
        <v>55.537105399999994</v>
      </c>
      <c r="AW14" s="77">
        <f t="shared" si="28"/>
        <v>23.3912439</v>
      </c>
      <c r="AX14" s="78"/>
      <c r="AY14" s="78"/>
      <c r="AZ14" s="78">
        <f t="shared" si="29"/>
        <v>3161.03634</v>
      </c>
      <c r="BA14" s="78">
        <f t="shared" si="30"/>
        <v>3161.03634</v>
      </c>
      <c r="BB14" s="79">
        <f t="shared" si="31"/>
        <v>2278.5478408</v>
      </c>
      <c r="BC14" s="77">
        <f t="shared" si="32"/>
        <v>959.6839428</v>
      </c>
      <c r="BD14" s="78"/>
      <c r="BE14" s="78"/>
      <c r="BF14" s="78">
        <f t="shared" si="33"/>
        <v>6486.108615</v>
      </c>
      <c r="BG14" s="78">
        <f t="shared" si="34"/>
        <v>6486.108615</v>
      </c>
      <c r="BH14" s="79">
        <f t="shared" si="35"/>
        <v>4675.3365638000005</v>
      </c>
      <c r="BI14" s="77">
        <f t="shared" si="36"/>
        <v>1969.1688483</v>
      </c>
      <c r="BJ14" s="78"/>
      <c r="BK14" s="78"/>
      <c r="BL14" s="78">
        <f t="shared" si="37"/>
        <v>74.87801999999999</v>
      </c>
      <c r="BM14" s="78">
        <f t="shared" si="38"/>
        <v>74.87801999999999</v>
      </c>
      <c r="BN14" s="79">
        <f t="shared" si="39"/>
        <v>53.973802400000004</v>
      </c>
      <c r="BO14" s="77">
        <f t="shared" si="40"/>
        <v>22.7328084</v>
      </c>
      <c r="BP14" s="78"/>
      <c r="BQ14" s="78"/>
      <c r="BR14" s="78">
        <f t="shared" si="41"/>
        <v>50.29857</v>
      </c>
      <c r="BS14" s="78">
        <f t="shared" si="42"/>
        <v>50.29857</v>
      </c>
      <c r="BT14" s="79">
        <f t="shared" si="43"/>
        <v>36.2563684</v>
      </c>
      <c r="BU14" s="77">
        <f t="shared" si="44"/>
        <v>15.270539399999999</v>
      </c>
      <c r="BV14" s="78"/>
      <c r="BW14" s="78"/>
      <c r="BX14" s="78">
        <f t="shared" si="45"/>
        <v>-7.492905</v>
      </c>
      <c r="BY14" s="78">
        <f t="shared" si="46"/>
        <v>-7.492905</v>
      </c>
      <c r="BZ14" s="79">
        <f t="shared" si="47"/>
        <v>-5.4010586</v>
      </c>
      <c r="CA14" s="77">
        <f t="shared" si="48"/>
        <v>-2.2748301</v>
      </c>
      <c r="CB14" s="78"/>
      <c r="CC14" s="78"/>
      <c r="CD14" s="78">
        <f t="shared" si="49"/>
        <v>-4.88187</v>
      </c>
      <c r="CE14" s="78">
        <f t="shared" si="50"/>
        <v>-4.88187</v>
      </c>
      <c r="CF14" s="79">
        <f t="shared" si="51"/>
        <v>-3.5189643999999998</v>
      </c>
      <c r="CG14" s="77">
        <f t="shared" si="52"/>
        <v>-1.4821254</v>
      </c>
      <c r="CH14" s="78"/>
      <c r="CI14" s="78"/>
      <c r="CJ14" s="78">
        <f t="shared" si="53"/>
        <v>181.54773</v>
      </c>
      <c r="CK14" s="78">
        <f t="shared" si="54"/>
        <v>181.54773</v>
      </c>
      <c r="CL14" s="79">
        <f t="shared" si="55"/>
        <v>130.8637876</v>
      </c>
      <c r="CM14" s="77">
        <f t="shared" si="56"/>
        <v>55.1175066</v>
      </c>
      <c r="CN14" s="78"/>
      <c r="CO14" s="78"/>
      <c r="CP14" s="78">
        <f t="shared" si="57"/>
        <v>1116.45135</v>
      </c>
      <c r="CQ14" s="78">
        <f t="shared" si="58"/>
        <v>1116.45135</v>
      </c>
      <c r="CR14" s="79">
        <f t="shared" si="59"/>
        <v>804.763862</v>
      </c>
      <c r="CS14" s="77">
        <f t="shared" si="60"/>
        <v>338.952267</v>
      </c>
      <c r="CT14" s="78"/>
      <c r="CU14" s="78"/>
      <c r="CV14" s="78">
        <f t="shared" si="61"/>
        <v>7500.142755</v>
      </c>
      <c r="CW14" s="78">
        <f t="shared" si="62"/>
        <v>7500.142755</v>
      </c>
      <c r="CX14" s="79">
        <f t="shared" si="63"/>
        <v>5406.2757406</v>
      </c>
      <c r="CY14" s="77">
        <f t="shared" si="64"/>
        <v>2277.0274671</v>
      </c>
      <c r="CZ14" s="78"/>
      <c r="DA14" s="78"/>
      <c r="DB14" s="78">
        <f t="shared" si="65"/>
        <v>1082.10816</v>
      </c>
      <c r="DC14" s="78">
        <f t="shared" si="66"/>
        <v>1082.10816</v>
      </c>
      <c r="DD14" s="79">
        <f t="shared" si="67"/>
        <v>780.0084992000001</v>
      </c>
      <c r="DE14" s="77">
        <f t="shared" si="68"/>
        <v>328.5257472</v>
      </c>
      <c r="DF14" s="78"/>
      <c r="DG14" s="78"/>
      <c r="DH14" s="78">
        <f t="shared" si="69"/>
        <v>2211.0618600000003</v>
      </c>
      <c r="DI14" s="78">
        <f t="shared" si="70"/>
        <v>2211.0618600000003</v>
      </c>
      <c r="DJ14" s="79">
        <f t="shared" si="71"/>
        <v>1593.7843432000002</v>
      </c>
      <c r="DK14" s="77">
        <f t="shared" si="72"/>
        <v>671.2737012</v>
      </c>
      <c r="DL14" s="78"/>
      <c r="DM14" s="78"/>
      <c r="DN14" s="78">
        <f t="shared" si="73"/>
        <v>358.58781000000005</v>
      </c>
      <c r="DO14" s="78">
        <f t="shared" si="74"/>
        <v>358.58781000000005</v>
      </c>
      <c r="DP14" s="79">
        <f t="shared" si="75"/>
        <v>258.4783572</v>
      </c>
      <c r="DQ14" s="77">
        <f t="shared" si="76"/>
        <v>108.86650019999999</v>
      </c>
      <c r="DR14" s="78"/>
      <c r="DS14" s="78"/>
      <c r="DT14" s="78">
        <f t="shared" si="77"/>
        <v>1839.47841</v>
      </c>
      <c r="DU14" s="78">
        <f t="shared" si="78"/>
        <v>1839.47841</v>
      </c>
      <c r="DV14" s="79">
        <f t="shared" si="79"/>
        <v>1325.9384292</v>
      </c>
      <c r="DW14" s="77">
        <f t="shared" si="80"/>
        <v>558.4617522</v>
      </c>
      <c r="DX14" s="78"/>
      <c r="DY14" s="78"/>
      <c r="DZ14" s="78">
        <f t="shared" si="81"/>
        <v>16.440165</v>
      </c>
      <c r="EA14" s="78">
        <f t="shared" si="82"/>
        <v>16.440165</v>
      </c>
      <c r="EB14" s="79">
        <f t="shared" si="83"/>
        <v>11.8504498</v>
      </c>
      <c r="EC14" s="77">
        <f t="shared" si="84"/>
        <v>4.9911993</v>
      </c>
      <c r="ED14" s="78"/>
      <c r="EE14" s="78"/>
      <c r="EF14" s="78">
        <f t="shared" si="85"/>
        <v>21.63672</v>
      </c>
      <c r="EG14" s="78">
        <f t="shared" si="86"/>
        <v>21.63672</v>
      </c>
      <c r="EH14" s="79">
        <f t="shared" si="87"/>
        <v>15.5962464</v>
      </c>
      <c r="EI14" s="77">
        <f t="shared" si="88"/>
        <v>6.5688624</v>
      </c>
      <c r="EJ14" s="78"/>
      <c r="EK14" s="78"/>
      <c r="EL14" s="78">
        <f t="shared" si="89"/>
        <v>1090.230435</v>
      </c>
      <c r="EM14" s="78">
        <f t="shared" si="90"/>
        <v>1090.230435</v>
      </c>
      <c r="EN14" s="79">
        <f t="shared" si="91"/>
        <v>785.8632222</v>
      </c>
      <c r="EO14" s="77">
        <f t="shared" si="92"/>
        <v>330.99165270000003</v>
      </c>
      <c r="EP14" s="78"/>
      <c r="EQ14" s="78"/>
      <c r="ER14" s="78">
        <f t="shared" si="93"/>
        <v>20.752200000000002</v>
      </c>
      <c r="ES14" s="78">
        <f t="shared" si="94"/>
        <v>20.752200000000002</v>
      </c>
      <c r="ET14" s="79">
        <f t="shared" si="95"/>
        <v>14.958663999999999</v>
      </c>
      <c r="EU14" s="77">
        <f t="shared" si="96"/>
        <v>6.300324</v>
      </c>
      <c r="EV14" s="78"/>
      <c r="EW14" s="78"/>
      <c r="EX14" s="78">
        <f t="shared" si="97"/>
        <v>310.083795</v>
      </c>
      <c r="EY14" s="78">
        <f t="shared" si="98"/>
        <v>310.083795</v>
      </c>
      <c r="EZ14" s="79">
        <f t="shared" si="99"/>
        <v>223.5155454</v>
      </c>
      <c r="FA14" s="77">
        <f t="shared" si="100"/>
        <v>94.1407839</v>
      </c>
      <c r="FB14" s="78"/>
      <c r="FC14" s="78"/>
      <c r="FD14" s="78">
        <f t="shared" si="101"/>
        <v>215.406135</v>
      </c>
      <c r="FE14" s="78">
        <f t="shared" si="102"/>
        <v>215.406135</v>
      </c>
      <c r="FF14" s="79">
        <f t="shared" si="103"/>
        <v>155.2697062</v>
      </c>
      <c r="FG14" s="77">
        <f t="shared" si="104"/>
        <v>65.3968467</v>
      </c>
      <c r="FH14" s="78"/>
      <c r="FI14" s="78"/>
      <c r="FJ14" s="78">
        <f t="shared" si="105"/>
        <v>84.088935</v>
      </c>
      <c r="FK14" s="78">
        <f t="shared" si="106"/>
        <v>84.088935</v>
      </c>
      <c r="FL14" s="79">
        <f t="shared" si="107"/>
        <v>60.613242199999995</v>
      </c>
      <c r="FM14" s="77">
        <f t="shared" si="108"/>
        <v>25.5292227</v>
      </c>
      <c r="FN14" s="78"/>
      <c r="FO14" s="78"/>
      <c r="FP14" s="78">
        <f t="shared" si="109"/>
        <v>944.9990550000001</v>
      </c>
      <c r="FQ14" s="78">
        <f t="shared" si="110"/>
        <v>944.9990550000001</v>
      </c>
      <c r="FR14" s="79">
        <f t="shared" si="111"/>
        <v>681.1770966</v>
      </c>
      <c r="FS14" s="77">
        <f t="shared" si="112"/>
        <v>286.8997131</v>
      </c>
      <c r="FT14" s="78"/>
      <c r="FU14" s="78"/>
      <c r="FV14" s="78">
        <f t="shared" si="113"/>
        <v>2129.8391100000003</v>
      </c>
      <c r="FW14" s="78">
        <f t="shared" si="114"/>
        <v>2129.8391100000003</v>
      </c>
      <c r="FX14" s="79">
        <f t="shared" si="115"/>
        <v>1535.2371132</v>
      </c>
      <c r="FY14" s="77">
        <f t="shared" si="116"/>
        <v>646.6146462</v>
      </c>
      <c r="FZ14" s="78"/>
      <c r="GA14" s="78"/>
      <c r="GB14" s="78">
        <f t="shared" si="117"/>
        <v>271.794285</v>
      </c>
      <c r="GC14" s="78">
        <f t="shared" si="118"/>
        <v>271.794285</v>
      </c>
      <c r="GD14" s="79">
        <f t="shared" si="119"/>
        <v>195.9155842</v>
      </c>
      <c r="GE14" s="77">
        <f t="shared" si="120"/>
        <v>82.5161697</v>
      </c>
      <c r="GF14" s="78"/>
      <c r="GG14" s="78"/>
      <c r="GH14" s="78">
        <f t="shared" si="121"/>
        <v>431.61174000000005</v>
      </c>
      <c r="GI14" s="78">
        <f t="shared" si="122"/>
        <v>431.61174000000005</v>
      </c>
      <c r="GJ14" s="79">
        <f t="shared" si="123"/>
        <v>311.1156888</v>
      </c>
      <c r="GK14" s="77">
        <f t="shared" si="124"/>
        <v>131.0364108</v>
      </c>
      <c r="GL14" s="78"/>
      <c r="GM14" s="78"/>
      <c r="GN14" s="78">
        <f t="shared" si="125"/>
        <v>2000.282445</v>
      </c>
      <c r="GO14" s="78">
        <f t="shared" si="126"/>
        <v>2000.282445</v>
      </c>
      <c r="GP14" s="79">
        <f t="shared" si="127"/>
        <v>1441.8496834</v>
      </c>
      <c r="GQ14" s="77">
        <f t="shared" si="128"/>
        <v>607.2815168999999</v>
      </c>
      <c r="GR14" s="78"/>
      <c r="GS14" s="78"/>
      <c r="GT14" s="78">
        <f t="shared" si="129"/>
        <v>106.15941000000001</v>
      </c>
      <c r="GU14" s="78">
        <f t="shared" si="130"/>
        <v>106.15941000000001</v>
      </c>
      <c r="GV14" s="79">
        <f t="shared" si="131"/>
        <v>76.5221492</v>
      </c>
      <c r="GW14" s="77">
        <f t="shared" si="132"/>
        <v>32.2297722</v>
      </c>
      <c r="GX14" s="78"/>
      <c r="GY14" s="78"/>
      <c r="GZ14" s="78">
        <f t="shared" si="133"/>
        <v>608.65182</v>
      </c>
      <c r="HA14" s="78">
        <f t="shared" si="134"/>
        <v>608.65182</v>
      </c>
      <c r="HB14" s="79">
        <f t="shared" si="135"/>
        <v>438.7302584</v>
      </c>
      <c r="HC14" s="77">
        <f t="shared" si="136"/>
        <v>184.7854044</v>
      </c>
      <c r="HD14" s="78"/>
      <c r="HE14" s="78"/>
      <c r="HF14" s="78"/>
      <c r="HG14" s="78"/>
      <c r="HH14" s="78"/>
      <c r="HI14" s="78"/>
    </row>
    <row r="15" spans="1:217" s="52" customFormat="1" ht="12">
      <c r="A15" s="51">
        <v>43191</v>
      </c>
      <c r="C15" s="80">
        <v>0</v>
      </c>
      <c r="D15" s="80">
        <v>85050</v>
      </c>
      <c r="E15" s="77">
        <f t="shared" si="0"/>
        <v>85050</v>
      </c>
      <c r="F15" s="77">
        <v>61306</v>
      </c>
      <c r="G15" s="77">
        <v>25821</v>
      </c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46167.342795000004</v>
      </c>
      <c r="K15" s="79">
        <f t="shared" si="2"/>
        <v>46167.342795000004</v>
      </c>
      <c r="L15" s="79">
        <f t="shared" si="3"/>
        <v>33278.484625400015</v>
      </c>
      <c r="M15" s="79">
        <f t="shared" si="4"/>
        <v>14016.3075639</v>
      </c>
      <c r="N15" s="79"/>
      <c r="O15" s="78">
        <f t="shared" si="137"/>
        <v>0</v>
      </c>
      <c r="P15" s="78">
        <f t="shared" si="5"/>
        <v>5625.64926</v>
      </c>
      <c r="Q15" s="79">
        <f t="shared" si="6"/>
        <v>5625.64926</v>
      </c>
      <c r="R15" s="79">
        <f t="shared" si="7"/>
        <v>4055.0976312000003</v>
      </c>
      <c r="S15" s="77">
        <f t="shared" si="8"/>
        <v>1707.9352092000001</v>
      </c>
      <c r="T15" s="79"/>
      <c r="U15" s="78">
        <f t="shared" si="138"/>
        <v>0</v>
      </c>
      <c r="V15" s="78">
        <f t="shared" si="9"/>
        <v>96.07248</v>
      </c>
      <c r="W15" s="78">
        <f t="shared" si="10"/>
        <v>96.07248</v>
      </c>
      <c r="X15" s="79">
        <f t="shared" si="11"/>
        <v>69.25125759999999</v>
      </c>
      <c r="Y15" s="77">
        <f t="shared" si="12"/>
        <v>29.167401599999998</v>
      </c>
      <c r="Z15" s="79"/>
      <c r="AA15" s="79">
        <f t="shared" si="139"/>
        <v>0</v>
      </c>
      <c r="AB15" s="78">
        <f t="shared" si="13"/>
        <v>433.70396999999997</v>
      </c>
      <c r="AC15" s="78">
        <f t="shared" si="14"/>
        <v>433.70396999999997</v>
      </c>
      <c r="AD15" s="79">
        <f t="shared" si="15"/>
        <v>312.62381639999995</v>
      </c>
      <c r="AE15" s="77">
        <f t="shared" si="16"/>
        <v>131.6716074</v>
      </c>
      <c r="AF15" s="79"/>
      <c r="AG15" s="78">
        <f t="shared" si="140"/>
        <v>0</v>
      </c>
      <c r="AH15" s="78">
        <f t="shared" si="17"/>
        <v>7542.208484999999</v>
      </c>
      <c r="AI15" s="78">
        <f t="shared" si="18"/>
        <v>7542.208484999999</v>
      </c>
      <c r="AJ15" s="79">
        <f t="shared" si="19"/>
        <v>5436.5976882</v>
      </c>
      <c r="AK15" s="77">
        <f t="shared" si="20"/>
        <v>2289.7985337</v>
      </c>
      <c r="AL15" s="79"/>
      <c r="AM15" s="78">
        <f t="shared" si="141"/>
        <v>0</v>
      </c>
      <c r="AN15" s="78">
        <f t="shared" si="21"/>
        <v>91.36071</v>
      </c>
      <c r="AO15" s="78">
        <f t="shared" si="22"/>
        <v>91.36071</v>
      </c>
      <c r="AP15" s="79">
        <f t="shared" si="23"/>
        <v>65.8549052</v>
      </c>
      <c r="AQ15" s="77">
        <f t="shared" si="24"/>
        <v>27.736918199999998</v>
      </c>
      <c r="AR15" s="78"/>
      <c r="AS15" s="78">
        <f t="shared" si="142"/>
        <v>0</v>
      </c>
      <c r="AT15" s="78">
        <f t="shared" si="25"/>
        <v>77.046795</v>
      </c>
      <c r="AU15" s="78">
        <f t="shared" si="26"/>
        <v>77.046795</v>
      </c>
      <c r="AV15" s="79">
        <f t="shared" si="27"/>
        <v>55.537105399999994</v>
      </c>
      <c r="AW15" s="77">
        <f t="shared" si="28"/>
        <v>23.3912439</v>
      </c>
      <c r="AX15" s="79"/>
      <c r="AY15" s="78">
        <f t="shared" si="143"/>
        <v>0</v>
      </c>
      <c r="AZ15" s="78">
        <f t="shared" si="29"/>
        <v>3161.03634</v>
      </c>
      <c r="BA15" s="78">
        <f t="shared" si="30"/>
        <v>3161.03634</v>
      </c>
      <c r="BB15" s="79">
        <f t="shared" si="31"/>
        <v>2278.5478408</v>
      </c>
      <c r="BC15" s="77">
        <f t="shared" si="32"/>
        <v>959.6839428</v>
      </c>
      <c r="BD15" s="79"/>
      <c r="BE15" s="78">
        <f t="shared" si="144"/>
        <v>0</v>
      </c>
      <c r="BF15" s="78">
        <f t="shared" si="33"/>
        <v>6486.108615</v>
      </c>
      <c r="BG15" s="78">
        <f t="shared" si="34"/>
        <v>6486.108615</v>
      </c>
      <c r="BH15" s="79">
        <f t="shared" si="35"/>
        <v>4675.3365638000005</v>
      </c>
      <c r="BI15" s="77">
        <f t="shared" si="36"/>
        <v>1969.1688483</v>
      </c>
      <c r="BJ15" s="79"/>
      <c r="BK15" s="78">
        <f t="shared" si="145"/>
        <v>0</v>
      </c>
      <c r="BL15" s="78">
        <f t="shared" si="37"/>
        <v>74.87801999999999</v>
      </c>
      <c r="BM15" s="78">
        <f t="shared" si="38"/>
        <v>74.87801999999999</v>
      </c>
      <c r="BN15" s="79">
        <f t="shared" si="39"/>
        <v>53.973802400000004</v>
      </c>
      <c r="BO15" s="77">
        <f t="shared" si="40"/>
        <v>22.7328084</v>
      </c>
      <c r="BP15" s="79"/>
      <c r="BQ15" s="78">
        <f t="shared" si="146"/>
        <v>0</v>
      </c>
      <c r="BR15" s="78">
        <f t="shared" si="41"/>
        <v>50.29857</v>
      </c>
      <c r="BS15" s="78">
        <f t="shared" si="42"/>
        <v>50.29857</v>
      </c>
      <c r="BT15" s="79">
        <f t="shared" si="43"/>
        <v>36.2563684</v>
      </c>
      <c r="BU15" s="77">
        <f t="shared" si="44"/>
        <v>15.270539399999999</v>
      </c>
      <c r="BV15" s="79"/>
      <c r="BW15" s="78">
        <f t="shared" si="147"/>
        <v>0</v>
      </c>
      <c r="BX15" s="78">
        <f t="shared" si="45"/>
        <v>-7.492905</v>
      </c>
      <c r="BY15" s="78">
        <f t="shared" si="46"/>
        <v>-7.492905</v>
      </c>
      <c r="BZ15" s="79">
        <f t="shared" si="47"/>
        <v>-5.4010586</v>
      </c>
      <c r="CA15" s="77">
        <f t="shared" si="48"/>
        <v>-2.2748301</v>
      </c>
      <c r="CB15" s="78"/>
      <c r="CC15" s="78">
        <f t="shared" si="148"/>
        <v>0</v>
      </c>
      <c r="CD15" s="78">
        <f t="shared" si="49"/>
        <v>-4.88187</v>
      </c>
      <c r="CE15" s="78">
        <f t="shared" si="50"/>
        <v>-4.88187</v>
      </c>
      <c r="CF15" s="79">
        <f t="shared" si="51"/>
        <v>-3.5189643999999998</v>
      </c>
      <c r="CG15" s="77">
        <f t="shared" si="52"/>
        <v>-1.4821254</v>
      </c>
      <c r="CH15" s="79"/>
      <c r="CI15" s="78">
        <f t="shared" si="149"/>
        <v>0</v>
      </c>
      <c r="CJ15" s="78">
        <f t="shared" si="53"/>
        <v>181.54773</v>
      </c>
      <c r="CK15" s="78">
        <f t="shared" si="54"/>
        <v>181.54773</v>
      </c>
      <c r="CL15" s="79">
        <f t="shared" si="55"/>
        <v>130.8637876</v>
      </c>
      <c r="CM15" s="77">
        <f t="shared" si="56"/>
        <v>55.1175066</v>
      </c>
      <c r="CN15" s="79"/>
      <c r="CO15" s="78">
        <f t="shared" si="150"/>
        <v>0</v>
      </c>
      <c r="CP15" s="78">
        <f t="shared" si="57"/>
        <v>1116.45135</v>
      </c>
      <c r="CQ15" s="78">
        <f t="shared" si="58"/>
        <v>1116.45135</v>
      </c>
      <c r="CR15" s="79">
        <f t="shared" si="59"/>
        <v>804.763862</v>
      </c>
      <c r="CS15" s="77">
        <f t="shared" si="60"/>
        <v>338.952267</v>
      </c>
      <c r="CT15" s="79"/>
      <c r="CU15" s="78">
        <f t="shared" si="151"/>
        <v>0</v>
      </c>
      <c r="CV15" s="78">
        <f t="shared" si="61"/>
        <v>7500.142755</v>
      </c>
      <c r="CW15" s="78">
        <f t="shared" si="62"/>
        <v>7500.142755</v>
      </c>
      <c r="CX15" s="79">
        <f t="shared" si="63"/>
        <v>5406.2757406</v>
      </c>
      <c r="CY15" s="77">
        <f t="shared" si="64"/>
        <v>2277.0274671</v>
      </c>
      <c r="CZ15" s="79"/>
      <c r="DA15" s="78">
        <f t="shared" si="152"/>
        <v>0</v>
      </c>
      <c r="DB15" s="78">
        <f t="shared" si="65"/>
        <v>1082.10816</v>
      </c>
      <c r="DC15" s="78">
        <f t="shared" si="66"/>
        <v>1082.10816</v>
      </c>
      <c r="DD15" s="79">
        <f t="shared" si="67"/>
        <v>780.0084992000001</v>
      </c>
      <c r="DE15" s="77">
        <f t="shared" si="68"/>
        <v>328.5257472</v>
      </c>
      <c r="DF15" s="79"/>
      <c r="DG15" s="78">
        <f t="shared" si="153"/>
        <v>0</v>
      </c>
      <c r="DH15" s="78">
        <f t="shared" si="69"/>
        <v>2211.0618600000003</v>
      </c>
      <c r="DI15" s="78">
        <f t="shared" si="70"/>
        <v>2211.0618600000003</v>
      </c>
      <c r="DJ15" s="79">
        <f t="shared" si="71"/>
        <v>1593.7843432000002</v>
      </c>
      <c r="DK15" s="77">
        <f t="shared" si="72"/>
        <v>671.2737012</v>
      </c>
      <c r="DL15" s="79"/>
      <c r="DM15" s="78">
        <f t="shared" si="154"/>
        <v>0</v>
      </c>
      <c r="DN15" s="78">
        <f t="shared" si="73"/>
        <v>358.58781000000005</v>
      </c>
      <c r="DO15" s="78">
        <f t="shared" si="74"/>
        <v>358.58781000000005</v>
      </c>
      <c r="DP15" s="79">
        <f t="shared" si="75"/>
        <v>258.4783572</v>
      </c>
      <c r="DQ15" s="77">
        <f t="shared" si="76"/>
        <v>108.86650019999999</v>
      </c>
      <c r="DR15" s="79"/>
      <c r="DS15" s="78">
        <f t="shared" si="155"/>
        <v>0</v>
      </c>
      <c r="DT15" s="78">
        <f t="shared" si="77"/>
        <v>1839.47841</v>
      </c>
      <c r="DU15" s="78">
        <f t="shared" si="78"/>
        <v>1839.47841</v>
      </c>
      <c r="DV15" s="79">
        <f t="shared" si="79"/>
        <v>1325.9384292</v>
      </c>
      <c r="DW15" s="77">
        <f t="shared" si="80"/>
        <v>558.4617522</v>
      </c>
      <c r="DX15" s="79"/>
      <c r="DY15" s="78">
        <f t="shared" si="156"/>
        <v>0</v>
      </c>
      <c r="DZ15" s="78">
        <f t="shared" si="81"/>
        <v>16.440165</v>
      </c>
      <c r="EA15" s="78">
        <f t="shared" si="82"/>
        <v>16.440165</v>
      </c>
      <c r="EB15" s="79">
        <f t="shared" si="83"/>
        <v>11.8504498</v>
      </c>
      <c r="EC15" s="77">
        <f t="shared" si="84"/>
        <v>4.9911993</v>
      </c>
      <c r="ED15" s="79"/>
      <c r="EE15" s="78">
        <f t="shared" si="157"/>
        <v>0</v>
      </c>
      <c r="EF15" s="78">
        <f t="shared" si="85"/>
        <v>21.63672</v>
      </c>
      <c r="EG15" s="78">
        <f t="shared" si="86"/>
        <v>21.63672</v>
      </c>
      <c r="EH15" s="79">
        <f t="shared" si="87"/>
        <v>15.5962464</v>
      </c>
      <c r="EI15" s="77">
        <f t="shared" si="88"/>
        <v>6.5688624</v>
      </c>
      <c r="EJ15" s="79"/>
      <c r="EK15" s="78">
        <f t="shared" si="158"/>
        <v>0</v>
      </c>
      <c r="EL15" s="78">
        <f t="shared" si="89"/>
        <v>1090.230435</v>
      </c>
      <c r="EM15" s="78">
        <f t="shared" si="90"/>
        <v>1090.230435</v>
      </c>
      <c r="EN15" s="79">
        <f t="shared" si="91"/>
        <v>785.8632222</v>
      </c>
      <c r="EO15" s="77">
        <f t="shared" si="92"/>
        <v>330.99165270000003</v>
      </c>
      <c r="EP15" s="79"/>
      <c r="EQ15" s="78">
        <f t="shared" si="159"/>
        <v>0</v>
      </c>
      <c r="ER15" s="78">
        <f t="shared" si="93"/>
        <v>20.752200000000002</v>
      </c>
      <c r="ES15" s="78">
        <f t="shared" si="94"/>
        <v>20.752200000000002</v>
      </c>
      <c r="ET15" s="79">
        <f t="shared" si="95"/>
        <v>14.958663999999999</v>
      </c>
      <c r="EU15" s="77">
        <f t="shared" si="96"/>
        <v>6.300324</v>
      </c>
      <c r="EV15" s="79"/>
      <c r="EW15" s="78">
        <f t="shared" si="160"/>
        <v>0</v>
      </c>
      <c r="EX15" s="78">
        <f t="shared" si="97"/>
        <v>310.083795</v>
      </c>
      <c r="EY15" s="78">
        <f t="shared" si="98"/>
        <v>310.083795</v>
      </c>
      <c r="EZ15" s="79">
        <f t="shared" si="99"/>
        <v>223.5155454</v>
      </c>
      <c r="FA15" s="77">
        <f t="shared" si="100"/>
        <v>94.1407839</v>
      </c>
      <c r="FB15" s="79"/>
      <c r="FC15" s="78">
        <f t="shared" si="161"/>
        <v>0</v>
      </c>
      <c r="FD15" s="78">
        <f t="shared" si="101"/>
        <v>215.406135</v>
      </c>
      <c r="FE15" s="78">
        <f t="shared" si="102"/>
        <v>215.406135</v>
      </c>
      <c r="FF15" s="79">
        <f t="shared" si="103"/>
        <v>155.2697062</v>
      </c>
      <c r="FG15" s="77">
        <f t="shared" si="104"/>
        <v>65.3968467</v>
      </c>
      <c r="FH15" s="79"/>
      <c r="FI15" s="78">
        <f t="shared" si="162"/>
        <v>0</v>
      </c>
      <c r="FJ15" s="78">
        <f t="shared" si="105"/>
        <v>84.088935</v>
      </c>
      <c r="FK15" s="78">
        <f t="shared" si="106"/>
        <v>84.088935</v>
      </c>
      <c r="FL15" s="79">
        <f t="shared" si="107"/>
        <v>60.613242199999995</v>
      </c>
      <c r="FM15" s="77">
        <f t="shared" si="108"/>
        <v>25.5292227</v>
      </c>
      <c r="FN15" s="79"/>
      <c r="FO15" s="78">
        <f t="shared" si="163"/>
        <v>0</v>
      </c>
      <c r="FP15" s="78">
        <f t="shared" si="109"/>
        <v>944.9990550000001</v>
      </c>
      <c r="FQ15" s="78">
        <f t="shared" si="110"/>
        <v>944.9990550000001</v>
      </c>
      <c r="FR15" s="79">
        <f t="shared" si="111"/>
        <v>681.1770966</v>
      </c>
      <c r="FS15" s="77">
        <f t="shared" si="112"/>
        <v>286.8997131</v>
      </c>
      <c r="FT15" s="79"/>
      <c r="FU15" s="78">
        <f t="shared" si="164"/>
        <v>0</v>
      </c>
      <c r="FV15" s="78">
        <f t="shared" si="113"/>
        <v>2129.8391100000003</v>
      </c>
      <c r="FW15" s="78">
        <f t="shared" si="114"/>
        <v>2129.8391100000003</v>
      </c>
      <c r="FX15" s="79">
        <f t="shared" si="115"/>
        <v>1535.2371132</v>
      </c>
      <c r="FY15" s="77">
        <f t="shared" si="116"/>
        <v>646.6146462</v>
      </c>
      <c r="FZ15" s="79"/>
      <c r="GA15" s="78">
        <f t="shared" si="165"/>
        <v>0</v>
      </c>
      <c r="GB15" s="78">
        <f t="shared" si="117"/>
        <v>271.794285</v>
      </c>
      <c r="GC15" s="78">
        <f t="shared" si="118"/>
        <v>271.794285</v>
      </c>
      <c r="GD15" s="79">
        <f t="shared" si="119"/>
        <v>195.9155842</v>
      </c>
      <c r="GE15" s="77">
        <f t="shared" si="120"/>
        <v>82.5161697</v>
      </c>
      <c r="GF15" s="79"/>
      <c r="GG15" s="78">
        <f t="shared" si="166"/>
        <v>0</v>
      </c>
      <c r="GH15" s="78">
        <f t="shared" si="121"/>
        <v>431.61174000000005</v>
      </c>
      <c r="GI15" s="78">
        <f t="shared" si="122"/>
        <v>431.61174000000005</v>
      </c>
      <c r="GJ15" s="79">
        <f t="shared" si="123"/>
        <v>311.1156888</v>
      </c>
      <c r="GK15" s="77">
        <f t="shared" si="124"/>
        <v>131.0364108</v>
      </c>
      <c r="GL15" s="79"/>
      <c r="GM15" s="78">
        <f t="shared" si="167"/>
        <v>0</v>
      </c>
      <c r="GN15" s="78">
        <f t="shared" si="125"/>
        <v>2000.282445</v>
      </c>
      <c r="GO15" s="78">
        <f t="shared" si="126"/>
        <v>2000.282445</v>
      </c>
      <c r="GP15" s="79">
        <f t="shared" si="127"/>
        <v>1441.8496834</v>
      </c>
      <c r="GQ15" s="77">
        <f t="shared" si="128"/>
        <v>607.2815168999999</v>
      </c>
      <c r="GR15" s="79"/>
      <c r="GS15" s="78">
        <f t="shared" si="168"/>
        <v>0</v>
      </c>
      <c r="GT15" s="78">
        <f t="shared" si="129"/>
        <v>106.15941000000001</v>
      </c>
      <c r="GU15" s="78">
        <f t="shared" si="130"/>
        <v>106.15941000000001</v>
      </c>
      <c r="GV15" s="79">
        <f t="shared" si="131"/>
        <v>76.5221492</v>
      </c>
      <c r="GW15" s="77">
        <f t="shared" si="132"/>
        <v>32.2297722</v>
      </c>
      <c r="GX15" s="79"/>
      <c r="GY15" s="78">
        <f t="shared" si="169"/>
        <v>0</v>
      </c>
      <c r="GZ15" s="78">
        <f t="shared" si="133"/>
        <v>608.65182</v>
      </c>
      <c r="HA15" s="78">
        <f t="shared" si="134"/>
        <v>608.65182</v>
      </c>
      <c r="HB15" s="79">
        <f t="shared" si="135"/>
        <v>438.7302584</v>
      </c>
      <c r="HC15" s="77">
        <f t="shared" si="136"/>
        <v>184.7854044</v>
      </c>
      <c r="HD15" s="79"/>
      <c r="HE15" s="79"/>
      <c r="HF15" s="79"/>
      <c r="HG15" s="79"/>
      <c r="HH15" s="79"/>
      <c r="HI15" s="79"/>
    </row>
    <row r="16" spans="1:217" s="52" customFormat="1" ht="12">
      <c r="A16" s="51">
        <v>43374</v>
      </c>
      <c r="C16" s="80"/>
      <c r="D16" s="80">
        <v>85050</v>
      </c>
      <c r="E16" s="77">
        <f t="shared" si="0"/>
        <v>85050</v>
      </c>
      <c r="F16" s="77">
        <v>61306</v>
      </c>
      <c r="G16" s="77">
        <v>25821</v>
      </c>
      <c r="H16" s="79"/>
      <c r="I16" s="79"/>
      <c r="J16" s="79">
        <f t="shared" si="1"/>
        <v>46167.342795000004</v>
      </c>
      <c r="K16" s="79">
        <f t="shared" si="2"/>
        <v>46167.342795000004</v>
      </c>
      <c r="L16" s="79">
        <f t="shared" si="3"/>
        <v>33278.484625400015</v>
      </c>
      <c r="M16" s="79">
        <f t="shared" si="4"/>
        <v>14016.3075639</v>
      </c>
      <c r="N16" s="79"/>
      <c r="O16" s="78"/>
      <c r="P16" s="78">
        <f t="shared" si="5"/>
        <v>5625.64926</v>
      </c>
      <c r="Q16" s="79">
        <f t="shared" si="6"/>
        <v>5625.64926</v>
      </c>
      <c r="R16" s="79">
        <f t="shared" si="7"/>
        <v>4055.0976312000003</v>
      </c>
      <c r="S16" s="77">
        <f t="shared" si="8"/>
        <v>1707.9352092000001</v>
      </c>
      <c r="T16" s="79"/>
      <c r="U16" s="78"/>
      <c r="V16" s="78">
        <f t="shared" si="9"/>
        <v>96.07248</v>
      </c>
      <c r="W16" s="78">
        <f t="shared" si="10"/>
        <v>96.07248</v>
      </c>
      <c r="X16" s="79">
        <f t="shared" si="11"/>
        <v>69.25125759999999</v>
      </c>
      <c r="Y16" s="77">
        <f t="shared" si="12"/>
        <v>29.167401599999998</v>
      </c>
      <c r="Z16" s="79"/>
      <c r="AA16" s="79"/>
      <c r="AB16" s="78">
        <f t="shared" si="13"/>
        <v>433.70396999999997</v>
      </c>
      <c r="AC16" s="78">
        <f t="shared" si="14"/>
        <v>433.70396999999997</v>
      </c>
      <c r="AD16" s="79">
        <f t="shared" si="15"/>
        <v>312.62381639999995</v>
      </c>
      <c r="AE16" s="77">
        <f t="shared" si="16"/>
        <v>131.6716074</v>
      </c>
      <c r="AF16" s="79"/>
      <c r="AG16" s="78"/>
      <c r="AH16" s="78">
        <f t="shared" si="17"/>
        <v>7542.208484999999</v>
      </c>
      <c r="AI16" s="78">
        <f t="shared" si="18"/>
        <v>7542.208484999999</v>
      </c>
      <c r="AJ16" s="79">
        <f t="shared" si="19"/>
        <v>5436.5976882</v>
      </c>
      <c r="AK16" s="77">
        <f t="shared" si="20"/>
        <v>2289.7985337</v>
      </c>
      <c r="AL16" s="79"/>
      <c r="AM16" s="78"/>
      <c r="AN16" s="78">
        <f t="shared" si="21"/>
        <v>91.36071</v>
      </c>
      <c r="AO16" s="78">
        <f t="shared" si="22"/>
        <v>91.36071</v>
      </c>
      <c r="AP16" s="79">
        <f t="shared" si="23"/>
        <v>65.8549052</v>
      </c>
      <c r="AQ16" s="77">
        <f t="shared" si="24"/>
        <v>27.736918199999998</v>
      </c>
      <c r="AR16" s="78"/>
      <c r="AS16" s="78"/>
      <c r="AT16" s="78">
        <f t="shared" si="25"/>
        <v>77.046795</v>
      </c>
      <c r="AU16" s="78">
        <f t="shared" si="26"/>
        <v>77.046795</v>
      </c>
      <c r="AV16" s="79">
        <f t="shared" si="27"/>
        <v>55.537105399999994</v>
      </c>
      <c r="AW16" s="77">
        <f t="shared" si="28"/>
        <v>23.3912439</v>
      </c>
      <c r="AX16" s="79"/>
      <c r="AY16" s="78"/>
      <c r="AZ16" s="78">
        <f t="shared" si="29"/>
        <v>3161.03634</v>
      </c>
      <c r="BA16" s="78">
        <f t="shared" si="30"/>
        <v>3161.03634</v>
      </c>
      <c r="BB16" s="79">
        <f t="shared" si="31"/>
        <v>2278.5478408</v>
      </c>
      <c r="BC16" s="77">
        <f t="shared" si="32"/>
        <v>959.6839428</v>
      </c>
      <c r="BD16" s="79"/>
      <c r="BE16" s="78"/>
      <c r="BF16" s="78">
        <f t="shared" si="33"/>
        <v>6486.108615</v>
      </c>
      <c r="BG16" s="78">
        <f t="shared" si="34"/>
        <v>6486.108615</v>
      </c>
      <c r="BH16" s="79">
        <f t="shared" si="35"/>
        <v>4675.3365638000005</v>
      </c>
      <c r="BI16" s="77">
        <f t="shared" si="36"/>
        <v>1969.1688483</v>
      </c>
      <c r="BJ16" s="79"/>
      <c r="BK16" s="78"/>
      <c r="BL16" s="78">
        <f t="shared" si="37"/>
        <v>74.87801999999999</v>
      </c>
      <c r="BM16" s="78">
        <f t="shared" si="38"/>
        <v>74.87801999999999</v>
      </c>
      <c r="BN16" s="79">
        <f t="shared" si="39"/>
        <v>53.973802400000004</v>
      </c>
      <c r="BO16" s="77">
        <f t="shared" si="40"/>
        <v>22.7328084</v>
      </c>
      <c r="BP16" s="79"/>
      <c r="BQ16" s="78"/>
      <c r="BR16" s="78">
        <f t="shared" si="41"/>
        <v>50.29857</v>
      </c>
      <c r="BS16" s="78">
        <f t="shared" si="42"/>
        <v>50.29857</v>
      </c>
      <c r="BT16" s="79">
        <f t="shared" si="43"/>
        <v>36.2563684</v>
      </c>
      <c r="BU16" s="77">
        <f t="shared" si="44"/>
        <v>15.270539399999999</v>
      </c>
      <c r="BV16" s="79"/>
      <c r="BW16" s="78"/>
      <c r="BX16" s="78">
        <f t="shared" si="45"/>
        <v>-7.492905</v>
      </c>
      <c r="BY16" s="78">
        <f t="shared" si="46"/>
        <v>-7.492905</v>
      </c>
      <c r="BZ16" s="79">
        <f t="shared" si="47"/>
        <v>-5.4010586</v>
      </c>
      <c r="CA16" s="77">
        <f t="shared" si="48"/>
        <v>-2.2748301</v>
      </c>
      <c r="CB16" s="78"/>
      <c r="CC16" s="78"/>
      <c r="CD16" s="78">
        <f t="shared" si="49"/>
        <v>-4.88187</v>
      </c>
      <c r="CE16" s="78">
        <f t="shared" si="50"/>
        <v>-4.88187</v>
      </c>
      <c r="CF16" s="79">
        <f t="shared" si="51"/>
        <v>-3.5189643999999998</v>
      </c>
      <c r="CG16" s="77">
        <f t="shared" si="52"/>
        <v>-1.4821254</v>
      </c>
      <c r="CH16" s="79"/>
      <c r="CI16" s="78"/>
      <c r="CJ16" s="78">
        <f t="shared" si="53"/>
        <v>181.54773</v>
      </c>
      <c r="CK16" s="78">
        <f t="shared" si="54"/>
        <v>181.54773</v>
      </c>
      <c r="CL16" s="79">
        <f t="shared" si="55"/>
        <v>130.8637876</v>
      </c>
      <c r="CM16" s="77">
        <f t="shared" si="56"/>
        <v>55.1175066</v>
      </c>
      <c r="CN16" s="79"/>
      <c r="CO16" s="78"/>
      <c r="CP16" s="78">
        <f t="shared" si="57"/>
        <v>1116.45135</v>
      </c>
      <c r="CQ16" s="78">
        <f t="shared" si="58"/>
        <v>1116.45135</v>
      </c>
      <c r="CR16" s="79">
        <f t="shared" si="59"/>
        <v>804.763862</v>
      </c>
      <c r="CS16" s="77">
        <f t="shared" si="60"/>
        <v>338.952267</v>
      </c>
      <c r="CT16" s="79"/>
      <c r="CU16" s="78"/>
      <c r="CV16" s="78">
        <f t="shared" si="61"/>
        <v>7500.142755</v>
      </c>
      <c r="CW16" s="78">
        <f t="shared" si="62"/>
        <v>7500.142755</v>
      </c>
      <c r="CX16" s="79">
        <f t="shared" si="63"/>
        <v>5406.2757406</v>
      </c>
      <c r="CY16" s="77">
        <f t="shared" si="64"/>
        <v>2277.0274671</v>
      </c>
      <c r="CZ16" s="79"/>
      <c r="DA16" s="78"/>
      <c r="DB16" s="78">
        <f t="shared" si="65"/>
        <v>1082.10816</v>
      </c>
      <c r="DC16" s="78">
        <f t="shared" si="66"/>
        <v>1082.10816</v>
      </c>
      <c r="DD16" s="79">
        <f t="shared" si="67"/>
        <v>780.0084992000001</v>
      </c>
      <c r="DE16" s="77">
        <f t="shared" si="68"/>
        <v>328.5257472</v>
      </c>
      <c r="DF16" s="79"/>
      <c r="DG16" s="78"/>
      <c r="DH16" s="78">
        <f t="shared" si="69"/>
        <v>2211.0618600000003</v>
      </c>
      <c r="DI16" s="78">
        <f t="shared" si="70"/>
        <v>2211.0618600000003</v>
      </c>
      <c r="DJ16" s="79">
        <f t="shared" si="71"/>
        <v>1593.7843432000002</v>
      </c>
      <c r="DK16" s="77">
        <f t="shared" si="72"/>
        <v>671.2737012</v>
      </c>
      <c r="DL16" s="79"/>
      <c r="DM16" s="78"/>
      <c r="DN16" s="78">
        <f t="shared" si="73"/>
        <v>358.58781000000005</v>
      </c>
      <c r="DO16" s="78">
        <f t="shared" si="74"/>
        <v>358.58781000000005</v>
      </c>
      <c r="DP16" s="79">
        <f t="shared" si="75"/>
        <v>258.4783572</v>
      </c>
      <c r="DQ16" s="77">
        <f t="shared" si="76"/>
        <v>108.86650019999999</v>
      </c>
      <c r="DR16" s="79"/>
      <c r="DS16" s="78"/>
      <c r="DT16" s="78">
        <f t="shared" si="77"/>
        <v>1839.47841</v>
      </c>
      <c r="DU16" s="78">
        <f t="shared" si="78"/>
        <v>1839.47841</v>
      </c>
      <c r="DV16" s="79">
        <f t="shared" si="79"/>
        <v>1325.9384292</v>
      </c>
      <c r="DW16" s="77">
        <f t="shared" si="80"/>
        <v>558.4617522</v>
      </c>
      <c r="DX16" s="79"/>
      <c r="DY16" s="78"/>
      <c r="DZ16" s="78">
        <f t="shared" si="81"/>
        <v>16.440165</v>
      </c>
      <c r="EA16" s="78">
        <f t="shared" si="82"/>
        <v>16.440165</v>
      </c>
      <c r="EB16" s="79">
        <f t="shared" si="83"/>
        <v>11.8504498</v>
      </c>
      <c r="EC16" s="77">
        <f t="shared" si="84"/>
        <v>4.9911993</v>
      </c>
      <c r="ED16" s="79"/>
      <c r="EE16" s="78"/>
      <c r="EF16" s="78">
        <f t="shared" si="85"/>
        <v>21.63672</v>
      </c>
      <c r="EG16" s="78">
        <f t="shared" si="86"/>
        <v>21.63672</v>
      </c>
      <c r="EH16" s="79">
        <f t="shared" si="87"/>
        <v>15.5962464</v>
      </c>
      <c r="EI16" s="77">
        <f t="shared" si="88"/>
        <v>6.5688624</v>
      </c>
      <c r="EJ16" s="79"/>
      <c r="EK16" s="78"/>
      <c r="EL16" s="78">
        <f t="shared" si="89"/>
        <v>1090.230435</v>
      </c>
      <c r="EM16" s="78">
        <f t="shared" si="90"/>
        <v>1090.230435</v>
      </c>
      <c r="EN16" s="79">
        <f t="shared" si="91"/>
        <v>785.8632222</v>
      </c>
      <c r="EO16" s="77">
        <f t="shared" si="92"/>
        <v>330.99165270000003</v>
      </c>
      <c r="EP16" s="79"/>
      <c r="EQ16" s="78"/>
      <c r="ER16" s="78">
        <f t="shared" si="93"/>
        <v>20.752200000000002</v>
      </c>
      <c r="ES16" s="78">
        <f t="shared" si="94"/>
        <v>20.752200000000002</v>
      </c>
      <c r="ET16" s="79">
        <f t="shared" si="95"/>
        <v>14.958663999999999</v>
      </c>
      <c r="EU16" s="77">
        <f t="shared" si="96"/>
        <v>6.300324</v>
      </c>
      <c r="EV16" s="79"/>
      <c r="EW16" s="78"/>
      <c r="EX16" s="78">
        <f t="shared" si="97"/>
        <v>310.083795</v>
      </c>
      <c r="EY16" s="78">
        <f t="shared" si="98"/>
        <v>310.083795</v>
      </c>
      <c r="EZ16" s="79">
        <f t="shared" si="99"/>
        <v>223.5155454</v>
      </c>
      <c r="FA16" s="77">
        <f t="shared" si="100"/>
        <v>94.1407839</v>
      </c>
      <c r="FB16" s="79"/>
      <c r="FC16" s="78"/>
      <c r="FD16" s="78">
        <f t="shared" si="101"/>
        <v>215.406135</v>
      </c>
      <c r="FE16" s="78">
        <f t="shared" si="102"/>
        <v>215.406135</v>
      </c>
      <c r="FF16" s="79">
        <f t="shared" si="103"/>
        <v>155.2697062</v>
      </c>
      <c r="FG16" s="77">
        <f t="shared" si="104"/>
        <v>65.3968467</v>
      </c>
      <c r="FH16" s="79"/>
      <c r="FI16" s="78"/>
      <c r="FJ16" s="78">
        <f t="shared" si="105"/>
        <v>84.088935</v>
      </c>
      <c r="FK16" s="78">
        <f t="shared" si="106"/>
        <v>84.088935</v>
      </c>
      <c r="FL16" s="79">
        <f t="shared" si="107"/>
        <v>60.613242199999995</v>
      </c>
      <c r="FM16" s="77">
        <f t="shared" si="108"/>
        <v>25.5292227</v>
      </c>
      <c r="FN16" s="79"/>
      <c r="FO16" s="78"/>
      <c r="FP16" s="78">
        <f t="shared" si="109"/>
        <v>944.9990550000001</v>
      </c>
      <c r="FQ16" s="78">
        <f t="shared" si="110"/>
        <v>944.9990550000001</v>
      </c>
      <c r="FR16" s="79">
        <f t="shared" si="111"/>
        <v>681.1770966</v>
      </c>
      <c r="FS16" s="77">
        <f t="shared" si="112"/>
        <v>286.8997131</v>
      </c>
      <c r="FT16" s="79"/>
      <c r="FU16" s="78"/>
      <c r="FV16" s="78">
        <f t="shared" si="113"/>
        <v>2129.8391100000003</v>
      </c>
      <c r="FW16" s="78">
        <f t="shared" si="114"/>
        <v>2129.8391100000003</v>
      </c>
      <c r="FX16" s="79">
        <f t="shared" si="115"/>
        <v>1535.2371132</v>
      </c>
      <c r="FY16" s="77">
        <f t="shared" si="116"/>
        <v>646.6146462</v>
      </c>
      <c r="FZ16" s="79"/>
      <c r="GA16" s="78"/>
      <c r="GB16" s="78">
        <f t="shared" si="117"/>
        <v>271.794285</v>
      </c>
      <c r="GC16" s="78">
        <f t="shared" si="118"/>
        <v>271.794285</v>
      </c>
      <c r="GD16" s="79">
        <f t="shared" si="119"/>
        <v>195.9155842</v>
      </c>
      <c r="GE16" s="77">
        <f t="shared" si="120"/>
        <v>82.5161697</v>
      </c>
      <c r="GF16" s="79"/>
      <c r="GG16" s="78"/>
      <c r="GH16" s="78">
        <f t="shared" si="121"/>
        <v>431.61174000000005</v>
      </c>
      <c r="GI16" s="78">
        <f t="shared" si="122"/>
        <v>431.61174000000005</v>
      </c>
      <c r="GJ16" s="79">
        <f t="shared" si="123"/>
        <v>311.1156888</v>
      </c>
      <c r="GK16" s="77">
        <f t="shared" si="124"/>
        <v>131.0364108</v>
      </c>
      <c r="GL16" s="79"/>
      <c r="GM16" s="78"/>
      <c r="GN16" s="78">
        <f t="shared" si="125"/>
        <v>2000.282445</v>
      </c>
      <c r="GO16" s="78">
        <f t="shared" si="126"/>
        <v>2000.282445</v>
      </c>
      <c r="GP16" s="79">
        <f t="shared" si="127"/>
        <v>1441.8496834</v>
      </c>
      <c r="GQ16" s="77">
        <f t="shared" si="128"/>
        <v>607.2815168999999</v>
      </c>
      <c r="GR16" s="79"/>
      <c r="GS16" s="78"/>
      <c r="GT16" s="78">
        <f t="shared" si="129"/>
        <v>106.15941000000001</v>
      </c>
      <c r="GU16" s="78">
        <f t="shared" si="130"/>
        <v>106.15941000000001</v>
      </c>
      <c r="GV16" s="79">
        <f t="shared" si="131"/>
        <v>76.5221492</v>
      </c>
      <c r="GW16" s="77">
        <f t="shared" si="132"/>
        <v>32.2297722</v>
      </c>
      <c r="GX16" s="79"/>
      <c r="GY16" s="78"/>
      <c r="GZ16" s="78">
        <f t="shared" si="133"/>
        <v>608.65182</v>
      </c>
      <c r="HA16" s="78">
        <f t="shared" si="134"/>
        <v>608.65182</v>
      </c>
      <c r="HB16" s="79">
        <f t="shared" si="135"/>
        <v>438.7302584</v>
      </c>
      <c r="HC16" s="77">
        <f t="shared" si="136"/>
        <v>184.7854044</v>
      </c>
      <c r="HD16" s="79"/>
      <c r="HE16" s="79"/>
      <c r="HF16" s="79"/>
      <c r="HG16" s="79"/>
      <c r="HH16" s="79"/>
      <c r="HI16" s="79"/>
    </row>
    <row r="17" spans="1:217" s="52" customFormat="1" ht="12">
      <c r="A17" s="51">
        <v>43556</v>
      </c>
      <c r="C17" s="80">
        <v>5670000</v>
      </c>
      <c r="D17" s="80">
        <v>85050</v>
      </c>
      <c r="E17" s="77">
        <f t="shared" si="0"/>
        <v>5755050</v>
      </c>
      <c r="F17" s="77">
        <v>61297</v>
      </c>
      <c r="G17" s="77">
        <v>25813</v>
      </c>
      <c r="H17" s="79"/>
      <c r="I17" s="79">
        <f>O17+U17+AA17+AG17+AM17+AS17+AY17+BE17+BK17+BQ17+BW17+CC17+CI17+CO17+CU17+DA17+DG17+DM17+DS17+DY17+EE17+EK17+EQ17+EW17+FC17+FI17+FO17+FU17+GA17+GG17+GM17+GS17+GY17</f>
        <v>3077822.8529999997</v>
      </c>
      <c r="J17" s="79">
        <f t="shared" si="1"/>
        <v>46167.342795000004</v>
      </c>
      <c r="K17" s="79">
        <f t="shared" si="2"/>
        <v>3123990.1957949996</v>
      </c>
      <c r="L17" s="79">
        <f t="shared" si="3"/>
        <v>33273.5991923</v>
      </c>
      <c r="M17" s="79">
        <f t="shared" si="4"/>
        <v>14011.964956700001</v>
      </c>
      <c r="N17" s="79"/>
      <c r="O17" s="78">
        <f t="shared" si="137"/>
        <v>375043.284</v>
      </c>
      <c r="P17" s="78">
        <f t="shared" si="5"/>
        <v>5625.64926</v>
      </c>
      <c r="Q17" s="79">
        <f t="shared" si="6"/>
        <v>380668.93325999996</v>
      </c>
      <c r="R17" s="79">
        <f t="shared" si="7"/>
        <v>4054.5023244</v>
      </c>
      <c r="S17" s="77">
        <f t="shared" si="8"/>
        <v>1707.4060476</v>
      </c>
      <c r="T17" s="79"/>
      <c r="U17" s="78">
        <f t="shared" si="138"/>
        <v>6404.832</v>
      </c>
      <c r="V17" s="78">
        <f t="shared" si="9"/>
        <v>96.07248</v>
      </c>
      <c r="W17" s="78">
        <f t="shared" si="10"/>
        <v>6500.90448</v>
      </c>
      <c r="X17" s="79">
        <f t="shared" si="11"/>
        <v>69.2410912</v>
      </c>
      <c r="Y17" s="77">
        <f t="shared" si="12"/>
        <v>29.158364799999998</v>
      </c>
      <c r="Z17" s="79"/>
      <c r="AA17" s="79">
        <f t="shared" si="139"/>
        <v>28913.597999999998</v>
      </c>
      <c r="AB17" s="78">
        <f t="shared" si="13"/>
        <v>433.70396999999997</v>
      </c>
      <c r="AC17" s="78">
        <f t="shared" si="14"/>
        <v>29347.301969999997</v>
      </c>
      <c r="AD17" s="79">
        <f t="shared" si="15"/>
        <v>312.57792179999996</v>
      </c>
      <c r="AE17" s="77">
        <f t="shared" si="16"/>
        <v>131.63081219999998</v>
      </c>
      <c r="AF17" s="79"/>
      <c r="AG17" s="78">
        <f t="shared" si="140"/>
        <v>502813.899</v>
      </c>
      <c r="AH17" s="78">
        <f t="shared" si="17"/>
        <v>7542.208484999999</v>
      </c>
      <c r="AI17" s="78">
        <f t="shared" si="18"/>
        <v>510356.107485</v>
      </c>
      <c r="AJ17" s="79">
        <f t="shared" si="19"/>
        <v>5435.7995709</v>
      </c>
      <c r="AK17" s="77">
        <f t="shared" si="20"/>
        <v>2289.0890961</v>
      </c>
      <c r="AL17" s="79"/>
      <c r="AM17" s="78">
        <f t="shared" si="141"/>
        <v>6090.714</v>
      </c>
      <c r="AN17" s="78">
        <f t="shared" si="21"/>
        <v>91.36071</v>
      </c>
      <c r="AO17" s="78">
        <f t="shared" si="22"/>
        <v>6182.07471</v>
      </c>
      <c r="AP17" s="79">
        <f t="shared" si="23"/>
        <v>65.8452374</v>
      </c>
      <c r="AQ17" s="77">
        <f t="shared" si="24"/>
        <v>27.7283246</v>
      </c>
      <c r="AR17" s="78"/>
      <c r="AS17" s="78">
        <f t="shared" si="142"/>
        <v>5136.453</v>
      </c>
      <c r="AT17" s="78">
        <f t="shared" si="25"/>
        <v>77.046795</v>
      </c>
      <c r="AU17" s="78">
        <f t="shared" si="26"/>
        <v>5213.499795000001</v>
      </c>
      <c r="AV17" s="79">
        <f t="shared" si="27"/>
        <v>55.5289523</v>
      </c>
      <c r="AW17" s="77">
        <f t="shared" si="28"/>
        <v>23.383996699999997</v>
      </c>
      <c r="AX17" s="79"/>
      <c r="AY17" s="78">
        <f t="shared" si="143"/>
        <v>210735.75600000002</v>
      </c>
      <c r="AZ17" s="78">
        <f t="shared" si="29"/>
        <v>3161.03634</v>
      </c>
      <c r="BA17" s="78">
        <f t="shared" si="30"/>
        <v>213896.79234</v>
      </c>
      <c r="BB17" s="79">
        <f t="shared" si="31"/>
        <v>2278.2133396</v>
      </c>
      <c r="BC17" s="77">
        <f t="shared" si="32"/>
        <v>959.3866084</v>
      </c>
      <c r="BD17" s="79"/>
      <c r="BE17" s="78">
        <f t="shared" si="144"/>
        <v>432407.24100000004</v>
      </c>
      <c r="BF17" s="78">
        <f t="shared" si="33"/>
        <v>6486.108615</v>
      </c>
      <c r="BG17" s="78">
        <f t="shared" si="34"/>
        <v>438893.349615</v>
      </c>
      <c r="BH17" s="79">
        <f t="shared" si="35"/>
        <v>4674.6502031</v>
      </c>
      <c r="BI17" s="77">
        <f t="shared" si="36"/>
        <v>1968.5587499</v>
      </c>
      <c r="BJ17" s="79"/>
      <c r="BK17" s="78">
        <f t="shared" si="145"/>
        <v>4991.8679999999995</v>
      </c>
      <c r="BL17" s="78">
        <f t="shared" si="37"/>
        <v>74.87801999999999</v>
      </c>
      <c r="BM17" s="78">
        <f t="shared" si="38"/>
        <v>5066.74602</v>
      </c>
      <c r="BN17" s="79">
        <f t="shared" si="39"/>
        <v>53.965878800000006</v>
      </c>
      <c r="BO17" s="77">
        <f t="shared" si="40"/>
        <v>22.7257652</v>
      </c>
      <c r="BP17" s="79"/>
      <c r="BQ17" s="78">
        <f t="shared" si="146"/>
        <v>3353.238</v>
      </c>
      <c r="BR17" s="78">
        <f t="shared" si="41"/>
        <v>50.29857</v>
      </c>
      <c r="BS17" s="78">
        <f t="shared" si="42"/>
        <v>3403.5365699999998</v>
      </c>
      <c r="BT17" s="79">
        <f t="shared" si="43"/>
        <v>36.2510458</v>
      </c>
      <c r="BU17" s="77">
        <f t="shared" si="44"/>
        <v>15.265808199999999</v>
      </c>
      <c r="BV17" s="79"/>
      <c r="BW17" s="78">
        <f t="shared" si="147"/>
        <v>-499.527</v>
      </c>
      <c r="BX17" s="78">
        <f t="shared" si="45"/>
        <v>-7.492905</v>
      </c>
      <c r="BY17" s="78">
        <f t="shared" si="46"/>
        <v>-507.019905</v>
      </c>
      <c r="BZ17" s="79">
        <f t="shared" si="47"/>
        <v>-5.4002657</v>
      </c>
      <c r="CA17" s="77">
        <f t="shared" si="48"/>
        <v>-2.2741253</v>
      </c>
      <c r="CB17" s="78"/>
      <c r="CC17" s="78">
        <f t="shared" si="148"/>
        <v>-325.458</v>
      </c>
      <c r="CD17" s="78">
        <f t="shared" si="49"/>
        <v>-4.88187</v>
      </c>
      <c r="CE17" s="78">
        <f t="shared" si="50"/>
        <v>-330.33987</v>
      </c>
      <c r="CF17" s="79">
        <f t="shared" si="51"/>
        <v>-3.5184478</v>
      </c>
      <c r="CG17" s="77">
        <f t="shared" si="52"/>
        <v>-1.4816662</v>
      </c>
      <c r="CH17" s="79"/>
      <c r="CI17" s="78">
        <f t="shared" si="149"/>
        <v>12103.181999999999</v>
      </c>
      <c r="CJ17" s="78">
        <f t="shared" si="53"/>
        <v>181.54773</v>
      </c>
      <c r="CK17" s="78">
        <f t="shared" si="54"/>
        <v>12284.72973</v>
      </c>
      <c r="CL17" s="79">
        <f t="shared" si="55"/>
        <v>130.8445762</v>
      </c>
      <c r="CM17" s="77">
        <f t="shared" si="56"/>
        <v>55.1004298</v>
      </c>
      <c r="CN17" s="79"/>
      <c r="CO17" s="78">
        <f t="shared" si="150"/>
        <v>74430.09</v>
      </c>
      <c r="CP17" s="78">
        <f t="shared" si="57"/>
        <v>1116.45135</v>
      </c>
      <c r="CQ17" s="78">
        <f t="shared" si="58"/>
        <v>75546.54135</v>
      </c>
      <c r="CR17" s="79">
        <f t="shared" si="59"/>
        <v>804.645719</v>
      </c>
      <c r="CS17" s="77">
        <f t="shared" si="60"/>
        <v>338.84725099999997</v>
      </c>
      <c r="CT17" s="79"/>
      <c r="CU17" s="78">
        <f t="shared" si="151"/>
        <v>500009.51699999993</v>
      </c>
      <c r="CV17" s="78">
        <f t="shared" si="61"/>
        <v>7500.142755</v>
      </c>
      <c r="CW17" s="78">
        <f t="shared" si="62"/>
        <v>507509.6597549999</v>
      </c>
      <c r="CX17" s="79">
        <f t="shared" si="63"/>
        <v>5405.4820747</v>
      </c>
      <c r="CY17" s="77">
        <f t="shared" si="64"/>
        <v>2276.3219863</v>
      </c>
      <c r="CZ17" s="79"/>
      <c r="DA17" s="78">
        <f t="shared" si="152"/>
        <v>72140.544</v>
      </c>
      <c r="DB17" s="78">
        <f t="shared" si="65"/>
        <v>1082.10816</v>
      </c>
      <c r="DC17" s="78">
        <f t="shared" si="66"/>
        <v>73222.65216</v>
      </c>
      <c r="DD17" s="79">
        <f t="shared" si="67"/>
        <v>779.8939904</v>
      </c>
      <c r="DE17" s="77">
        <f t="shared" si="68"/>
        <v>328.4239616</v>
      </c>
      <c r="DF17" s="79"/>
      <c r="DG17" s="78">
        <f t="shared" si="153"/>
        <v>147404.124</v>
      </c>
      <c r="DH17" s="78">
        <f t="shared" si="69"/>
        <v>2211.0618600000003</v>
      </c>
      <c r="DI17" s="78">
        <f t="shared" si="70"/>
        <v>149615.18586</v>
      </c>
      <c r="DJ17" s="79">
        <f t="shared" si="71"/>
        <v>1593.5503684</v>
      </c>
      <c r="DK17" s="77">
        <f t="shared" si="72"/>
        <v>671.0657236000001</v>
      </c>
      <c r="DL17" s="79"/>
      <c r="DM17" s="78">
        <f t="shared" si="154"/>
        <v>23905.854</v>
      </c>
      <c r="DN17" s="78">
        <f t="shared" si="73"/>
        <v>358.58781000000005</v>
      </c>
      <c r="DO17" s="78">
        <f t="shared" si="74"/>
        <v>24264.44181</v>
      </c>
      <c r="DP17" s="79">
        <f t="shared" si="75"/>
        <v>258.4404114</v>
      </c>
      <c r="DQ17" s="77">
        <f t="shared" si="76"/>
        <v>108.83277059999999</v>
      </c>
      <c r="DR17" s="79"/>
      <c r="DS17" s="78">
        <f t="shared" si="155"/>
        <v>122631.894</v>
      </c>
      <c r="DT17" s="78">
        <f t="shared" si="77"/>
        <v>1839.47841</v>
      </c>
      <c r="DU17" s="78">
        <f t="shared" si="78"/>
        <v>124471.37241</v>
      </c>
      <c r="DV17" s="79">
        <f t="shared" si="79"/>
        <v>1325.7437754</v>
      </c>
      <c r="DW17" s="77">
        <f t="shared" si="80"/>
        <v>558.2887266</v>
      </c>
      <c r="DX17" s="79"/>
      <c r="DY17" s="78">
        <f t="shared" si="156"/>
        <v>1096.011</v>
      </c>
      <c r="DZ17" s="78">
        <f t="shared" si="81"/>
        <v>16.440165</v>
      </c>
      <c r="EA17" s="78">
        <f t="shared" si="82"/>
        <v>1112.451165</v>
      </c>
      <c r="EB17" s="79">
        <f t="shared" si="83"/>
        <v>11.8487101</v>
      </c>
      <c r="EC17" s="77">
        <f t="shared" si="84"/>
        <v>4.9896529</v>
      </c>
      <c r="ED17" s="79"/>
      <c r="EE17" s="78">
        <f t="shared" si="157"/>
        <v>1442.448</v>
      </c>
      <c r="EF17" s="78">
        <f t="shared" si="85"/>
        <v>21.63672</v>
      </c>
      <c r="EG17" s="78">
        <f t="shared" si="86"/>
        <v>1464.08472</v>
      </c>
      <c r="EH17" s="79">
        <f t="shared" si="87"/>
        <v>15.5939568</v>
      </c>
      <c r="EI17" s="77">
        <f t="shared" si="88"/>
        <v>6.5668272000000005</v>
      </c>
      <c r="EJ17" s="79"/>
      <c r="EK17" s="78">
        <f t="shared" si="158"/>
        <v>72682.02900000001</v>
      </c>
      <c r="EL17" s="78">
        <f t="shared" si="89"/>
        <v>1090.230435</v>
      </c>
      <c r="EM17" s="78">
        <f t="shared" si="90"/>
        <v>73772.25943500001</v>
      </c>
      <c r="EN17" s="79">
        <f t="shared" si="91"/>
        <v>785.7478539</v>
      </c>
      <c r="EO17" s="77">
        <f t="shared" si="92"/>
        <v>330.8891031</v>
      </c>
      <c r="EP17" s="79"/>
      <c r="EQ17" s="78">
        <f t="shared" si="159"/>
        <v>1383.48</v>
      </c>
      <c r="ER17" s="78">
        <f t="shared" si="93"/>
        <v>20.752200000000002</v>
      </c>
      <c r="ES17" s="78">
        <f t="shared" si="94"/>
        <v>1404.2322</v>
      </c>
      <c r="ET17" s="79">
        <f t="shared" si="95"/>
        <v>14.956468</v>
      </c>
      <c r="EU17" s="77">
        <f t="shared" si="96"/>
        <v>6.298372</v>
      </c>
      <c r="EV17" s="79"/>
      <c r="EW17" s="78">
        <f t="shared" si="160"/>
        <v>20672.253</v>
      </c>
      <c r="EX17" s="78">
        <f t="shared" si="97"/>
        <v>310.083795</v>
      </c>
      <c r="EY17" s="78">
        <f t="shared" si="98"/>
        <v>20982.336795</v>
      </c>
      <c r="EZ17" s="79">
        <f t="shared" si="99"/>
        <v>223.4827323</v>
      </c>
      <c r="FA17" s="77">
        <f t="shared" si="100"/>
        <v>94.1116167</v>
      </c>
      <c r="FB17" s="79"/>
      <c r="FC17" s="78">
        <f t="shared" si="161"/>
        <v>14360.409</v>
      </c>
      <c r="FD17" s="78">
        <f t="shared" si="101"/>
        <v>215.406135</v>
      </c>
      <c r="FE17" s="78">
        <f t="shared" si="102"/>
        <v>14575.815134999999</v>
      </c>
      <c r="FF17" s="79">
        <f t="shared" si="103"/>
        <v>155.24691190000001</v>
      </c>
      <c r="FG17" s="77">
        <f t="shared" si="104"/>
        <v>65.3765851</v>
      </c>
      <c r="FH17" s="79"/>
      <c r="FI17" s="78">
        <f t="shared" si="162"/>
        <v>5605.929</v>
      </c>
      <c r="FJ17" s="78">
        <f t="shared" si="105"/>
        <v>84.088935</v>
      </c>
      <c r="FK17" s="78">
        <f t="shared" si="106"/>
        <v>5690.017935</v>
      </c>
      <c r="FL17" s="79">
        <f t="shared" si="107"/>
        <v>60.604343899999996</v>
      </c>
      <c r="FM17" s="77">
        <f t="shared" si="108"/>
        <v>25.521313099999997</v>
      </c>
      <c r="FN17" s="79"/>
      <c r="FO17" s="78">
        <f t="shared" si="163"/>
        <v>62999.937000000005</v>
      </c>
      <c r="FP17" s="78">
        <f t="shared" si="109"/>
        <v>944.9990550000001</v>
      </c>
      <c r="FQ17" s="78">
        <f t="shared" si="110"/>
        <v>63944.936055000006</v>
      </c>
      <c r="FR17" s="79">
        <f t="shared" si="111"/>
        <v>681.0770967000001</v>
      </c>
      <c r="FS17" s="77">
        <f t="shared" si="112"/>
        <v>286.81082430000004</v>
      </c>
      <c r="FT17" s="79"/>
      <c r="FU17" s="78">
        <f t="shared" si="164"/>
        <v>141989.274</v>
      </c>
      <c r="FV17" s="78">
        <f t="shared" si="113"/>
        <v>2129.8391100000003</v>
      </c>
      <c r="FW17" s="78">
        <f t="shared" si="114"/>
        <v>144119.11311</v>
      </c>
      <c r="FX17" s="79">
        <f t="shared" si="115"/>
        <v>1535.0117334000001</v>
      </c>
      <c r="FY17" s="77">
        <f t="shared" si="116"/>
        <v>646.4143086</v>
      </c>
      <c r="FZ17" s="79"/>
      <c r="GA17" s="78">
        <f t="shared" si="165"/>
        <v>18119.619000000002</v>
      </c>
      <c r="GB17" s="78">
        <f t="shared" si="117"/>
        <v>271.794285</v>
      </c>
      <c r="GC17" s="78">
        <f t="shared" si="118"/>
        <v>18391.413285000002</v>
      </c>
      <c r="GD17" s="79">
        <f t="shared" si="119"/>
        <v>195.8868229</v>
      </c>
      <c r="GE17" s="77">
        <f t="shared" si="120"/>
        <v>82.4906041</v>
      </c>
      <c r="GF17" s="79"/>
      <c r="GG17" s="78">
        <f t="shared" si="166"/>
        <v>28774.116</v>
      </c>
      <c r="GH17" s="78">
        <f t="shared" si="121"/>
        <v>431.61174000000005</v>
      </c>
      <c r="GI17" s="78">
        <f t="shared" si="122"/>
        <v>29205.727740000002</v>
      </c>
      <c r="GJ17" s="79">
        <f t="shared" si="123"/>
        <v>311.0700156</v>
      </c>
      <c r="GK17" s="77">
        <f t="shared" si="124"/>
        <v>130.9958124</v>
      </c>
      <c r="GL17" s="79"/>
      <c r="GM17" s="78">
        <f t="shared" si="167"/>
        <v>133352.163</v>
      </c>
      <c r="GN17" s="78">
        <f t="shared" si="125"/>
        <v>2000.282445</v>
      </c>
      <c r="GO17" s="78">
        <f t="shared" si="126"/>
        <v>135352.445445</v>
      </c>
      <c r="GP17" s="79">
        <f t="shared" si="127"/>
        <v>1441.6380133</v>
      </c>
      <c r="GQ17" s="77">
        <f t="shared" si="128"/>
        <v>607.0933656999999</v>
      </c>
      <c r="GR17" s="79"/>
      <c r="GS17" s="78">
        <f t="shared" si="168"/>
        <v>7077.294</v>
      </c>
      <c r="GT17" s="78">
        <f t="shared" si="129"/>
        <v>106.15941000000001</v>
      </c>
      <c r="GU17" s="78">
        <f t="shared" si="130"/>
        <v>7183.45341</v>
      </c>
      <c r="GV17" s="79">
        <f t="shared" si="131"/>
        <v>76.5109154</v>
      </c>
      <c r="GW17" s="77">
        <f t="shared" si="132"/>
        <v>32.2197866</v>
      </c>
      <c r="GX17" s="79"/>
      <c r="GY17" s="78">
        <f t="shared" si="169"/>
        <v>40576.788</v>
      </c>
      <c r="GZ17" s="78">
        <f t="shared" si="133"/>
        <v>608.65182</v>
      </c>
      <c r="HA17" s="78">
        <f t="shared" si="134"/>
        <v>41185.43982</v>
      </c>
      <c r="HB17" s="79">
        <f t="shared" si="135"/>
        <v>438.66585080000004</v>
      </c>
      <c r="HC17" s="77">
        <f t="shared" si="136"/>
        <v>184.7281532</v>
      </c>
      <c r="HD17" s="79"/>
      <c r="HE17" s="79"/>
      <c r="HF17" s="79"/>
      <c r="HG17" s="79"/>
      <c r="HH17" s="79"/>
      <c r="HI17" s="79"/>
    </row>
    <row r="18" spans="1:217" s="52" customFormat="1" ht="12" hidden="1">
      <c r="A18" s="51">
        <v>43739</v>
      </c>
      <c r="C18" s="80"/>
      <c r="D18" s="80"/>
      <c r="E18" s="77">
        <f t="shared" si="0"/>
        <v>0</v>
      </c>
      <c r="F18" s="77"/>
      <c r="G18" s="77"/>
      <c r="H18" s="79"/>
      <c r="I18" s="79"/>
      <c r="J18" s="79">
        <f t="shared" si="1"/>
        <v>0</v>
      </c>
      <c r="K18" s="79">
        <f t="shared" si="2"/>
        <v>0</v>
      </c>
      <c r="L18" s="79">
        <f t="shared" si="3"/>
        <v>0</v>
      </c>
      <c r="M18" s="79">
        <f t="shared" si="4"/>
        <v>0</v>
      </c>
      <c r="N18" s="79"/>
      <c r="O18" s="78"/>
      <c r="P18" s="78">
        <f t="shared" si="5"/>
        <v>0</v>
      </c>
      <c r="Q18" s="79">
        <f t="shared" si="6"/>
        <v>0</v>
      </c>
      <c r="R18" s="79">
        <f t="shared" si="7"/>
        <v>0</v>
      </c>
      <c r="S18" s="77">
        <f t="shared" si="8"/>
        <v>0</v>
      </c>
      <c r="T18" s="79"/>
      <c r="U18" s="78"/>
      <c r="V18" s="78">
        <f t="shared" si="9"/>
        <v>0</v>
      </c>
      <c r="W18" s="78">
        <f t="shared" si="10"/>
        <v>0</v>
      </c>
      <c r="X18" s="79">
        <f t="shared" si="11"/>
        <v>0</v>
      </c>
      <c r="Y18" s="77">
        <f t="shared" si="12"/>
        <v>0</v>
      </c>
      <c r="Z18" s="79"/>
      <c r="AA18" s="79"/>
      <c r="AB18" s="78">
        <f t="shared" si="13"/>
        <v>0</v>
      </c>
      <c r="AC18" s="78">
        <f t="shared" si="14"/>
        <v>0</v>
      </c>
      <c r="AD18" s="79">
        <f t="shared" si="15"/>
        <v>0</v>
      </c>
      <c r="AE18" s="77">
        <f t="shared" si="16"/>
        <v>0</v>
      </c>
      <c r="AF18" s="79"/>
      <c r="AG18" s="78"/>
      <c r="AH18" s="78">
        <f t="shared" si="17"/>
        <v>0</v>
      </c>
      <c r="AI18" s="78">
        <f t="shared" si="18"/>
        <v>0</v>
      </c>
      <c r="AJ18" s="79">
        <f t="shared" si="19"/>
        <v>0</v>
      </c>
      <c r="AK18" s="77">
        <f t="shared" si="20"/>
        <v>0</v>
      </c>
      <c r="AL18" s="79"/>
      <c r="AM18" s="78"/>
      <c r="AN18" s="78">
        <f t="shared" si="21"/>
        <v>0</v>
      </c>
      <c r="AO18" s="78">
        <f t="shared" si="22"/>
        <v>0</v>
      </c>
      <c r="AP18" s="79">
        <f t="shared" si="23"/>
        <v>0</v>
      </c>
      <c r="AQ18" s="77">
        <f t="shared" si="24"/>
        <v>0</v>
      </c>
      <c r="AR18" s="78"/>
      <c r="AS18" s="78"/>
      <c r="AT18" s="78">
        <f t="shared" si="25"/>
        <v>0</v>
      </c>
      <c r="AU18" s="78">
        <f t="shared" si="26"/>
        <v>0</v>
      </c>
      <c r="AV18" s="79">
        <f t="shared" si="27"/>
        <v>0</v>
      </c>
      <c r="AW18" s="77">
        <f t="shared" si="28"/>
        <v>0</v>
      </c>
      <c r="AX18" s="79"/>
      <c r="AY18" s="78"/>
      <c r="AZ18" s="78">
        <f t="shared" si="29"/>
        <v>0</v>
      </c>
      <c r="BA18" s="78">
        <f t="shared" si="30"/>
        <v>0</v>
      </c>
      <c r="BB18" s="79">
        <f t="shared" si="31"/>
        <v>0</v>
      </c>
      <c r="BC18" s="77">
        <f t="shared" si="32"/>
        <v>0</v>
      </c>
      <c r="BD18" s="79"/>
      <c r="BE18" s="78"/>
      <c r="BF18" s="78">
        <f t="shared" si="33"/>
        <v>0</v>
      </c>
      <c r="BG18" s="78">
        <f t="shared" si="34"/>
        <v>0</v>
      </c>
      <c r="BH18" s="79">
        <f t="shared" si="35"/>
        <v>0</v>
      </c>
      <c r="BI18" s="77">
        <f t="shared" si="36"/>
        <v>0</v>
      </c>
      <c r="BJ18" s="79"/>
      <c r="BK18" s="78"/>
      <c r="BL18" s="78">
        <f t="shared" si="37"/>
        <v>0</v>
      </c>
      <c r="BM18" s="78">
        <f t="shared" si="38"/>
        <v>0</v>
      </c>
      <c r="BN18" s="79">
        <f t="shared" si="39"/>
        <v>0</v>
      </c>
      <c r="BO18" s="77">
        <f t="shared" si="40"/>
        <v>0</v>
      </c>
      <c r="BP18" s="79"/>
      <c r="BQ18" s="78"/>
      <c r="BR18" s="78">
        <f t="shared" si="41"/>
        <v>0</v>
      </c>
      <c r="BS18" s="78">
        <f t="shared" si="42"/>
        <v>0</v>
      </c>
      <c r="BT18" s="79">
        <f t="shared" si="43"/>
        <v>0</v>
      </c>
      <c r="BU18" s="77">
        <f t="shared" si="44"/>
        <v>0</v>
      </c>
      <c r="BV18" s="79"/>
      <c r="BW18" s="78"/>
      <c r="BX18" s="78">
        <f t="shared" si="45"/>
        <v>0</v>
      </c>
      <c r="BY18" s="78">
        <f t="shared" si="46"/>
        <v>0</v>
      </c>
      <c r="BZ18" s="79">
        <f t="shared" si="47"/>
        <v>0</v>
      </c>
      <c r="CA18" s="77">
        <f t="shared" si="48"/>
        <v>0</v>
      </c>
      <c r="CB18" s="78"/>
      <c r="CC18" s="78"/>
      <c r="CD18" s="78">
        <f t="shared" si="49"/>
        <v>0</v>
      </c>
      <c r="CE18" s="78">
        <f t="shared" si="50"/>
        <v>0</v>
      </c>
      <c r="CF18" s="79">
        <f t="shared" si="51"/>
        <v>0</v>
      </c>
      <c r="CG18" s="77">
        <f t="shared" si="52"/>
        <v>0</v>
      </c>
      <c r="CH18" s="79"/>
      <c r="CI18" s="78"/>
      <c r="CJ18" s="78">
        <f t="shared" si="53"/>
        <v>0</v>
      </c>
      <c r="CK18" s="78">
        <f t="shared" si="54"/>
        <v>0</v>
      </c>
      <c r="CL18" s="79">
        <f t="shared" si="55"/>
        <v>0</v>
      </c>
      <c r="CM18" s="77">
        <f t="shared" si="56"/>
        <v>0</v>
      </c>
      <c r="CN18" s="79"/>
      <c r="CO18" s="78"/>
      <c r="CP18" s="78">
        <f t="shared" si="57"/>
        <v>0</v>
      </c>
      <c r="CQ18" s="78">
        <f t="shared" si="58"/>
        <v>0</v>
      </c>
      <c r="CR18" s="79">
        <f t="shared" si="59"/>
        <v>0</v>
      </c>
      <c r="CS18" s="77">
        <f t="shared" si="60"/>
        <v>0</v>
      </c>
      <c r="CT18" s="79"/>
      <c r="CU18" s="78"/>
      <c r="CV18" s="78">
        <f t="shared" si="61"/>
        <v>0</v>
      </c>
      <c r="CW18" s="78">
        <f t="shared" si="62"/>
        <v>0</v>
      </c>
      <c r="CX18" s="79">
        <f t="shared" si="63"/>
        <v>0</v>
      </c>
      <c r="CY18" s="77">
        <f t="shared" si="64"/>
        <v>0</v>
      </c>
      <c r="CZ18" s="79"/>
      <c r="DA18" s="78"/>
      <c r="DB18" s="78">
        <f t="shared" si="65"/>
        <v>0</v>
      </c>
      <c r="DC18" s="78">
        <f t="shared" si="66"/>
        <v>0</v>
      </c>
      <c r="DD18" s="79">
        <f t="shared" si="67"/>
        <v>0</v>
      </c>
      <c r="DE18" s="77">
        <f t="shared" si="68"/>
        <v>0</v>
      </c>
      <c r="DF18" s="79"/>
      <c r="DG18" s="78"/>
      <c r="DH18" s="78">
        <f t="shared" si="69"/>
        <v>0</v>
      </c>
      <c r="DI18" s="78">
        <f t="shared" si="70"/>
        <v>0</v>
      </c>
      <c r="DJ18" s="79">
        <f t="shared" si="71"/>
        <v>0</v>
      </c>
      <c r="DK18" s="77">
        <f t="shared" si="72"/>
        <v>0</v>
      </c>
      <c r="DL18" s="79"/>
      <c r="DM18" s="78"/>
      <c r="DN18" s="78">
        <f t="shared" si="73"/>
        <v>0</v>
      </c>
      <c r="DO18" s="78">
        <f t="shared" si="74"/>
        <v>0</v>
      </c>
      <c r="DP18" s="79">
        <f t="shared" si="75"/>
        <v>0</v>
      </c>
      <c r="DQ18" s="77">
        <f t="shared" si="76"/>
        <v>0</v>
      </c>
      <c r="DR18" s="79"/>
      <c r="DS18" s="78"/>
      <c r="DT18" s="78">
        <f t="shared" si="77"/>
        <v>0</v>
      </c>
      <c r="DU18" s="78">
        <f t="shared" si="78"/>
        <v>0</v>
      </c>
      <c r="DV18" s="79">
        <f t="shared" si="79"/>
        <v>0</v>
      </c>
      <c r="DW18" s="77">
        <f t="shared" si="80"/>
        <v>0</v>
      </c>
      <c r="DX18" s="79"/>
      <c r="DY18" s="78"/>
      <c r="DZ18" s="78">
        <f t="shared" si="81"/>
        <v>0</v>
      </c>
      <c r="EA18" s="78">
        <f t="shared" si="82"/>
        <v>0</v>
      </c>
      <c r="EB18" s="79">
        <f t="shared" si="83"/>
        <v>0</v>
      </c>
      <c r="EC18" s="77">
        <f t="shared" si="84"/>
        <v>0</v>
      </c>
      <c r="ED18" s="79"/>
      <c r="EE18" s="78"/>
      <c r="EF18" s="78">
        <f t="shared" si="85"/>
        <v>0</v>
      </c>
      <c r="EG18" s="78">
        <f t="shared" si="86"/>
        <v>0</v>
      </c>
      <c r="EH18" s="79">
        <f t="shared" si="87"/>
        <v>0</v>
      </c>
      <c r="EI18" s="77">
        <f t="shared" si="88"/>
        <v>0</v>
      </c>
      <c r="EJ18" s="79"/>
      <c r="EK18" s="78"/>
      <c r="EL18" s="78">
        <f t="shared" si="89"/>
        <v>0</v>
      </c>
      <c r="EM18" s="78">
        <f t="shared" si="90"/>
        <v>0</v>
      </c>
      <c r="EN18" s="79">
        <f t="shared" si="91"/>
        <v>0</v>
      </c>
      <c r="EO18" s="77">
        <f t="shared" si="92"/>
        <v>0</v>
      </c>
      <c r="EP18" s="79"/>
      <c r="EQ18" s="78"/>
      <c r="ER18" s="78">
        <f t="shared" si="93"/>
        <v>0</v>
      </c>
      <c r="ES18" s="78">
        <f t="shared" si="94"/>
        <v>0</v>
      </c>
      <c r="ET18" s="79">
        <f t="shared" si="95"/>
        <v>0</v>
      </c>
      <c r="EU18" s="77">
        <f t="shared" si="96"/>
        <v>0</v>
      </c>
      <c r="EV18" s="79"/>
      <c r="EW18" s="78"/>
      <c r="EX18" s="78">
        <f t="shared" si="97"/>
        <v>0</v>
      </c>
      <c r="EY18" s="78">
        <f t="shared" si="98"/>
        <v>0</v>
      </c>
      <c r="EZ18" s="79">
        <f t="shared" si="99"/>
        <v>0</v>
      </c>
      <c r="FA18" s="77">
        <f t="shared" si="100"/>
        <v>0</v>
      </c>
      <c r="FB18" s="79"/>
      <c r="FC18" s="78"/>
      <c r="FD18" s="78">
        <f t="shared" si="101"/>
        <v>0</v>
      </c>
      <c r="FE18" s="78">
        <f t="shared" si="102"/>
        <v>0</v>
      </c>
      <c r="FF18" s="79">
        <f t="shared" si="103"/>
        <v>0</v>
      </c>
      <c r="FG18" s="77">
        <f t="shared" si="104"/>
        <v>0</v>
      </c>
      <c r="FH18" s="79"/>
      <c r="FI18" s="78"/>
      <c r="FJ18" s="78">
        <f t="shared" si="105"/>
        <v>0</v>
      </c>
      <c r="FK18" s="78">
        <f t="shared" si="106"/>
        <v>0</v>
      </c>
      <c r="FL18" s="79">
        <f t="shared" si="107"/>
        <v>0</v>
      </c>
      <c r="FM18" s="77">
        <f t="shared" si="108"/>
        <v>0</v>
      </c>
      <c r="FN18" s="79"/>
      <c r="FO18" s="78"/>
      <c r="FP18" s="78">
        <f t="shared" si="109"/>
        <v>0</v>
      </c>
      <c r="FQ18" s="78">
        <f t="shared" si="110"/>
        <v>0</v>
      </c>
      <c r="FR18" s="79">
        <f t="shared" si="111"/>
        <v>0</v>
      </c>
      <c r="FS18" s="77">
        <f t="shared" si="112"/>
        <v>0</v>
      </c>
      <c r="FT18" s="79"/>
      <c r="FU18" s="78"/>
      <c r="FV18" s="78">
        <f t="shared" si="113"/>
        <v>0</v>
      </c>
      <c r="FW18" s="78">
        <f t="shared" si="114"/>
        <v>0</v>
      </c>
      <c r="FX18" s="79">
        <f t="shared" si="115"/>
        <v>0</v>
      </c>
      <c r="FY18" s="77">
        <f t="shared" si="116"/>
        <v>0</v>
      </c>
      <c r="FZ18" s="79"/>
      <c r="GA18" s="78"/>
      <c r="GB18" s="78">
        <f t="shared" si="117"/>
        <v>0</v>
      </c>
      <c r="GC18" s="78">
        <f t="shared" si="118"/>
        <v>0</v>
      </c>
      <c r="GD18" s="79">
        <f t="shared" si="119"/>
        <v>0</v>
      </c>
      <c r="GE18" s="77">
        <f t="shared" si="120"/>
        <v>0</v>
      </c>
      <c r="GF18" s="79"/>
      <c r="GG18" s="78"/>
      <c r="GH18" s="78">
        <f t="shared" si="121"/>
        <v>0</v>
      </c>
      <c r="GI18" s="78">
        <f t="shared" si="122"/>
        <v>0</v>
      </c>
      <c r="GJ18" s="79">
        <f t="shared" si="123"/>
        <v>0</v>
      </c>
      <c r="GK18" s="77">
        <f t="shared" si="124"/>
        <v>0</v>
      </c>
      <c r="GL18" s="79"/>
      <c r="GM18" s="78"/>
      <c r="GN18" s="78">
        <f t="shared" si="125"/>
        <v>0</v>
      </c>
      <c r="GO18" s="78">
        <f t="shared" si="126"/>
        <v>0</v>
      </c>
      <c r="GP18" s="79">
        <f t="shared" si="127"/>
        <v>0</v>
      </c>
      <c r="GQ18" s="77">
        <f t="shared" si="128"/>
        <v>0</v>
      </c>
      <c r="GR18" s="79"/>
      <c r="GS18" s="78"/>
      <c r="GT18" s="78">
        <f t="shared" si="129"/>
        <v>0</v>
      </c>
      <c r="GU18" s="78">
        <f t="shared" si="130"/>
        <v>0</v>
      </c>
      <c r="GV18" s="79">
        <f t="shared" si="131"/>
        <v>0</v>
      </c>
      <c r="GW18" s="77">
        <f t="shared" si="132"/>
        <v>0</v>
      </c>
      <c r="GX18" s="79"/>
      <c r="GY18" s="78"/>
      <c r="GZ18" s="78">
        <f t="shared" si="133"/>
        <v>0</v>
      </c>
      <c r="HA18" s="78">
        <f t="shared" si="134"/>
        <v>0</v>
      </c>
      <c r="HB18" s="79">
        <f t="shared" si="135"/>
        <v>0</v>
      </c>
      <c r="HC18" s="77">
        <f t="shared" si="136"/>
        <v>0</v>
      </c>
      <c r="HD18" s="79"/>
      <c r="HE18" s="79"/>
      <c r="HF18" s="79"/>
      <c r="HG18" s="79"/>
      <c r="HH18" s="79"/>
      <c r="HI18" s="79"/>
    </row>
    <row r="19" spans="1:217" s="52" customFormat="1" ht="12" hidden="1">
      <c r="A19" s="51">
        <v>43922</v>
      </c>
      <c r="C19" s="80"/>
      <c r="D19" s="80"/>
      <c r="E19" s="77">
        <f t="shared" si="0"/>
        <v>0</v>
      </c>
      <c r="F19" s="77"/>
      <c r="G19" s="77"/>
      <c r="H19" s="79"/>
      <c r="I19" s="79">
        <f>O19+U19+AA19+AG19+AM19+AS19+AY19+BE19+BK19+BQ19+BW19+CC19+CI19+CO19+CU19+DA19+DG19+DM19+DS19+DY19+EE19+EK19+EQ19+EW19+FC19+FI19+FO19+FU19+GA19+GG19+GM19+GS19+GY19</f>
        <v>0</v>
      </c>
      <c r="J19" s="79">
        <f t="shared" si="1"/>
        <v>0</v>
      </c>
      <c r="K19" s="79">
        <f t="shared" si="2"/>
        <v>0</v>
      </c>
      <c r="L19" s="79">
        <f t="shared" si="3"/>
        <v>0</v>
      </c>
      <c r="M19" s="79">
        <f t="shared" si="4"/>
        <v>0</v>
      </c>
      <c r="N19" s="79"/>
      <c r="O19" s="78">
        <f t="shared" si="137"/>
        <v>0</v>
      </c>
      <c r="P19" s="78">
        <f t="shared" si="5"/>
        <v>0</v>
      </c>
      <c r="Q19" s="79">
        <f t="shared" si="6"/>
        <v>0</v>
      </c>
      <c r="R19" s="79">
        <f t="shared" si="7"/>
        <v>0</v>
      </c>
      <c r="S19" s="77">
        <f t="shared" si="8"/>
        <v>0</v>
      </c>
      <c r="T19" s="79"/>
      <c r="U19" s="78">
        <f t="shared" si="138"/>
        <v>0</v>
      </c>
      <c r="V19" s="78">
        <f t="shared" si="9"/>
        <v>0</v>
      </c>
      <c r="W19" s="78">
        <f t="shared" si="10"/>
        <v>0</v>
      </c>
      <c r="X19" s="79">
        <f t="shared" si="11"/>
        <v>0</v>
      </c>
      <c r="Y19" s="77">
        <f t="shared" si="12"/>
        <v>0</v>
      </c>
      <c r="Z19" s="79"/>
      <c r="AA19" s="79">
        <f t="shared" si="139"/>
        <v>0</v>
      </c>
      <c r="AB19" s="78">
        <f t="shared" si="13"/>
        <v>0</v>
      </c>
      <c r="AC19" s="78">
        <f t="shared" si="14"/>
        <v>0</v>
      </c>
      <c r="AD19" s="79">
        <f t="shared" si="15"/>
        <v>0</v>
      </c>
      <c r="AE19" s="77">
        <f t="shared" si="16"/>
        <v>0</v>
      </c>
      <c r="AF19" s="79"/>
      <c r="AG19" s="78">
        <f t="shared" si="140"/>
        <v>0</v>
      </c>
      <c r="AH19" s="78">
        <f t="shared" si="17"/>
        <v>0</v>
      </c>
      <c r="AI19" s="78">
        <f t="shared" si="18"/>
        <v>0</v>
      </c>
      <c r="AJ19" s="79">
        <f t="shared" si="19"/>
        <v>0</v>
      </c>
      <c r="AK19" s="77">
        <f t="shared" si="20"/>
        <v>0</v>
      </c>
      <c r="AL19" s="79"/>
      <c r="AM19" s="78">
        <f t="shared" si="141"/>
        <v>0</v>
      </c>
      <c r="AN19" s="78">
        <f t="shared" si="21"/>
        <v>0</v>
      </c>
      <c r="AO19" s="78">
        <f t="shared" si="22"/>
        <v>0</v>
      </c>
      <c r="AP19" s="79">
        <f t="shared" si="23"/>
        <v>0</v>
      </c>
      <c r="AQ19" s="77">
        <f t="shared" si="24"/>
        <v>0</v>
      </c>
      <c r="AR19" s="78"/>
      <c r="AS19" s="78">
        <f t="shared" si="142"/>
        <v>0</v>
      </c>
      <c r="AT19" s="78">
        <f t="shared" si="25"/>
        <v>0</v>
      </c>
      <c r="AU19" s="78">
        <f t="shared" si="26"/>
        <v>0</v>
      </c>
      <c r="AV19" s="79">
        <f t="shared" si="27"/>
        <v>0</v>
      </c>
      <c r="AW19" s="77">
        <f t="shared" si="28"/>
        <v>0</v>
      </c>
      <c r="AX19" s="79"/>
      <c r="AY19" s="78">
        <f t="shared" si="143"/>
        <v>0</v>
      </c>
      <c r="AZ19" s="78">
        <f t="shared" si="29"/>
        <v>0</v>
      </c>
      <c r="BA19" s="78">
        <f t="shared" si="30"/>
        <v>0</v>
      </c>
      <c r="BB19" s="79">
        <f t="shared" si="31"/>
        <v>0</v>
      </c>
      <c r="BC19" s="77">
        <f t="shared" si="32"/>
        <v>0</v>
      </c>
      <c r="BD19" s="79"/>
      <c r="BE19" s="78">
        <f t="shared" si="144"/>
        <v>0</v>
      </c>
      <c r="BF19" s="78">
        <f t="shared" si="33"/>
        <v>0</v>
      </c>
      <c r="BG19" s="78">
        <f t="shared" si="34"/>
        <v>0</v>
      </c>
      <c r="BH19" s="79">
        <f t="shared" si="35"/>
        <v>0</v>
      </c>
      <c r="BI19" s="77">
        <f t="shared" si="36"/>
        <v>0</v>
      </c>
      <c r="BJ19" s="79"/>
      <c r="BK19" s="78">
        <f t="shared" si="145"/>
        <v>0</v>
      </c>
      <c r="BL19" s="78">
        <f t="shared" si="37"/>
        <v>0</v>
      </c>
      <c r="BM19" s="78">
        <f t="shared" si="38"/>
        <v>0</v>
      </c>
      <c r="BN19" s="79">
        <f t="shared" si="39"/>
        <v>0</v>
      </c>
      <c r="BO19" s="77">
        <f t="shared" si="40"/>
        <v>0</v>
      </c>
      <c r="BP19" s="79"/>
      <c r="BQ19" s="78">
        <f t="shared" si="146"/>
        <v>0</v>
      </c>
      <c r="BR19" s="78">
        <f t="shared" si="41"/>
        <v>0</v>
      </c>
      <c r="BS19" s="78">
        <f t="shared" si="42"/>
        <v>0</v>
      </c>
      <c r="BT19" s="79">
        <f t="shared" si="43"/>
        <v>0</v>
      </c>
      <c r="BU19" s="77">
        <f t="shared" si="44"/>
        <v>0</v>
      </c>
      <c r="BV19" s="79"/>
      <c r="BW19" s="78">
        <f t="shared" si="147"/>
        <v>0</v>
      </c>
      <c r="BX19" s="78">
        <f t="shared" si="45"/>
        <v>0</v>
      </c>
      <c r="BY19" s="78">
        <f t="shared" si="46"/>
        <v>0</v>
      </c>
      <c r="BZ19" s="79">
        <f t="shared" si="47"/>
        <v>0</v>
      </c>
      <c r="CA19" s="77">
        <f t="shared" si="48"/>
        <v>0</v>
      </c>
      <c r="CB19" s="78"/>
      <c r="CC19" s="78">
        <f t="shared" si="148"/>
        <v>0</v>
      </c>
      <c r="CD19" s="78">
        <f t="shared" si="49"/>
        <v>0</v>
      </c>
      <c r="CE19" s="78">
        <f t="shared" si="50"/>
        <v>0</v>
      </c>
      <c r="CF19" s="79">
        <f t="shared" si="51"/>
        <v>0</v>
      </c>
      <c r="CG19" s="77">
        <f t="shared" si="52"/>
        <v>0</v>
      </c>
      <c r="CH19" s="79"/>
      <c r="CI19" s="78">
        <f t="shared" si="149"/>
        <v>0</v>
      </c>
      <c r="CJ19" s="78">
        <f t="shared" si="53"/>
        <v>0</v>
      </c>
      <c r="CK19" s="78">
        <f t="shared" si="54"/>
        <v>0</v>
      </c>
      <c r="CL19" s="79">
        <f t="shared" si="55"/>
        <v>0</v>
      </c>
      <c r="CM19" s="77">
        <f t="shared" si="56"/>
        <v>0</v>
      </c>
      <c r="CN19" s="79"/>
      <c r="CO19" s="78">
        <f t="shared" si="150"/>
        <v>0</v>
      </c>
      <c r="CP19" s="78">
        <f t="shared" si="57"/>
        <v>0</v>
      </c>
      <c r="CQ19" s="78">
        <f t="shared" si="58"/>
        <v>0</v>
      </c>
      <c r="CR19" s="79">
        <f t="shared" si="59"/>
        <v>0</v>
      </c>
      <c r="CS19" s="77">
        <f t="shared" si="60"/>
        <v>0</v>
      </c>
      <c r="CT19" s="79"/>
      <c r="CU19" s="78">
        <f t="shared" si="151"/>
        <v>0</v>
      </c>
      <c r="CV19" s="78">
        <f t="shared" si="61"/>
        <v>0</v>
      </c>
      <c r="CW19" s="78">
        <f t="shared" si="62"/>
        <v>0</v>
      </c>
      <c r="CX19" s="79">
        <f t="shared" si="63"/>
        <v>0</v>
      </c>
      <c r="CY19" s="77">
        <f t="shared" si="64"/>
        <v>0</v>
      </c>
      <c r="CZ19" s="79"/>
      <c r="DA19" s="78">
        <f t="shared" si="152"/>
        <v>0</v>
      </c>
      <c r="DB19" s="78">
        <f t="shared" si="65"/>
        <v>0</v>
      </c>
      <c r="DC19" s="78">
        <f t="shared" si="66"/>
        <v>0</v>
      </c>
      <c r="DD19" s="79">
        <f t="shared" si="67"/>
        <v>0</v>
      </c>
      <c r="DE19" s="77">
        <f t="shared" si="68"/>
        <v>0</v>
      </c>
      <c r="DF19" s="79"/>
      <c r="DG19" s="78">
        <f t="shared" si="153"/>
        <v>0</v>
      </c>
      <c r="DH19" s="78">
        <f t="shared" si="69"/>
        <v>0</v>
      </c>
      <c r="DI19" s="78">
        <f t="shared" si="70"/>
        <v>0</v>
      </c>
      <c r="DJ19" s="79">
        <f t="shared" si="71"/>
        <v>0</v>
      </c>
      <c r="DK19" s="77">
        <f t="shared" si="72"/>
        <v>0</v>
      </c>
      <c r="DL19" s="79"/>
      <c r="DM19" s="78">
        <f t="shared" si="154"/>
        <v>0</v>
      </c>
      <c r="DN19" s="78">
        <f t="shared" si="73"/>
        <v>0</v>
      </c>
      <c r="DO19" s="78">
        <f t="shared" si="74"/>
        <v>0</v>
      </c>
      <c r="DP19" s="79">
        <f t="shared" si="75"/>
        <v>0</v>
      </c>
      <c r="DQ19" s="77">
        <f t="shared" si="76"/>
        <v>0</v>
      </c>
      <c r="DR19" s="79"/>
      <c r="DS19" s="78">
        <f t="shared" si="155"/>
        <v>0</v>
      </c>
      <c r="DT19" s="78">
        <f t="shared" si="77"/>
        <v>0</v>
      </c>
      <c r="DU19" s="78">
        <f t="shared" si="78"/>
        <v>0</v>
      </c>
      <c r="DV19" s="79">
        <f t="shared" si="79"/>
        <v>0</v>
      </c>
      <c r="DW19" s="77">
        <f t="shared" si="80"/>
        <v>0</v>
      </c>
      <c r="DX19" s="79"/>
      <c r="DY19" s="78">
        <f t="shared" si="156"/>
        <v>0</v>
      </c>
      <c r="DZ19" s="78">
        <f t="shared" si="81"/>
        <v>0</v>
      </c>
      <c r="EA19" s="78">
        <f t="shared" si="82"/>
        <v>0</v>
      </c>
      <c r="EB19" s="79">
        <f t="shared" si="83"/>
        <v>0</v>
      </c>
      <c r="EC19" s="77">
        <f t="shared" si="84"/>
        <v>0</v>
      </c>
      <c r="ED19" s="79"/>
      <c r="EE19" s="78">
        <f t="shared" si="157"/>
        <v>0</v>
      </c>
      <c r="EF19" s="78">
        <f t="shared" si="85"/>
        <v>0</v>
      </c>
      <c r="EG19" s="78">
        <f t="shared" si="86"/>
        <v>0</v>
      </c>
      <c r="EH19" s="79">
        <f t="shared" si="87"/>
        <v>0</v>
      </c>
      <c r="EI19" s="77">
        <f t="shared" si="88"/>
        <v>0</v>
      </c>
      <c r="EJ19" s="79"/>
      <c r="EK19" s="78">
        <f t="shared" si="158"/>
        <v>0</v>
      </c>
      <c r="EL19" s="78">
        <f t="shared" si="89"/>
        <v>0</v>
      </c>
      <c r="EM19" s="78">
        <f t="shared" si="90"/>
        <v>0</v>
      </c>
      <c r="EN19" s="79">
        <f t="shared" si="91"/>
        <v>0</v>
      </c>
      <c r="EO19" s="77">
        <f t="shared" si="92"/>
        <v>0</v>
      </c>
      <c r="EP19" s="79"/>
      <c r="EQ19" s="78">
        <f t="shared" si="159"/>
        <v>0</v>
      </c>
      <c r="ER19" s="78">
        <f t="shared" si="93"/>
        <v>0</v>
      </c>
      <c r="ES19" s="78">
        <f t="shared" si="94"/>
        <v>0</v>
      </c>
      <c r="ET19" s="79">
        <f t="shared" si="95"/>
        <v>0</v>
      </c>
      <c r="EU19" s="77">
        <f t="shared" si="96"/>
        <v>0</v>
      </c>
      <c r="EV19" s="79"/>
      <c r="EW19" s="78">
        <f t="shared" si="160"/>
        <v>0</v>
      </c>
      <c r="EX19" s="78">
        <f t="shared" si="97"/>
        <v>0</v>
      </c>
      <c r="EY19" s="78">
        <f t="shared" si="98"/>
        <v>0</v>
      </c>
      <c r="EZ19" s="79">
        <f t="shared" si="99"/>
        <v>0</v>
      </c>
      <c r="FA19" s="77">
        <f t="shared" si="100"/>
        <v>0</v>
      </c>
      <c r="FB19" s="79"/>
      <c r="FC19" s="78">
        <f t="shared" si="161"/>
        <v>0</v>
      </c>
      <c r="FD19" s="78">
        <f t="shared" si="101"/>
        <v>0</v>
      </c>
      <c r="FE19" s="78">
        <f t="shared" si="102"/>
        <v>0</v>
      </c>
      <c r="FF19" s="79">
        <f t="shared" si="103"/>
        <v>0</v>
      </c>
      <c r="FG19" s="77">
        <f t="shared" si="104"/>
        <v>0</v>
      </c>
      <c r="FH19" s="79"/>
      <c r="FI19" s="78">
        <f t="shared" si="162"/>
        <v>0</v>
      </c>
      <c r="FJ19" s="78">
        <f t="shared" si="105"/>
        <v>0</v>
      </c>
      <c r="FK19" s="78">
        <f t="shared" si="106"/>
        <v>0</v>
      </c>
      <c r="FL19" s="79">
        <f t="shared" si="107"/>
        <v>0</v>
      </c>
      <c r="FM19" s="77">
        <f t="shared" si="108"/>
        <v>0</v>
      </c>
      <c r="FN19" s="79"/>
      <c r="FO19" s="78">
        <f t="shared" si="163"/>
        <v>0</v>
      </c>
      <c r="FP19" s="78">
        <f t="shared" si="109"/>
        <v>0</v>
      </c>
      <c r="FQ19" s="78">
        <f t="shared" si="110"/>
        <v>0</v>
      </c>
      <c r="FR19" s="79">
        <f t="shared" si="111"/>
        <v>0</v>
      </c>
      <c r="FS19" s="77">
        <f t="shared" si="112"/>
        <v>0</v>
      </c>
      <c r="FT19" s="79"/>
      <c r="FU19" s="78">
        <f t="shared" si="164"/>
        <v>0</v>
      </c>
      <c r="FV19" s="78">
        <f t="shared" si="113"/>
        <v>0</v>
      </c>
      <c r="FW19" s="78">
        <f t="shared" si="114"/>
        <v>0</v>
      </c>
      <c r="FX19" s="79">
        <f t="shared" si="115"/>
        <v>0</v>
      </c>
      <c r="FY19" s="77">
        <f t="shared" si="116"/>
        <v>0</v>
      </c>
      <c r="FZ19" s="79"/>
      <c r="GA19" s="78">
        <f t="shared" si="165"/>
        <v>0</v>
      </c>
      <c r="GB19" s="78">
        <f t="shared" si="117"/>
        <v>0</v>
      </c>
      <c r="GC19" s="78">
        <f t="shared" si="118"/>
        <v>0</v>
      </c>
      <c r="GD19" s="79">
        <f t="shared" si="119"/>
        <v>0</v>
      </c>
      <c r="GE19" s="77">
        <f t="shared" si="120"/>
        <v>0</v>
      </c>
      <c r="GF19" s="79"/>
      <c r="GG19" s="78">
        <f t="shared" si="166"/>
        <v>0</v>
      </c>
      <c r="GH19" s="78">
        <f t="shared" si="121"/>
        <v>0</v>
      </c>
      <c r="GI19" s="78">
        <f t="shared" si="122"/>
        <v>0</v>
      </c>
      <c r="GJ19" s="79">
        <f t="shared" si="123"/>
        <v>0</v>
      </c>
      <c r="GK19" s="77">
        <f t="shared" si="124"/>
        <v>0</v>
      </c>
      <c r="GL19" s="79"/>
      <c r="GM19" s="78">
        <f t="shared" si="167"/>
        <v>0</v>
      </c>
      <c r="GN19" s="78">
        <f t="shared" si="125"/>
        <v>0</v>
      </c>
      <c r="GO19" s="78">
        <f t="shared" si="126"/>
        <v>0</v>
      </c>
      <c r="GP19" s="79">
        <f t="shared" si="127"/>
        <v>0</v>
      </c>
      <c r="GQ19" s="77">
        <f t="shared" si="128"/>
        <v>0</v>
      </c>
      <c r="GR19" s="79"/>
      <c r="GS19" s="78">
        <f t="shared" si="168"/>
        <v>0</v>
      </c>
      <c r="GT19" s="78">
        <f t="shared" si="129"/>
        <v>0</v>
      </c>
      <c r="GU19" s="78">
        <f t="shared" si="130"/>
        <v>0</v>
      </c>
      <c r="GV19" s="79">
        <f t="shared" si="131"/>
        <v>0</v>
      </c>
      <c r="GW19" s="77">
        <f t="shared" si="132"/>
        <v>0</v>
      </c>
      <c r="GX19" s="79"/>
      <c r="GY19" s="78">
        <f t="shared" si="169"/>
        <v>0</v>
      </c>
      <c r="GZ19" s="78">
        <f t="shared" si="133"/>
        <v>0</v>
      </c>
      <c r="HA19" s="78">
        <f t="shared" si="134"/>
        <v>0</v>
      </c>
      <c r="HB19" s="79">
        <f t="shared" si="135"/>
        <v>0</v>
      </c>
      <c r="HC19" s="77">
        <f t="shared" si="136"/>
        <v>0</v>
      </c>
      <c r="HD19" s="79"/>
      <c r="HE19" s="79"/>
      <c r="HF19" s="79"/>
      <c r="HG19" s="79"/>
      <c r="HH19" s="79"/>
      <c r="HI19" s="79"/>
    </row>
    <row r="20" spans="1:217" s="52" customFormat="1" ht="12" hidden="1">
      <c r="A20" s="51">
        <v>44105</v>
      </c>
      <c r="C20" s="80"/>
      <c r="D20" s="80"/>
      <c r="E20" s="77">
        <f t="shared" si="0"/>
        <v>0</v>
      </c>
      <c r="F20" s="77"/>
      <c r="G20" s="77"/>
      <c r="H20" s="79"/>
      <c r="I20" s="79"/>
      <c r="J20" s="79">
        <f t="shared" si="1"/>
        <v>0</v>
      </c>
      <c r="K20" s="79">
        <f t="shared" si="2"/>
        <v>0</v>
      </c>
      <c r="L20" s="79">
        <f t="shared" si="3"/>
        <v>0</v>
      </c>
      <c r="M20" s="79">
        <f t="shared" si="4"/>
        <v>0</v>
      </c>
      <c r="N20" s="79"/>
      <c r="O20" s="78"/>
      <c r="P20" s="78">
        <f t="shared" si="5"/>
        <v>0</v>
      </c>
      <c r="Q20" s="79">
        <f t="shared" si="6"/>
        <v>0</v>
      </c>
      <c r="R20" s="79">
        <f t="shared" si="7"/>
        <v>0</v>
      </c>
      <c r="S20" s="77">
        <f t="shared" si="8"/>
        <v>0</v>
      </c>
      <c r="T20" s="79"/>
      <c r="U20" s="78"/>
      <c r="V20" s="78">
        <f t="shared" si="9"/>
        <v>0</v>
      </c>
      <c r="W20" s="78">
        <f t="shared" si="10"/>
        <v>0</v>
      </c>
      <c r="X20" s="79">
        <f t="shared" si="11"/>
        <v>0</v>
      </c>
      <c r="Y20" s="77">
        <f t="shared" si="12"/>
        <v>0</v>
      </c>
      <c r="Z20" s="79"/>
      <c r="AA20" s="79"/>
      <c r="AB20" s="78">
        <f t="shared" si="13"/>
        <v>0</v>
      </c>
      <c r="AC20" s="78">
        <f t="shared" si="14"/>
        <v>0</v>
      </c>
      <c r="AD20" s="79">
        <f t="shared" si="15"/>
        <v>0</v>
      </c>
      <c r="AE20" s="77">
        <f t="shared" si="16"/>
        <v>0</v>
      </c>
      <c r="AF20" s="79"/>
      <c r="AG20" s="78"/>
      <c r="AH20" s="78">
        <f t="shared" si="17"/>
        <v>0</v>
      </c>
      <c r="AI20" s="78">
        <f t="shared" si="18"/>
        <v>0</v>
      </c>
      <c r="AJ20" s="79">
        <f t="shared" si="19"/>
        <v>0</v>
      </c>
      <c r="AK20" s="77">
        <f t="shared" si="20"/>
        <v>0</v>
      </c>
      <c r="AL20" s="79"/>
      <c r="AM20" s="78"/>
      <c r="AN20" s="78">
        <f t="shared" si="21"/>
        <v>0</v>
      </c>
      <c r="AO20" s="78">
        <f t="shared" si="22"/>
        <v>0</v>
      </c>
      <c r="AP20" s="79">
        <f t="shared" si="23"/>
        <v>0</v>
      </c>
      <c r="AQ20" s="77">
        <f t="shared" si="24"/>
        <v>0</v>
      </c>
      <c r="AR20" s="78"/>
      <c r="AS20" s="78"/>
      <c r="AT20" s="78">
        <f t="shared" si="25"/>
        <v>0</v>
      </c>
      <c r="AU20" s="78">
        <f t="shared" si="26"/>
        <v>0</v>
      </c>
      <c r="AV20" s="79">
        <f t="shared" si="27"/>
        <v>0</v>
      </c>
      <c r="AW20" s="77">
        <f t="shared" si="28"/>
        <v>0</v>
      </c>
      <c r="AX20" s="79"/>
      <c r="AY20" s="78"/>
      <c r="AZ20" s="78">
        <f t="shared" si="29"/>
        <v>0</v>
      </c>
      <c r="BA20" s="78">
        <f t="shared" si="30"/>
        <v>0</v>
      </c>
      <c r="BB20" s="79">
        <f t="shared" si="31"/>
        <v>0</v>
      </c>
      <c r="BC20" s="77">
        <f t="shared" si="32"/>
        <v>0</v>
      </c>
      <c r="BD20" s="79"/>
      <c r="BE20" s="78"/>
      <c r="BF20" s="78">
        <f t="shared" si="33"/>
        <v>0</v>
      </c>
      <c r="BG20" s="78">
        <f t="shared" si="34"/>
        <v>0</v>
      </c>
      <c r="BH20" s="79">
        <f t="shared" si="35"/>
        <v>0</v>
      </c>
      <c r="BI20" s="77">
        <f t="shared" si="36"/>
        <v>0</v>
      </c>
      <c r="BJ20" s="79"/>
      <c r="BK20" s="78"/>
      <c r="BL20" s="78">
        <f t="shared" si="37"/>
        <v>0</v>
      </c>
      <c r="BM20" s="78">
        <f t="shared" si="38"/>
        <v>0</v>
      </c>
      <c r="BN20" s="79">
        <f t="shared" si="39"/>
        <v>0</v>
      </c>
      <c r="BO20" s="77">
        <f t="shared" si="40"/>
        <v>0</v>
      </c>
      <c r="BP20" s="79"/>
      <c r="BQ20" s="78"/>
      <c r="BR20" s="78">
        <f t="shared" si="41"/>
        <v>0</v>
      </c>
      <c r="BS20" s="78">
        <f t="shared" si="42"/>
        <v>0</v>
      </c>
      <c r="BT20" s="79">
        <f t="shared" si="43"/>
        <v>0</v>
      </c>
      <c r="BU20" s="77">
        <f t="shared" si="44"/>
        <v>0</v>
      </c>
      <c r="BV20" s="79"/>
      <c r="BW20" s="78"/>
      <c r="BX20" s="78">
        <f t="shared" si="45"/>
        <v>0</v>
      </c>
      <c r="BY20" s="78">
        <f t="shared" si="46"/>
        <v>0</v>
      </c>
      <c r="BZ20" s="79">
        <f t="shared" si="47"/>
        <v>0</v>
      </c>
      <c r="CA20" s="77">
        <f t="shared" si="48"/>
        <v>0</v>
      </c>
      <c r="CB20" s="78"/>
      <c r="CC20" s="78"/>
      <c r="CD20" s="78">
        <f t="shared" si="49"/>
        <v>0</v>
      </c>
      <c r="CE20" s="78">
        <f t="shared" si="50"/>
        <v>0</v>
      </c>
      <c r="CF20" s="79">
        <f t="shared" si="51"/>
        <v>0</v>
      </c>
      <c r="CG20" s="77">
        <f t="shared" si="52"/>
        <v>0</v>
      </c>
      <c r="CH20" s="79"/>
      <c r="CI20" s="78"/>
      <c r="CJ20" s="78">
        <f t="shared" si="53"/>
        <v>0</v>
      </c>
      <c r="CK20" s="78">
        <f t="shared" si="54"/>
        <v>0</v>
      </c>
      <c r="CL20" s="79">
        <f t="shared" si="55"/>
        <v>0</v>
      </c>
      <c r="CM20" s="77">
        <f t="shared" si="56"/>
        <v>0</v>
      </c>
      <c r="CN20" s="79"/>
      <c r="CO20" s="78"/>
      <c r="CP20" s="78">
        <f t="shared" si="57"/>
        <v>0</v>
      </c>
      <c r="CQ20" s="78">
        <f t="shared" si="58"/>
        <v>0</v>
      </c>
      <c r="CR20" s="79">
        <f t="shared" si="59"/>
        <v>0</v>
      </c>
      <c r="CS20" s="77">
        <f t="shared" si="60"/>
        <v>0</v>
      </c>
      <c r="CT20" s="79"/>
      <c r="CU20" s="78"/>
      <c r="CV20" s="78">
        <f t="shared" si="61"/>
        <v>0</v>
      </c>
      <c r="CW20" s="78">
        <f t="shared" si="62"/>
        <v>0</v>
      </c>
      <c r="CX20" s="79">
        <f t="shared" si="63"/>
        <v>0</v>
      </c>
      <c r="CY20" s="77">
        <f t="shared" si="64"/>
        <v>0</v>
      </c>
      <c r="CZ20" s="79"/>
      <c r="DA20" s="78"/>
      <c r="DB20" s="78">
        <f t="shared" si="65"/>
        <v>0</v>
      </c>
      <c r="DC20" s="78">
        <f t="shared" si="66"/>
        <v>0</v>
      </c>
      <c r="DD20" s="79">
        <f t="shared" si="67"/>
        <v>0</v>
      </c>
      <c r="DE20" s="77">
        <f t="shared" si="68"/>
        <v>0</v>
      </c>
      <c r="DF20" s="79"/>
      <c r="DG20" s="78"/>
      <c r="DH20" s="78">
        <f t="shared" si="69"/>
        <v>0</v>
      </c>
      <c r="DI20" s="78">
        <f t="shared" si="70"/>
        <v>0</v>
      </c>
      <c r="DJ20" s="79">
        <f t="shared" si="71"/>
        <v>0</v>
      </c>
      <c r="DK20" s="77">
        <f t="shared" si="72"/>
        <v>0</v>
      </c>
      <c r="DL20" s="79"/>
      <c r="DM20" s="78"/>
      <c r="DN20" s="78">
        <f t="shared" si="73"/>
        <v>0</v>
      </c>
      <c r="DO20" s="78">
        <f t="shared" si="74"/>
        <v>0</v>
      </c>
      <c r="DP20" s="79">
        <f t="shared" si="75"/>
        <v>0</v>
      </c>
      <c r="DQ20" s="77">
        <f t="shared" si="76"/>
        <v>0</v>
      </c>
      <c r="DR20" s="79"/>
      <c r="DS20" s="78"/>
      <c r="DT20" s="78">
        <f t="shared" si="77"/>
        <v>0</v>
      </c>
      <c r="DU20" s="78">
        <f t="shared" si="78"/>
        <v>0</v>
      </c>
      <c r="DV20" s="79">
        <f t="shared" si="79"/>
        <v>0</v>
      </c>
      <c r="DW20" s="77">
        <f t="shared" si="80"/>
        <v>0</v>
      </c>
      <c r="DX20" s="79"/>
      <c r="DY20" s="78"/>
      <c r="DZ20" s="78">
        <f t="shared" si="81"/>
        <v>0</v>
      </c>
      <c r="EA20" s="78">
        <f t="shared" si="82"/>
        <v>0</v>
      </c>
      <c r="EB20" s="79">
        <f t="shared" si="83"/>
        <v>0</v>
      </c>
      <c r="EC20" s="77">
        <f t="shared" si="84"/>
        <v>0</v>
      </c>
      <c r="ED20" s="79"/>
      <c r="EE20" s="78"/>
      <c r="EF20" s="78">
        <f t="shared" si="85"/>
        <v>0</v>
      </c>
      <c r="EG20" s="78">
        <f t="shared" si="86"/>
        <v>0</v>
      </c>
      <c r="EH20" s="79">
        <f t="shared" si="87"/>
        <v>0</v>
      </c>
      <c r="EI20" s="77">
        <f t="shared" si="88"/>
        <v>0</v>
      </c>
      <c r="EJ20" s="79"/>
      <c r="EK20" s="78"/>
      <c r="EL20" s="78">
        <f t="shared" si="89"/>
        <v>0</v>
      </c>
      <c r="EM20" s="78">
        <f t="shared" si="90"/>
        <v>0</v>
      </c>
      <c r="EN20" s="79">
        <f t="shared" si="91"/>
        <v>0</v>
      </c>
      <c r="EO20" s="77">
        <f t="shared" si="92"/>
        <v>0</v>
      </c>
      <c r="EP20" s="79"/>
      <c r="EQ20" s="78"/>
      <c r="ER20" s="78">
        <f t="shared" si="93"/>
        <v>0</v>
      </c>
      <c r="ES20" s="78">
        <f t="shared" si="94"/>
        <v>0</v>
      </c>
      <c r="ET20" s="79">
        <f t="shared" si="95"/>
        <v>0</v>
      </c>
      <c r="EU20" s="77">
        <f t="shared" si="96"/>
        <v>0</v>
      </c>
      <c r="EV20" s="79"/>
      <c r="EW20" s="78"/>
      <c r="EX20" s="78">
        <f t="shared" si="97"/>
        <v>0</v>
      </c>
      <c r="EY20" s="78">
        <f t="shared" si="98"/>
        <v>0</v>
      </c>
      <c r="EZ20" s="79">
        <f t="shared" si="99"/>
        <v>0</v>
      </c>
      <c r="FA20" s="77">
        <f t="shared" si="100"/>
        <v>0</v>
      </c>
      <c r="FB20" s="79"/>
      <c r="FC20" s="78"/>
      <c r="FD20" s="78">
        <f t="shared" si="101"/>
        <v>0</v>
      </c>
      <c r="FE20" s="78">
        <f t="shared" si="102"/>
        <v>0</v>
      </c>
      <c r="FF20" s="79">
        <f t="shared" si="103"/>
        <v>0</v>
      </c>
      <c r="FG20" s="77">
        <f t="shared" si="104"/>
        <v>0</v>
      </c>
      <c r="FH20" s="79"/>
      <c r="FI20" s="78"/>
      <c r="FJ20" s="78">
        <f t="shared" si="105"/>
        <v>0</v>
      </c>
      <c r="FK20" s="78">
        <f t="shared" si="106"/>
        <v>0</v>
      </c>
      <c r="FL20" s="79">
        <f t="shared" si="107"/>
        <v>0</v>
      </c>
      <c r="FM20" s="77">
        <f t="shared" si="108"/>
        <v>0</v>
      </c>
      <c r="FN20" s="79"/>
      <c r="FO20" s="78"/>
      <c r="FP20" s="78">
        <f t="shared" si="109"/>
        <v>0</v>
      </c>
      <c r="FQ20" s="78">
        <f t="shared" si="110"/>
        <v>0</v>
      </c>
      <c r="FR20" s="79">
        <f t="shared" si="111"/>
        <v>0</v>
      </c>
      <c r="FS20" s="77">
        <f t="shared" si="112"/>
        <v>0</v>
      </c>
      <c r="FT20" s="79"/>
      <c r="FU20" s="78"/>
      <c r="FV20" s="78">
        <f t="shared" si="113"/>
        <v>0</v>
      </c>
      <c r="FW20" s="78">
        <f t="shared" si="114"/>
        <v>0</v>
      </c>
      <c r="FX20" s="79">
        <f t="shared" si="115"/>
        <v>0</v>
      </c>
      <c r="FY20" s="77">
        <f t="shared" si="116"/>
        <v>0</v>
      </c>
      <c r="FZ20" s="79"/>
      <c r="GA20" s="78"/>
      <c r="GB20" s="78">
        <f t="shared" si="117"/>
        <v>0</v>
      </c>
      <c r="GC20" s="78">
        <f t="shared" si="118"/>
        <v>0</v>
      </c>
      <c r="GD20" s="79">
        <f t="shared" si="119"/>
        <v>0</v>
      </c>
      <c r="GE20" s="77">
        <f t="shared" si="120"/>
        <v>0</v>
      </c>
      <c r="GF20" s="79"/>
      <c r="GG20" s="78"/>
      <c r="GH20" s="78">
        <f t="shared" si="121"/>
        <v>0</v>
      </c>
      <c r="GI20" s="78">
        <f t="shared" si="122"/>
        <v>0</v>
      </c>
      <c r="GJ20" s="79">
        <f t="shared" si="123"/>
        <v>0</v>
      </c>
      <c r="GK20" s="77">
        <f t="shared" si="124"/>
        <v>0</v>
      </c>
      <c r="GL20" s="79"/>
      <c r="GM20" s="78"/>
      <c r="GN20" s="78">
        <f t="shared" si="125"/>
        <v>0</v>
      </c>
      <c r="GO20" s="78">
        <f t="shared" si="126"/>
        <v>0</v>
      </c>
      <c r="GP20" s="79">
        <f t="shared" si="127"/>
        <v>0</v>
      </c>
      <c r="GQ20" s="77">
        <f t="shared" si="128"/>
        <v>0</v>
      </c>
      <c r="GR20" s="79"/>
      <c r="GS20" s="78"/>
      <c r="GT20" s="78">
        <f t="shared" si="129"/>
        <v>0</v>
      </c>
      <c r="GU20" s="78">
        <f t="shared" si="130"/>
        <v>0</v>
      </c>
      <c r="GV20" s="79">
        <f t="shared" si="131"/>
        <v>0</v>
      </c>
      <c r="GW20" s="77">
        <f t="shared" si="132"/>
        <v>0</v>
      </c>
      <c r="GX20" s="79"/>
      <c r="GY20" s="78"/>
      <c r="GZ20" s="78">
        <f t="shared" si="133"/>
        <v>0</v>
      </c>
      <c r="HA20" s="78">
        <f t="shared" si="134"/>
        <v>0</v>
      </c>
      <c r="HB20" s="79">
        <f t="shared" si="135"/>
        <v>0</v>
      </c>
      <c r="HC20" s="77">
        <f t="shared" si="136"/>
        <v>0</v>
      </c>
      <c r="HD20" s="79"/>
      <c r="HE20" s="79"/>
      <c r="HF20" s="79"/>
      <c r="HG20" s="79"/>
      <c r="HH20" s="79"/>
      <c r="HI20" s="79"/>
    </row>
    <row r="21" spans="1:217" s="52" customFormat="1" ht="12" hidden="1">
      <c r="A21" s="51">
        <v>44287</v>
      </c>
      <c r="C21" s="80"/>
      <c r="D21" s="80"/>
      <c r="E21" s="77">
        <f t="shared" si="0"/>
        <v>0</v>
      </c>
      <c r="F21" s="77"/>
      <c r="G21" s="77"/>
      <c r="H21" s="79"/>
      <c r="I21" s="79">
        <f>O21+U21+AA21+AG21+AM21+AS21+AY21+BE21+BK21+BQ21+BW21+CC21+CI21+CO21+CU21+DA21+DG21+DM21+DS21+DY21+EE21+EK21+EQ21+EW21+FC21+FI21+FO21+FU21+GA21+GG21+GM21+GS21+GY21</f>
        <v>0</v>
      </c>
      <c r="J21" s="79">
        <f t="shared" si="1"/>
        <v>0</v>
      </c>
      <c r="K21" s="79">
        <f t="shared" si="2"/>
        <v>0</v>
      </c>
      <c r="L21" s="79">
        <f t="shared" si="3"/>
        <v>0</v>
      </c>
      <c r="M21" s="79">
        <f t="shared" si="4"/>
        <v>0</v>
      </c>
      <c r="N21" s="79"/>
      <c r="O21" s="78">
        <f t="shared" si="137"/>
        <v>0</v>
      </c>
      <c r="P21" s="78">
        <f t="shared" si="5"/>
        <v>0</v>
      </c>
      <c r="Q21" s="79">
        <f t="shared" si="6"/>
        <v>0</v>
      </c>
      <c r="R21" s="79">
        <f t="shared" si="7"/>
        <v>0</v>
      </c>
      <c r="S21" s="77">
        <f t="shared" si="8"/>
        <v>0</v>
      </c>
      <c r="T21" s="79"/>
      <c r="U21" s="78">
        <f t="shared" si="138"/>
        <v>0</v>
      </c>
      <c r="V21" s="78">
        <f t="shared" si="9"/>
        <v>0</v>
      </c>
      <c r="W21" s="78">
        <f t="shared" si="10"/>
        <v>0</v>
      </c>
      <c r="X21" s="79">
        <f t="shared" si="11"/>
        <v>0</v>
      </c>
      <c r="Y21" s="77">
        <f t="shared" si="12"/>
        <v>0</v>
      </c>
      <c r="Z21" s="79"/>
      <c r="AA21" s="79">
        <f t="shared" si="139"/>
        <v>0</v>
      </c>
      <c r="AB21" s="78">
        <f t="shared" si="13"/>
        <v>0</v>
      </c>
      <c r="AC21" s="78">
        <f t="shared" si="14"/>
        <v>0</v>
      </c>
      <c r="AD21" s="79">
        <f t="shared" si="15"/>
        <v>0</v>
      </c>
      <c r="AE21" s="77">
        <f t="shared" si="16"/>
        <v>0</v>
      </c>
      <c r="AF21" s="79"/>
      <c r="AG21" s="78">
        <f t="shared" si="140"/>
        <v>0</v>
      </c>
      <c r="AH21" s="78">
        <f t="shared" si="17"/>
        <v>0</v>
      </c>
      <c r="AI21" s="78">
        <f t="shared" si="18"/>
        <v>0</v>
      </c>
      <c r="AJ21" s="79">
        <f t="shared" si="19"/>
        <v>0</v>
      </c>
      <c r="AK21" s="77">
        <f t="shared" si="20"/>
        <v>0</v>
      </c>
      <c r="AL21" s="79"/>
      <c r="AM21" s="78">
        <f t="shared" si="141"/>
        <v>0</v>
      </c>
      <c r="AN21" s="78">
        <f t="shared" si="21"/>
        <v>0</v>
      </c>
      <c r="AO21" s="78">
        <f t="shared" si="22"/>
        <v>0</v>
      </c>
      <c r="AP21" s="79">
        <f t="shared" si="23"/>
        <v>0</v>
      </c>
      <c r="AQ21" s="77">
        <f t="shared" si="24"/>
        <v>0</v>
      </c>
      <c r="AR21" s="78"/>
      <c r="AS21" s="78">
        <f t="shared" si="142"/>
        <v>0</v>
      </c>
      <c r="AT21" s="78">
        <f t="shared" si="25"/>
        <v>0</v>
      </c>
      <c r="AU21" s="78">
        <f t="shared" si="26"/>
        <v>0</v>
      </c>
      <c r="AV21" s="79">
        <f t="shared" si="27"/>
        <v>0</v>
      </c>
      <c r="AW21" s="77">
        <f t="shared" si="28"/>
        <v>0</v>
      </c>
      <c r="AX21" s="79"/>
      <c r="AY21" s="78">
        <f t="shared" si="143"/>
        <v>0</v>
      </c>
      <c r="AZ21" s="78">
        <f t="shared" si="29"/>
        <v>0</v>
      </c>
      <c r="BA21" s="78">
        <f t="shared" si="30"/>
        <v>0</v>
      </c>
      <c r="BB21" s="79">
        <f t="shared" si="31"/>
        <v>0</v>
      </c>
      <c r="BC21" s="77">
        <f t="shared" si="32"/>
        <v>0</v>
      </c>
      <c r="BD21" s="79"/>
      <c r="BE21" s="78">
        <f t="shared" si="144"/>
        <v>0</v>
      </c>
      <c r="BF21" s="78">
        <f t="shared" si="33"/>
        <v>0</v>
      </c>
      <c r="BG21" s="78">
        <f t="shared" si="34"/>
        <v>0</v>
      </c>
      <c r="BH21" s="79">
        <f t="shared" si="35"/>
        <v>0</v>
      </c>
      <c r="BI21" s="77">
        <f t="shared" si="36"/>
        <v>0</v>
      </c>
      <c r="BJ21" s="79"/>
      <c r="BK21" s="78">
        <f t="shared" si="145"/>
        <v>0</v>
      </c>
      <c r="BL21" s="78">
        <f t="shared" si="37"/>
        <v>0</v>
      </c>
      <c r="BM21" s="78">
        <f t="shared" si="38"/>
        <v>0</v>
      </c>
      <c r="BN21" s="79">
        <f t="shared" si="39"/>
        <v>0</v>
      </c>
      <c r="BO21" s="77">
        <f t="shared" si="40"/>
        <v>0</v>
      </c>
      <c r="BP21" s="79"/>
      <c r="BQ21" s="78">
        <f t="shared" si="146"/>
        <v>0</v>
      </c>
      <c r="BR21" s="78">
        <f t="shared" si="41"/>
        <v>0</v>
      </c>
      <c r="BS21" s="78">
        <f t="shared" si="42"/>
        <v>0</v>
      </c>
      <c r="BT21" s="79">
        <f t="shared" si="43"/>
        <v>0</v>
      </c>
      <c r="BU21" s="77">
        <f t="shared" si="44"/>
        <v>0</v>
      </c>
      <c r="BV21" s="79"/>
      <c r="BW21" s="78">
        <f t="shared" si="147"/>
        <v>0</v>
      </c>
      <c r="BX21" s="78">
        <f t="shared" si="45"/>
        <v>0</v>
      </c>
      <c r="BY21" s="78">
        <f t="shared" si="46"/>
        <v>0</v>
      </c>
      <c r="BZ21" s="79">
        <f t="shared" si="47"/>
        <v>0</v>
      </c>
      <c r="CA21" s="77">
        <f t="shared" si="48"/>
        <v>0</v>
      </c>
      <c r="CB21" s="78"/>
      <c r="CC21" s="78">
        <f t="shared" si="148"/>
        <v>0</v>
      </c>
      <c r="CD21" s="78">
        <f t="shared" si="49"/>
        <v>0</v>
      </c>
      <c r="CE21" s="78">
        <f t="shared" si="50"/>
        <v>0</v>
      </c>
      <c r="CF21" s="79">
        <f t="shared" si="51"/>
        <v>0</v>
      </c>
      <c r="CG21" s="77">
        <f t="shared" si="52"/>
        <v>0</v>
      </c>
      <c r="CH21" s="79"/>
      <c r="CI21" s="78">
        <f t="shared" si="149"/>
        <v>0</v>
      </c>
      <c r="CJ21" s="78">
        <f t="shared" si="53"/>
        <v>0</v>
      </c>
      <c r="CK21" s="78">
        <f t="shared" si="54"/>
        <v>0</v>
      </c>
      <c r="CL21" s="79">
        <f t="shared" si="55"/>
        <v>0</v>
      </c>
      <c r="CM21" s="77">
        <f t="shared" si="56"/>
        <v>0</v>
      </c>
      <c r="CN21" s="79"/>
      <c r="CO21" s="78">
        <f t="shared" si="150"/>
        <v>0</v>
      </c>
      <c r="CP21" s="78">
        <f t="shared" si="57"/>
        <v>0</v>
      </c>
      <c r="CQ21" s="78">
        <f t="shared" si="58"/>
        <v>0</v>
      </c>
      <c r="CR21" s="79">
        <f t="shared" si="59"/>
        <v>0</v>
      </c>
      <c r="CS21" s="77">
        <f t="shared" si="60"/>
        <v>0</v>
      </c>
      <c r="CT21" s="79"/>
      <c r="CU21" s="78">
        <f t="shared" si="151"/>
        <v>0</v>
      </c>
      <c r="CV21" s="78">
        <f t="shared" si="61"/>
        <v>0</v>
      </c>
      <c r="CW21" s="78">
        <f t="shared" si="62"/>
        <v>0</v>
      </c>
      <c r="CX21" s="79">
        <f t="shared" si="63"/>
        <v>0</v>
      </c>
      <c r="CY21" s="77">
        <f t="shared" si="64"/>
        <v>0</v>
      </c>
      <c r="CZ21" s="79"/>
      <c r="DA21" s="78">
        <f t="shared" si="152"/>
        <v>0</v>
      </c>
      <c r="DB21" s="78">
        <f t="shared" si="65"/>
        <v>0</v>
      </c>
      <c r="DC21" s="78">
        <f t="shared" si="66"/>
        <v>0</v>
      </c>
      <c r="DD21" s="79">
        <f t="shared" si="67"/>
        <v>0</v>
      </c>
      <c r="DE21" s="77">
        <f t="shared" si="68"/>
        <v>0</v>
      </c>
      <c r="DF21" s="79"/>
      <c r="DG21" s="78">
        <f t="shared" si="153"/>
        <v>0</v>
      </c>
      <c r="DH21" s="78">
        <f t="shared" si="69"/>
        <v>0</v>
      </c>
      <c r="DI21" s="78">
        <f t="shared" si="70"/>
        <v>0</v>
      </c>
      <c r="DJ21" s="79">
        <f t="shared" si="71"/>
        <v>0</v>
      </c>
      <c r="DK21" s="77">
        <f t="shared" si="72"/>
        <v>0</v>
      </c>
      <c r="DL21" s="79"/>
      <c r="DM21" s="78">
        <f t="shared" si="154"/>
        <v>0</v>
      </c>
      <c r="DN21" s="78">
        <f t="shared" si="73"/>
        <v>0</v>
      </c>
      <c r="DO21" s="78">
        <f t="shared" si="74"/>
        <v>0</v>
      </c>
      <c r="DP21" s="79">
        <f t="shared" si="75"/>
        <v>0</v>
      </c>
      <c r="DQ21" s="77">
        <f t="shared" si="76"/>
        <v>0</v>
      </c>
      <c r="DR21" s="79"/>
      <c r="DS21" s="78">
        <f t="shared" si="155"/>
        <v>0</v>
      </c>
      <c r="DT21" s="78">
        <f t="shared" si="77"/>
        <v>0</v>
      </c>
      <c r="DU21" s="78">
        <f t="shared" si="78"/>
        <v>0</v>
      </c>
      <c r="DV21" s="79">
        <f t="shared" si="79"/>
        <v>0</v>
      </c>
      <c r="DW21" s="77">
        <f t="shared" si="80"/>
        <v>0</v>
      </c>
      <c r="DX21" s="79"/>
      <c r="DY21" s="78">
        <f t="shared" si="156"/>
        <v>0</v>
      </c>
      <c r="DZ21" s="78">
        <f t="shared" si="81"/>
        <v>0</v>
      </c>
      <c r="EA21" s="78">
        <f t="shared" si="82"/>
        <v>0</v>
      </c>
      <c r="EB21" s="79">
        <f t="shared" si="83"/>
        <v>0</v>
      </c>
      <c r="EC21" s="77">
        <f t="shared" si="84"/>
        <v>0</v>
      </c>
      <c r="ED21" s="79"/>
      <c r="EE21" s="78">
        <f t="shared" si="157"/>
        <v>0</v>
      </c>
      <c r="EF21" s="78">
        <f t="shared" si="85"/>
        <v>0</v>
      </c>
      <c r="EG21" s="78">
        <f t="shared" si="86"/>
        <v>0</v>
      </c>
      <c r="EH21" s="79">
        <f t="shared" si="87"/>
        <v>0</v>
      </c>
      <c r="EI21" s="77">
        <f t="shared" si="88"/>
        <v>0</v>
      </c>
      <c r="EJ21" s="79"/>
      <c r="EK21" s="78">
        <f t="shared" si="158"/>
        <v>0</v>
      </c>
      <c r="EL21" s="78">
        <f t="shared" si="89"/>
        <v>0</v>
      </c>
      <c r="EM21" s="78">
        <f t="shared" si="90"/>
        <v>0</v>
      </c>
      <c r="EN21" s="79">
        <f t="shared" si="91"/>
        <v>0</v>
      </c>
      <c r="EO21" s="77">
        <f t="shared" si="92"/>
        <v>0</v>
      </c>
      <c r="EP21" s="79"/>
      <c r="EQ21" s="78">
        <f t="shared" si="159"/>
        <v>0</v>
      </c>
      <c r="ER21" s="78">
        <f t="shared" si="93"/>
        <v>0</v>
      </c>
      <c r="ES21" s="78">
        <f t="shared" si="94"/>
        <v>0</v>
      </c>
      <c r="ET21" s="79">
        <f t="shared" si="95"/>
        <v>0</v>
      </c>
      <c r="EU21" s="77">
        <f t="shared" si="96"/>
        <v>0</v>
      </c>
      <c r="EV21" s="79"/>
      <c r="EW21" s="78">
        <f t="shared" si="160"/>
        <v>0</v>
      </c>
      <c r="EX21" s="78">
        <f t="shared" si="97"/>
        <v>0</v>
      </c>
      <c r="EY21" s="78">
        <f t="shared" si="98"/>
        <v>0</v>
      </c>
      <c r="EZ21" s="79">
        <f t="shared" si="99"/>
        <v>0</v>
      </c>
      <c r="FA21" s="77">
        <f t="shared" si="100"/>
        <v>0</v>
      </c>
      <c r="FB21" s="79"/>
      <c r="FC21" s="78">
        <f t="shared" si="161"/>
        <v>0</v>
      </c>
      <c r="FD21" s="78">
        <f t="shared" si="101"/>
        <v>0</v>
      </c>
      <c r="FE21" s="78">
        <f t="shared" si="102"/>
        <v>0</v>
      </c>
      <c r="FF21" s="79">
        <f t="shared" si="103"/>
        <v>0</v>
      </c>
      <c r="FG21" s="77">
        <f t="shared" si="104"/>
        <v>0</v>
      </c>
      <c r="FH21" s="79"/>
      <c r="FI21" s="78">
        <f t="shared" si="162"/>
        <v>0</v>
      </c>
      <c r="FJ21" s="78">
        <f t="shared" si="105"/>
        <v>0</v>
      </c>
      <c r="FK21" s="78">
        <f t="shared" si="106"/>
        <v>0</v>
      </c>
      <c r="FL21" s="79">
        <f t="shared" si="107"/>
        <v>0</v>
      </c>
      <c r="FM21" s="77">
        <f t="shared" si="108"/>
        <v>0</v>
      </c>
      <c r="FN21" s="79"/>
      <c r="FO21" s="78">
        <f t="shared" si="163"/>
        <v>0</v>
      </c>
      <c r="FP21" s="78">
        <f t="shared" si="109"/>
        <v>0</v>
      </c>
      <c r="FQ21" s="78">
        <f t="shared" si="110"/>
        <v>0</v>
      </c>
      <c r="FR21" s="79">
        <f t="shared" si="111"/>
        <v>0</v>
      </c>
      <c r="FS21" s="77">
        <f t="shared" si="112"/>
        <v>0</v>
      </c>
      <c r="FT21" s="79"/>
      <c r="FU21" s="78">
        <f t="shared" si="164"/>
        <v>0</v>
      </c>
      <c r="FV21" s="78">
        <f t="shared" si="113"/>
        <v>0</v>
      </c>
      <c r="FW21" s="78">
        <f t="shared" si="114"/>
        <v>0</v>
      </c>
      <c r="FX21" s="79">
        <f t="shared" si="115"/>
        <v>0</v>
      </c>
      <c r="FY21" s="77">
        <f t="shared" si="116"/>
        <v>0</v>
      </c>
      <c r="FZ21" s="79"/>
      <c r="GA21" s="78">
        <f t="shared" si="165"/>
        <v>0</v>
      </c>
      <c r="GB21" s="78">
        <f t="shared" si="117"/>
        <v>0</v>
      </c>
      <c r="GC21" s="78">
        <f t="shared" si="118"/>
        <v>0</v>
      </c>
      <c r="GD21" s="79">
        <f t="shared" si="119"/>
        <v>0</v>
      </c>
      <c r="GE21" s="77">
        <f t="shared" si="120"/>
        <v>0</v>
      </c>
      <c r="GF21" s="79"/>
      <c r="GG21" s="78">
        <f t="shared" si="166"/>
        <v>0</v>
      </c>
      <c r="GH21" s="78">
        <f t="shared" si="121"/>
        <v>0</v>
      </c>
      <c r="GI21" s="78">
        <f t="shared" si="122"/>
        <v>0</v>
      </c>
      <c r="GJ21" s="79">
        <f t="shared" si="123"/>
        <v>0</v>
      </c>
      <c r="GK21" s="77">
        <f t="shared" si="124"/>
        <v>0</v>
      </c>
      <c r="GL21" s="79"/>
      <c r="GM21" s="78">
        <f t="shared" si="167"/>
        <v>0</v>
      </c>
      <c r="GN21" s="78">
        <f t="shared" si="125"/>
        <v>0</v>
      </c>
      <c r="GO21" s="78">
        <f t="shared" si="126"/>
        <v>0</v>
      </c>
      <c r="GP21" s="79">
        <f t="shared" si="127"/>
        <v>0</v>
      </c>
      <c r="GQ21" s="77">
        <f t="shared" si="128"/>
        <v>0</v>
      </c>
      <c r="GR21" s="79"/>
      <c r="GS21" s="78">
        <f t="shared" si="168"/>
        <v>0</v>
      </c>
      <c r="GT21" s="78">
        <f t="shared" si="129"/>
        <v>0</v>
      </c>
      <c r="GU21" s="78">
        <f t="shared" si="130"/>
        <v>0</v>
      </c>
      <c r="GV21" s="79">
        <f t="shared" si="131"/>
        <v>0</v>
      </c>
      <c r="GW21" s="77">
        <f t="shared" si="132"/>
        <v>0</v>
      </c>
      <c r="GX21" s="79"/>
      <c r="GY21" s="78">
        <f t="shared" si="169"/>
        <v>0</v>
      </c>
      <c r="GZ21" s="78">
        <f t="shared" si="133"/>
        <v>0</v>
      </c>
      <c r="HA21" s="78">
        <f t="shared" si="134"/>
        <v>0</v>
      </c>
      <c r="HB21" s="79">
        <f t="shared" si="135"/>
        <v>0</v>
      </c>
      <c r="HC21" s="77">
        <f t="shared" si="136"/>
        <v>0</v>
      </c>
      <c r="HD21" s="79"/>
      <c r="HE21" s="79"/>
      <c r="HF21" s="79"/>
      <c r="HG21" s="79"/>
      <c r="HH21" s="79"/>
      <c r="HI21" s="79"/>
    </row>
    <row r="22" spans="1:217" s="52" customFormat="1" ht="12" hidden="1">
      <c r="A22" s="51">
        <v>44470</v>
      </c>
      <c r="C22" s="80"/>
      <c r="D22" s="80"/>
      <c r="E22" s="77">
        <f t="shared" si="0"/>
        <v>0</v>
      </c>
      <c r="F22" s="77"/>
      <c r="G22" s="77"/>
      <c r="H22" s="79"/>
      <c r="I22" s="79"/>
      <c r="J22" s="79">
        <f t="shared" si="1"/>
        <v>0</v>
      </c>
      <c r="K22" s="79">
        <f t="shared" si="2"/>
        <v>0</v>
      </c>
      <c r="L22" s="79">
        <f t="shared" si="3"/>
        <v>0</v>
      </c>
      <c r="M22" s="79">
        <f t="shared" si="4"/>
        <v>0</v>
      </c>
      <c r="N22" s="79"/>
      <c r="O22" s="78"/>
      <c r="P22" s="78">
        <f t="shared" si="5"/>
        <v>0</v>
      </c>
      <c r="Q22" s="79">
        <f t="shared" si="6"/>
        <v>0</v>
      </c>
      <c r="R22" s="79">
        <f t="shared" si="7"/>
        <v>0</v>
      </c>
      <c r="S22" s="77">
        <f t="shared" si="8"/>
        <v>0</v>
      </c>
      <c r="T22" s="79"/>
      <c r="U22" s="78"/>
      <c r="V22" s="78">
        <f t="shared" si="9"/>
        <v>0</v>
      </c>
      <c r="W22" s="78">
        <f t="shared" si="10"/>
        <v>0</v>
      </c>
      <c r="X22" s="79">
        <f t="shared" si="11"/>
        <v>0</v>
      </c>
      <c r="Y22" s="77">
        <f t="shared" si="12"/>
        <v>0</v>
      </c>
      <c r="Z22" s="79"/>
      <c r="AA22" s="79"/>
      <c r="AB22" s="78">
        <f t="shared" si="13"/>
        <v>0</v>
      </c>
      <c r="AC22" s="78">
        <f t="shared" si="14"/>
        <v>0</v>
      </c>
      <c r="AD22" s="79">
        <f t="shared" si="15"/>
        <v>0</v>
      </c>
      <c r="AE22" s="77">
        <f t="shared" si="16"/>
        <v>0</v>
      </c>
      <c r="AF22" s="79"/>
      <c r="AG22" s="78"/>
      <c r="AH22" s="78">
        <f t="shared" si="17"/>
        <v>0</v>
      </c>
      <c r="AI22" s="78">
        <f t="shared" si="18"/>
        <v>0</v>
      </c>
      <c r="AJ22" s="79">
        <f t="shared" si="19"/>
        <v>0</v>
      </c>
      <c r="AK22" s="77">
        <f t="shared" si="20"/>
        <v>0</v>
      </c>
      <c r="AL22" s="79"/>
      <c r="AM22" s="78"/>
      <c r="AN22" s="78">
        <f t="shared" si="21"/>
        <v>0</v>
      </c>
      <c r="AO22" s="78">
        <f t="shared" si="22"/>
        <v>0</v>
      </c>
      <c r="AP22" s="79">
        <f t="shared" si="23"/>
        <v>0</v>
      </c>
      <c r="AQ22" s="77">
        <f t="shared" si="24"/>
        <v>0</v>
      </c>
      <c r="AR22" s="78"/>
      <c r="AS22" s="78"/>
      <c r="AT22" s="78">
        <f t="shared" si="25"/>
        <v>0</v>
      </c>
      <c r="AU22" s="78">
        <f t="shared" si="26"/>
        <v>0</v>
      </c>
      <c r="AV22" s="79">
        <f t="shared" si="27"/>
        <v>0</v>
      </c>
      <c r="AW22" s="77">
        <f t="shared" si="28"/>
        <v>0</v>
      </c>
      <c r="AX22" s="79"/>
      <c r="AY22" s="78"/>
      <c r="AZ22" s="78">
        <f t="shared" si="29"/>
        <v>0</v>
      </c>
      <c r="BA22" s="78">
        <f t="shared" si="30"/>
        <v>0</v>
      </c>
      <c r="BB22" s="79">
        <f t="shared" si="31"/>
        <v>0</v>
      </c>
      <c r="BC22" s="77">
        <f t="shared" si="32"/>
        <v>0</v>
      </c>
      <c r="BD22" s="79"/>
      <c r="BE22" s="78"/>
      <c r="BF22" s="78">
        <f t="shared" si="33"/>
        <v>0</v>
      </c>
      <c r="BG22" s="78">
        <f t="shared" si="34"/>
        <v>0</v>
      </c>
      <c r="BH22" s="79">
        <f t="shared" si="35"/>
        <v>0</v>
      </c>
      <c r="BI22" s="77">
        <f t="shared" si="36"/>
        <v>0</v>
      </c>
      <c r="BJ22" s="79"/>
      <c r="BK22" s="78"/>
      <c r="BL22" s="78">
        <f t="shared" si="37"/>
        <v>0</v>
      </c>
      <c r="BM22" s="78">
        <f t="shared" si="38"/>
        <v>0</v>
      </c>
      <c r="BN22" s="79">
        <f t="shared" si="39"/>
        <v>0</v>
      </c>
      <c r="BO22" s="77">
        <f t="shared" si="40"/>
        <v>0</v>
      </c>
      <c r="BP22" s="79"/>
      <c r="BQ22" s="78"/>
      <c r="BR22" s="78">
        <f t="shared" si="41"/>
        <v>0</v>
      </c>
      <c r="BS22" s="78">
        <f t="shared" si="42"/>
        <v>0</v>
      </c>
      <c r="BT22" s="79">
        <f t="shared" si="43"/>
        <v>0</v>
      </c>
      <c r="BU22" s="77">
        <f t="shared" si="44"/>
        <v>0</v>
      </c>
      <c r="BV22" s="79"/>
      <c r="BW22" s="78"/>
      <c r="BX22" s="78">
        <f t="shared" si="45"/>
        <v>0</v>
      </c>
      <c r="BY22" s="78">
        <f t="shared" si="46"/>
        <v>0</v>
      </c>
      <c r="BZ22" s="79">
        <f t="shared" si="47"/>
        <v>0</v>
      </c>
      <c r="CA22" s="77">
        <f t="shared" si="48"/>
        <v>0</v>
      </c>
      <c r="CB22" s="78"/>
      <c r="CC22" s="78"/>
      <c r="CD22" s="78">
        <f t="shared" si="49"/>
        <v>0</v>
      </c>
      <c r="CE22" s="78">
        <f t="shared" si="50"/>
        <v>0</v>
      </c>
      <c r="CF22" s="79">
        <f t="shared" si="51"/>
        <v>0</v>
      </c>
      <c r="CG22" s="77">
        <f t="shared" si="52"/>
        <v>0</v>
      </c>
      <c r="CH22" s="79"/>
      <c r="CI22" s="78"/>
      <c r="CJ22" s="78">
        <f t="shared" si="53"/>
        <v>0</v>
      </c>
      <c r="CK22" s="78">
        <f t="shared" si="54"/>
        <v>0</v>
      </c>
      <c r="CL22" s="79">
        <f t="shared" si="55"/>
        <v>0</v>
      </c>
      <c r="CM22" s="77">
        <f t="shared" si="56"/>
        <v>0</v>
      </c>
      <c r="CN22" s="79"/>
      <c r="CO22" s="78"/>
      <c r="CP22" s="78">
        <f t="shared" si="57"/>
        <v>0</v>
      </c>
      <c r="CQ22" s="78">
        <f t="shared" si="58"/>
        <v>0</v>
      </c>
      <c r="CR22" s="79">
        <f t="shared" si="59"/>
        <v>0</v>
      </c>
      <c r="CS22" s="77">
        <f t="shared" si="60"/>
        <v>0</v>
      </c>
      <c r="CT22" s="79"/>
      <c r="CU22" s="78"/>
      <c r="CV22" s="78">
        <f t="shared" si="61"/>
        <v>0</v>
      </c>
      <c r="CW22" s="78">
        <f t="shared" si="62"/>
        <v>0</v>
      </c>
      <c r="CX22" s="79">
        <f t="shared" si="63"/>
        <v>0</v>
      </c>
      <c r="CY22" s="77">
        <f t="shared" si="64"/>
        <v>0</v>
      </c>
      <c r="CZ22" s="79"/>
      <c r="DA22" s="78"/>
      <c r="DB22" s="78">
        <f t="shared" si="65"/>
        <v>0</v>
      </c>
      <c r="DC22" s="78">
        <f t="shared" si="66"/>
        <v>0</v>
      </c>
      <c r="DD22" s="79">
        <f t="shared" si="67"/>
        <v>0</v>
      </c>
      <c r="DE22" s="77">
        <f t="shared" si="68"/>
        <v>0</v>
      </c>
      <c r="DF22" s="79"/>
      <c r="DG22" s="78"/>
      <c r="DH22" s="78">
        <f t="shared" si="69"/>
        <v>0</v>
      </c>
      <c r="DI22" s="78">
        <f t="shared" si="70"/>
        <v>0</v>
      </c>
      <c r="DJ22" s="79">
        <f t="shared" si="71"/>
        <v>0</v>
      </c>
      <c r="DK22" s="77">
        <f t="shared" si="72"/>
        <v>0</v>
      </c>
      <c r="DL22" s="79"/>
      <c r="DM22" s="78"/>
      <c r="DN22" s="78">
        <f t="shared" si="73"/>
        <v>0</v>
      </c>
      <c r="DO22" s="78">
        <f t="shared" si="74"/>
        <v>0</v>
      </c>
      <c r="DP22" s="79">
        <f t="shared" si="75"/>
        <v>0</v>
      </c>
      <c r="DQ22" s="77">
        <f t="shared" si="76"/>
        <v>0</v>
      </c>
      <c r="DR22" s="79"/>
      <c r="DS22" s="78"/>
      <c r="DT22" s="78">
        <f t="shared" si="77"/>
        <v>0</v>
      </c>
      <c r="DU22" s="78">
        <f t="shared" si="78"/>
        <v>0</v>
      </c>
      <c r="DV22" s="79">
        <f t="shared" si="79"/>
        <v>0</v>
      </c>
      <c r="DW22" s="77">
        <f t="shared" si="80"/>
        <v>0</v>
      </c>
      <c r="DX22" s="79"/>
      <c r="DY22" s="78"/>
      <c r="DZ22" s="78">
        <f t="shared" si="81"/>
        <v>0</v>
      </c>
      <c r="EA22" s="78">
        <f t="shared" si="82"/>
        <v>0</v>
      </c>
      <c r="EB22" s="79">
        <f t="shared" si="83"/>
        <v>0</v>
      </c>
      <c r="EC22" s="77">
        <f t="shared" si="84"/>
        <v>0</v>
      </c>
      <c r="ED22" s="79"/>
      <c r="EE22" s="78"/>
      <c r="EF22" s="78">
        <f t="shared" si="85"/>
        <v>0</v>
      </c>
      <c r="EG22" s="78">
        <f t="shared" si="86"/>
        <v>0</v>
      </c>
      <c r="EH22" s="79">
        <f t="shared" si="87"/>
        <v>0</v>
      </c>
      <c r="EI22" s="77">
        <f t="shared" si="88"/>
        <v>0</v>
      </c>
      <c r="EJ22" s="79"/>
      <c r="EK22" s="78"/>
      <c r="EL22" s="78">
        <f t="shared" si="89"/>
        <v>0</v>
      </c>
      <c r="EM22" s="78">
        <f t="shared" si="90"/>
        <v>0</v>
      </c>
      <c r="EN22" s="79">
        <f t="shared" si="91"/>
        <v>0</v>
      </c>
      <c r="EO22" s="77">
        <f t="shared" si="92"/>
        <v>0</v>
      </c>
      <c r="EP22" s="79"/>
      <c r="EQ22" s="78"/>
      <c r="ER22" s="78">
        <f t="shared" si="93"/>
        <v>0</v>
      </c>
      <c r="ES22" s="78">
        <f t="shared" si="94"/>
        <v>0</v>
      </c>
      <c r="ET22" s="79">
        <f t="shared" si="95"/>
        <v>0</v>
      </c>
      <c r="EU22" s="77">
        <f t="shared" si="96"/>
        <v>0</v>
      </c>
      <c r="EV22" s="79"/>
      <c r="EW22" s="78"/>
      <c r="EX22" s="78">
        <f t="shared" si="97"/>
        <v>0</v>
      </c>
      <c r="EY22" s="78">
        <f t="shared" si="98"/>
        <v>0</v>
      </c>
      <c r="EZ22" s="79">
        <f t="shared" si="99"/>
        <v>0</v>
      </c>
      <c r="FA22" s="77">
        <f t="shared" si="100"/>
        <v>0</v>
      </c>
      <c r="FB22" s="79"/>
      <c r="FC22" s="78"/>
      <c r="FD22" s="78">
        <f t="shared" si="101"/>
        <v>0</v>
      </c>
      <c r="FE22" s="78">
        <f t="shared" si="102"/>
        <v>0</v>
      </c>
      <c r="FF22" s="79">
        <f t="shared" si="103"/>
        <v>0</v>
      </c>
      <c r="FG22" s="77">
        <f t="shared" si="104"/>
        <v>0</v>
      </c>
      <c r="FH22" s="79"/>
      <c r="FI22" s="78"/>
      <c r="FJ22" s="78">
        <f t="shared" si="105"/>
        <v>0</v>
      </c>
      <c r="FK22" s="78">
        <f t="shared" si="106"/>
        <v>0</v>
      </c>
      <c r="FL22" s="79">
        <f t="shared" si="107"/>
        <v>0</v>
      </c>
      <c r="FM22" s="77">
        <f t="shared" si="108"/>
        <v>0</v>
      </c>
      <c r="FN22" s="79"/>
      <c r="FO22" s="78"/>
      <c r="FP22" s="78">
        <f t="shared" si="109"/>
        <v>0</v>
      </c>
      <c r="FQ22" s="78">
        <f t="shared" si="110"/>
        <v>0</v>
      </c>
      <c r="FR22" s="79">
        <f t="shared" si="111"/>
        <v>0</v>
      </c>
      <c r="FS22" s="77">
        <f t="shared" si="112"/>
        <v>0</v>
      </c>
      <c r="FT22" s="79"/>
      <c r="FU22" s="78"/>
      <c r="FV22" s="78">
        <f t="shared" si="113"/>
        <v>0</v>
      </c>
      <c r="FW22" s="78">
        <f t="shared" si="114"/>
        <v>0</v>
      </c>
      <c r="FX22" s="79">
        <f t="shared" si="115"/>
        <v>0</v>
      </c>
      <c r="FY22" s="77">
        <f t="shared" si="116"/>
        <v>0</v>
      </c>
      <c r="FZ22" s="79"/>
      <c r="GA22" s="78"/>
      <c r="GB22" s="78">
        <f t="shared" si="117"/>
        <v>0</v>
      </c>
      <c r="GC22" s="78">
        <f t="shared" si="118"/>
        <v>0</v>
      </c>
      <c r="GD22" s="79">
        <f t="shared" si="119"/>
        <v>0</v>
      </c>
      <c r="GE22" s="77">
        <f t="shared" si="120"/>
        <v>0</v>
      </c>
      <c r="GF22" s="79"/>
      <c r="GG22" s="78"/>
      <c r="GH22" s="78">
        <f t="shared" si="121"/>
        <v>0</v>
      </c>
      <c r="GI22" s="78">
        <f t="shared" si="122"/>
        <v>0</v>
      </c>
      <c r="GJ22" s="79">
        <f t="shared" si="123"/>
        <v>0</v>
      </c>
      <c r="GK22" s="77">
        <f t="shared" si="124"/>
        <v>0</v>
      </c>
      <c r="GL22" s="79"/>
      <c r="GM22" s="78"/>
      <c r="GN22" s="78">
        <f t="shared" si="125"/>
        <v>0</v>
      </c>
      <c r="GO22" s="78">
        <f t="shared" si="126"/>
        <v>0</v>
      </c>
      <c r="GP22" s="79">
        <f t="shared" si="127"/>
        <v>0</v>
      </c>
      <c r="GQ22" s="77">
        <f t="shared" si="128"/>
        <v>0</v>
      </c>
      <c r="GR22" s="79"/>
      <c r="GS22" s="78"/>
      <c r="GT22" s="78">
        <f t="shared" si="129"/>
        <v>0</v>
      </c>
      <c r="GU22" s="78">
        <f t="shared" si="130"/>
        <v>0</v>
      </c>
      <c r="GV22" s="79">
        <f t="shared" si="131"/>
        <v>0</v>
      </c>
      <c r="GW22" s="77">
        <f t="shared" si="132"/>
        <v>0</v>
      </c>
      <c r="GX22" s="79"/>
      <c r="GY22" s="78"/>
      <c r="GZ22" s="78">
        <f t="shared" si="133"/>
        <v>0</v>
      </c>
      <c r="HA22" s="78">
        <f t="shared" si="134"/>
        <v>0</v>
      </c>
      <c r="HB22" s="79">
        <f t="shared" si="135"/>
        <v>0</v>
      </c>
      <c r="HC22" s="77">
        <f t="shared" si="136"/>
        <v>0</v>
      </c>
      <c r="HD22" s="79"/>
      <c r="HE22" s="79"/>
      <c r="HF22" s="79"/>
      <c r="HG22" s="79"/>
      <c r="HH22" s="79"/>
      <c r="HI22" s="79"/>
    </row>
    <row r="23" spans="1:217" s="52" customFormat="1" ht="12" hidden="1">
      <c r="A23" s="51">
        <v>44652</v>
      </c>
      <c r="C23" s="80"/>
      <c r="D23" s="80"/>
      <c r="E23" s="77">
        <f t="shared" si="0"/>
        <v>0</v>
      </c>
      <c r="F23" s="77"/>
      <c r="G23" s="77"/>
      <c r="H23" s="79"/>
      <c r="I23" s="79">
        <f>O23+U23+AA23+AG23+AM23+AS23+AY23+BE23+BK23+BQ23+BW23+CC23+CI23+CO23+CU23+DA23+DG23+DM23+DS23+DY23+EE23+EK23+EQ23+EW23+FC23+FI23+FO23+FU23+GA23+GG23+GM23+GS23+GY23</f>
        <v>0</v>
      </c>
      <c r="J23" s="79">
        <f t="shared" si="1"/>
        <v>0</v>
      </c>
      <c r="K23" s="79">
        <f t="shared" si="2"/>
        <v>0</v>
      </c>
      <c r="L23" s="79">
        <f t="shared" si="3"/>
        <v>0</v>
      </c>
      <c r="M23" s="79">
        <f t="shared" si="4"/>
        <v>0</v>
      </c>
      <c r="N23" s="79"/>
      <c r="O23" s="78">
        <f t="shared" si="137"/>
        <v>0</v>
      </c>
      <c r="P23" s="78">
        <f t="shared" si="5"/>
        <v>0</v>
      </c>
      <c r="Q23" s="79">
        <f t="shared" si="6"/>
        <v>0</v>
      </c>
      <c r="R23" s="79">
        <f t="shared" si="7"/>
        <v>0</v>
      </c>
      <c r="S23" s="77">
        <f t="shared" si="8"/>
        <v>0</v>
      </c>
      <c r="T23" s="79"/>
      <c r="U23" s="78">
        <f t="shared" si="138"/>
        <v>0</v>
      </c>
      <c r="V23" s="78">
        <f t="shared" si="9"/>
        <v>0</v>
      </c>
      <c r="W23" s="78">
        <f t="shared" si="10"/>
        <v>0</v>
      </c>
      <c r="X23" s="79">
        <f t="shared" si="11"/>
        <v>0</v>
      </c>
      <c r="Y23" s="77">
        <f t="shared" si="12"/>
        <v>0</v>
      </c>
      <c r="Z23" s="79"/>
      <c r="AA23" s="79">
        <f t="shared" si="139"/>
        <v>0</v>
      </c>
      <c r="AB23" s="78">
        <f t="shared" si="13"/>
        <v>0</v>
      </c>
      <c r="AC23" s="78">
        <f t="shared" si="14"/>
        <v>0</v>
      </c>
      <c r="AD23" s="79">
        <f t="shared" si="15"/>
        <v>0</v>
      </c>
      <c r="AE23" s="77">
        <f t="shared" si="16"/>
        <v>0</v>
      </c>
      <c r="AF23" s="79"/>
      <c r="AG23" s="78">
        <f t="shared" si="140"/>
        <v>0</v>
      </c>
      <c r="AH23" s="78">
        <f t="shared" si="17"/>
        <v>0</v>
      </c>
      <c r="AI23" s="78">
        <f t="shared" si="18"/>
        <v>0</v>
      </c>
      <c r="AJ23" s="79">
        <f t="shared" si="19"/>
        <v>0</v>
      </c>
      <c r="AK23" s="77">
        <f t="shared" si="20"/>
        <v>0</v>
      </c>
      <c r="AL23" s="79"/>
      <c r="AM23" s="78">
        <f t="shared" si="141"/>
        <v>0</v>
      </c>
      <c r="AN23" s="78">
        <f t="shared" si="21"/>
        <v>0</v>
      </c>
      <c r="AO23" s="78">
        <f t="shared" si="22"/>
        <v>0</v>
      </c>
      <c r="AP23" s="79">
        <f t="shared" si="23"/>
        <v>0</v>
      </c>
      <c r="AQ23" s="77">
        <f t="shared" si="24"/>
        <v>0</v>
      </c>
      <c r="AR23" s="78"/>
      <c r="AS23" s="78">
        <f t="shared" si="142"/>
        <v>0</v>
      </c>
      <c r="AT23" s="78">
        <f t="shared" si="25"/>
        <v>0</v>
      </c>
      <c r="AU23" s="78">
        <f t="shared" si="26"/>
        <v>0</v>
      </c>
      <c r="AV23" s="79">
        <f t="shared" si="27"/>
        <v>0</v>
      </c>
      <c r="AW23" s="77">
        <f t="shared" si="28"/>
        <v>0</v>
      </c>
      <c r="AX23" s="79"/>
      <c r="AY23" s="78">
        <f t="shared" si="143"/>
        <v>0</v>
      </c>
      <c r="AZ23" s="78">
        <f t="shared" si="29"/>
        <v>0</v>
      </c>
      <c r="BA23" s="78">
        <f t="shared" si="30"/>
        <v>0</v>
      </c>
      <c r="BB23" s="79">
        <f t="shared" si="31"/>
        <v>0</v>
      </c>
      <c r="BC23" s="77">
        <f t="shared" si="32"/>
        <v>0</v>
      </c>
      <c r="BD23" s="79"/>
      <c r="BE23" s="78">
        <f t="shared" si="144"/>
        <v>0</v>
      </c>
      <c r="BF23" s="78">
        <f t="shared" si="33"/>
        <v>0</v>
      </c>
      <c r="BG23" s="78">
        <f t="shared" si="34"/>
        <v>0</v>
      </c>
      <c r="BH23" s="79">
        <f t="shared" si="35"/>
        <v>0</v>
      </c>
      <c r="BI23" s="77">
        <f t="shared" si="36"/>
        <v>0</v>
      </c>
      <c r="BJ23" s="79"/>
      <c r="BK23" s="78">
        <f t="shared" si="145"/>
        <v>0</v>
      </c>
      <c r="BL23" s="78">
        <f t="shared" si="37"/>
        <v>0</v>
      </c>
      <c r="BM23" s="78">
        <f t="shared" si="38"/>
        <v>0</v>
      </c>
      <c r="BN23" s="79">
        <f t="shared" si="39"/>
        <v>0</v>
      </c>
      <c r="BO23" s="77">
        <f t="shared" si="40"/>
        <v>0</v>
      </c>
      <c r="BP23" s="79"/>
      <c r="BQ23" s="78">
        <f t="shared" si="146"/>
        <v>0</v>
      </c>
      <c r="BR23" s="78">
        <f t="shared" si="41"/>
        <v>0</v>
      </c>
      <c r="BS23" s="78">
        <f t="shared" si="42"/>
        <v>0</v>
      </c>
      <c r="BT23" s="79">
        <f t="shared" si="43"/>
        <v>0</v>
      </c>
      <c r="BU23" s="77">
        <f t="shared" si="44"/>
        <v>0</v>
      </c>
      <c r="BV23" s="79"/>
      <c r="BW23" s="78">
        <f t="shared" si="147"/>
        <v>0</v>
      </c>
      <c r="BX23" s="78">
        <f t="shared" si="45"/>
        <v>0</v>
      </c>
      <c r="BY23" s="78">
        <f t="shared" si="46"/>
        <v>0</v>
      </c>
      <c r="BZ23" s="79">
        <f t="shared" si="47"/>
        <v>0</v>
      </c>
      <c r="CA23" s="77">
        <f t="shared" si="48"/>
        <v>0</v>
      </c>
      <c r="CB23" s="78"/>
      <c r="CC23" s="78">
        <f t="shared" si="148"/>
        <v>0</v>
      </c>
      <c r="CD23" s="78">
        <f t="shared" si="49"/>
        <v>0</v>
      </c>
      <c r="CE23" s="78">
        <f t="shared" si="50"/>
        <v>0</v>
      </c>
      <c r="CF23" s="79">
        <f t="shared" si="51"/>
        <v>0</v>
      </c>
      <c r="CG23" s="77">
        <f t="shared" si="52"/>
        <v>0</v>
      </c>
      <c r="CH23" s="79"/>
      <c r="CI23" s="78">
        <f t="shared" si="149"/>
        <v>0</v>
      </c>
      <c r="CJ23" s="78">
        <f t="shared" si="53"/>
        <v>0</v>
      </c>
      <c r="CK23" s="78">
        <f t="shared" si="54"/>
        <v>0</v>
      </c>
      <c r="CL23" s="79">
        <f t="shared" si="55"/>
        <v>0</v>
      </c>
      <c r="CM23" s="77">
        <f t="shared" si="56"/>
        <v>0</v>
      </c>
      <c r="CN23" s="79"/>
      <c r="CO23" s="78">
        <f t="shared" si="150"/>
        <v>0</v>
      </c>
      <c r="CP23" s="78">
        <f t="shared" si="57"/>
        <v>0</v>
      </c>
      <c r="CQ23" s="78">
        <f t="shared" si="58"/>
        <v>0</v>
      </c>
      <c r="CR23" s="79">
        <f t="shared" si="59"/>
        <v>0</v>
      </c>
      <c r="CS23" s="77">
        <f t="shared" si="60"/>
        <v>0</v>
      </c>
      <c r="CT23" s="79"/>
      <c r="CU23" s="78">
        <f t="shared" si="151"/>
        <v>0</v>
      </c>
      <c r="CV23" s="78">
        <f t="shared" si="61"/>
        <v>0</v>
      </c>
      <c r="CW23" s="78">
        <f t="shared" si="62"/>
        <v>0</v>
      </c>
      <c r="CX23" s="79">
        <f t="shared" si="63"/>
        <v>0</v>
      </c>
      <c r="CY23" s="77">
        <f t="shared" si="64"/>
        <v>0</v>
      </c>
      <c r="CZ23" s="79"/>
      <c r="DA23" s="78">
        <f t="shared" si="152"/>
        <v>0</v>
      </c>
      <c r="DB23" s="78">
        <f t="shared" si="65"/>
        <v>0</v>
      </c>
      <c r="DC23" s="78">
        <f t="shared" si="66"/>
        <v>0</v>
      </c>
      <c r="DD23" s="79">
        <f t="shared" si="67"/>
        <v>0</v>
      </c>
      <c r="DE23" s="77">
        <f t="shared" si="68"/>
        <v>0</v>
      </c>
      <c r="DF23" s="79"/>
      <c r="DG23" s="78">
        <f t="shared" si="153"/>
        <v>0</v>
      </c>
      <c r="DH23" s="78">
        <f t="shared" si="69"/>
        <v>0</v>
      </c>
      <c r="DI23" s="78">
        <f t="shared" si="70"/>
        <v>0</v>
      </c>
      <c r="DJ23" s="79">
        <f t="shared" si="71"/>
        <v>0</v>
      </c>
      <c r="DK23" s="77">
        <f t="shared" si="72"/>
        <v>0</v>
      </c>
      <c r="DL23" s="79"/>
      <c r="DM23" s="78">
        <f t="shared" si="154"/>
        <v>0</v>
      </c>
      <c r="DN23" s="78">
        <f t="shared" si="73"/>
        <v>0</v>
      </c>
      <c r="DO23" s="78">
        <f t="shared" si="74"/>
        <v>0</v>
      </c>
      <c r="DP23" s="79">
        <f t="shared" si="75"/>
        <v>0</v>
      </c>
      <c r="DQ23" s="77">
        <f t="shared" si="76"/>
        <v>0</v>
      </c>
      <c r="DR23" s="79"/>
      <c r="DS23" s="78">
        <f t="shared" si="155"/>
        <v>0</v>
      </c>
      <c r="DT23" s="78">
        <f t="shared" si="77"/>
        <v>0</v>
      </c>
      <c r="DU23" s="78">
        <f t="shared" si="78"/>
        <v>0</v>
      </c>
      <c r="DV23" s="79">
        <f t="shared" si="79"/>
        <v>0</v>
      </c>
      <c r="DW23" s="77">
        <f t="shared" si="80"/>
        <v>0</v>
      </c>
      <c r="DX23" s="79"/>
      <c r="DY23" s="78">
        <f t="shared" si="156"/>
        <v>0</v>
      </c>
      <c r="DZ23" s="78">
        <f t="shared" si="81"/>
        <v>0</v>
      </c>
      <c r="EA23" s="78">
        <f t="shared" si="82"/>
        <v>0</v>
      </c>
      <c r="EB23" s="79">
        <f t="shared" si="83"/>
        <v>0</v>
      </c>
      <c r="EC23" s="77">
        <f t="shared" si="84"/>
        <v>0</v>
      </c>
      <c r="ED23" s="79"/>
      <c r="EE23" s="78">
        <f t="shared" si="157"/>
        <v>0</v>
      </c>
      <c r="EF23" s="78">
        <f t="shared" si="85"/>
        <v>0</v>
      </c>
      <c r="EG23" s="78">
        <f t="shared" si="86"/>
        <v>0</v>
      </c>
      <c r="EH23" s="79">
        <f t="shared" si="87"/>
        <v>0</v>
      </c>
      <c r="EI23" s="77">
        <f t="shared" si="88"/>
        <v>0</v>
      </c>
      <c r="EJ23" s="79"/>
      <c r="EK23" s="78">
        <f t="shared" si="158"/>
        <v>0</v>
      </c>
      <c r="EL23" s="78">
        <f t="shared" si="89"/>
        <v>0</v>
      </c>
      <c r="EM23" s="78">
        <f t="shared" si="90"/>
        <v>0</v>
      </c>
      <c r="EN23" s="79">
        <f t="shared" si="91"/>
        <v>0</v>
      </c>
      <c r="EO23" s="77">
        <f t="shared" si="92"/>
        <v>0</v>
      </c>
      <c r="EP23" s="79"/>
      <c r="EQ23" s="78">
        <f t="shared" si="159"/>
        <v>0</v>
      </c>
      <c r="ER23" s="78">
        <f t="shared" si="93"/>
        <v>0</v>
      </c>
      <c r="ES23" s="78">
        <f t="shared" si="94"/>
        <v>0</v>
      </c>
      <c r="ET23" s="79">
        <f t="shared" si="95"/>
        <v>0</v>
      </c>
      <c r="EU23" s="77">
        <f t="shared" si="96"/>
        <v>0</v>
      </c>
      <c r="EV23" s="79"/>
      <c r="EW23" s="78">
        <f t="shared" si="160"/>
        <v>0</v>
      </c>
      <c r="EX23" s="78">
        <f t="shared" si="97"/>
        <v>0</v>
      </c>
      <c r="EY23" s="78">
        <f t="shared" si="98"/>
        <v>0</v>
      </c>
      <c r="EZ23" s="79">
        <f t="shared" si="99"/>
        <v>0</v>
      </c>
      <c r="FA23" s="77">
        <f t="shared" si="100"/>
        <v>0</v>
      </c>
      <c r="FB23" s="79"/>
      <c r="FC23" s="78">
        <f t="shared" si="161"/>
        <v>0</v>
      </c>
      <c r="FD23" s="78">
        <f t="shared" si="101"/>
        <v>0</v>
      </c>
      <c r="FE23" s="78">
        <f t="shared" si="102"/>
        <v>0</v>
      </c>
      <c r="FF23" s="79">
        <f t="shared" si="103"/>
        <v>0</v>
      </c>
      <c r="FG23" s="77">
        <f t="shared" si="104"/>
        <v>0</v>
      </c>
      <c r="FH23" s="79"/>
      <c r="FI23" s="78">
        <f t="shared" si="162"/>
        <v>0</v>
      </c>
      <c r="FJ23" s="78">
        <f t="shared" si="105"/>
        <v>0</v>
      </c>
      <c r="FK23" s="78">
        <f t="shared" si="106"/>
        <v>0</v>
      </c>
      <c r="FL23" s="79">
        <f t="shared" si="107"/>
        <v>0</v>
      </c>
      <c r="FM23" s="77">
        <f t="shared" si="108"/>
        <v>0</v>
      </c>
      <c r="FN23" s="79"/>
      <c r="FO23" s="78">
        <f t="shared" si="163"/>
        <v>0</v>
      </c>
      <c r="FP23" s="78">
        <f t="shared" si="109"/>
        <v>0</v>
      </c>
      <c r="FQ23" s="78">
        <f t="shared" si="110"/>
        <v>0</v>
      </c>
      <c r="FR23" s="79">
        <f t="shared" si="111"/>
        <v>0</v>
      </c>
      <c r="FS23" s="77">
        <f t="shared" si="112"/>
        <v>0</v>
      </c>
      <c r="FT23" s="79"/>
      <c r="FU23" s="78">
        <f t="shared" si="164"/>
        <v>0</v>
      </c>
      <c r="FV23" s="78">
        <f t="shared" si="113"/>
        <v>0</v>
      </c>
      <c r="FW23" s="78">
        <f t="shared" si="114"/>
        <v>0</v>
      </c>
      <c r="FX23" s="79">
        <f t="shared" si="115"/>
        <v>0</v>
      </c>
      <c r="FY23" s="77">
        <f t="shared" si="116"/>
        <v>0</v>
      </c>
      <c r="FZ23" s="79"/>
      <c r="GA23" s="78">
        <f t="shared" si="165"/>
        <v>0</v>
      </c>
      <c r="GB23" s="78">
        <f t="shared" si="117"/>
        <v>0</v>
      </c>
      <c r="GC23" s="78">
        <f t="shared" si="118"/>
        <v>0</v>
      </c>
      <c r="GD23" s="79">
        <f t="shared" si="119"/>
        <v>0</v>
      </c>
      <c r="GE23" s="77">
        <f t="shared" si="120"/>
        <v>0</v>
      </c>
      <c r="GF23" s="79"/>
      <c r="GG23" s="78">
        <f t="shared" si="166"/>
        <v>0</v>
      </c>
      <c r="GH23" s="78">
        <f t="shared" si="121"/>
        <v>0</v>
      </c>
      <c r="GI23" s="78">
        <f t="shared" si="122"/>
        <v>0</v>
      </c>
      <c r="GJ23" s="79">
        <f t="shared" si="123"/>
        <v>0</v>
      </c>
      <c r="GK23" s="77">
        <f t="shared" si="124"/>
        <v>0</v>
      </c>
      <c r="GL23" s="79"/>
      <c r="GM23" s="78">
        <f t="shared" si="167"/>
        <v>0</v>
      </c>
      <c r="GN23" s="78">
        <f t="shared" si="125"/>
        <v>0</v>
      </c>
      <c r="GO23" s="78">
        <f t="shared" si="126"/>
        <v>0</v>
      </c>
      <c r="GP23" s="79">
        <f t="shared" si="127"/>
        <v>0</v>
      </c>
      <c r="GQ23" s="77">
        <f t="shared" si="128"/>
        <v>0</v>
      </c>
      <c r="GR23" s="79"/>
      <c r="GS23" s="78">
        <f t="shared" si="168"/>
        <v>0</v>
      </c>
      <c r="GT23" s="78">
        <f t="shared" si="129"/>
        <v>0</v>
      </c>
      <c r="GU23" s="78">
        <f t="shared" si="130"/>
        <v>0</v>
      </c>
      <c r="GV23" s="79">
        <f t="shared" si="131"/>
        <v>0</v>
      </c>
      <c r="GW23" s="77">
        <f t="shared" si="132"/>
        <v>0</v>
      </c>
      <c r="GX23" s="79"/>
      <c r="GY23" s="78">
        <f t="shared" si="169"/>
        <v>0</v>
      </c>
      <c r="GZ23" s="78">
        <f t="shared" si="133"/>
        <v>0</v>
      </c>
      <c r="HA23" s="78">
        <f t="shared" si="134"/>
        <v>0</v>
      </c>
      <c r="HB23" s="79">
        <f t="shared" si="135"/>
        <v>0</v>
      </c>
      <c r="HC23" s="77">
        <f t="shared" si="136"/>
        <v>0</v>
      </c>
      <c r="HD23" s="79"/>
      <c r="HE23" s="79"/>
      <c r="HF23" s="79"/>
      <c r="HG23" s="79"/>
      <c r="HH23" s="79"/>
      <c r="HI23" s="79"/>
    </row>
    <row r="24" spans="1:217" s="52" customFormat="1" ht="12" hidden="1">
      <c r="A24" s="51">
        <v>44835</v>
      </c>
      <c r="C24" s="80"/>
      <c r="D24" s="80"/>
      <c r="E24" s="77">
        <f t="shared" si="0"/>
        <v>0</v>
      </c>
      <c r="F24" s="77"/>
      <c r="G24" s="77"/>
      <c r="H24" s="79"/>
      <c r="I24" s="79"/>
      <c r="J24" s="79">
        <f t="shared" si="1"/>
        <v>0</v>
      </c>
      <c r="K24" s="79">
        <f t="shared" si="2"/>
        <v>0</v>
      </c>
      <c r="L24" s="79">
        <f t="shared" si="3"/>
        <v>0</v>
      </c>
      <c r="M24" s="79">
        <f t="shared" si="4"/>
        <v>0</v>
      </c>
      <c r="N24" s="79"/>
      <c r="O24" s="78"/>
      <c r="P24" s="78">
        <f t="shared" si="5"/>
        <v>0</v>
      </c>
      <c r="Q24" s="79">
        <f t="shared" si="6"/>
        <v>0</v>
      </c>
      <c r="R24" s="79">
        <f t="shared" si="7"/>
        <v>0</v>
      </c>
      <c r="S24" s="77">
        <f t="shared" si="8"/>
        <v>0</v>
      </c>
      <c r="T24" s="79"/>
      <c r="U24" s="78"/>
      <c r="V24" s="78">
        <f t="shared" si="9"/>
        <v>0</v>
      </c>
      <c r="W24" s="78">
        <f t="shared" si="10"/>
        <v>0</v>
      </c>
      <c r="X24" s="79">
        <f t="shared" si="11"/>
        <v>0</v>
      </c>
      <c r="Y24" s="77">
        <f t="shared" si="12"/>
        <v>0</v>
      </c>
      <c r="Z24" s="79"/>
      <c r="AA24" s="79"/>
      <c r="AB24" s="78">
        <f t="shared" si="13"/>
        <v>0</v>
      </c>
      <c r="AC24" s="78">
        <f t="shared" si="14"/>
        <v>0</v>
      </c>
      <c r="AD24" s="79">
        <f t="shared" si="15"/>
        <v>0</v>
      </c>
      <c r="AE24" s="77">
        <f t="shared" si="16"/>
        <v>0</v>
      </c>
      <c r="AF24" s="79"/>
      <c r="AG24" s="78"/>
      <c r="AH24" s="78">
        <f t="shared" si="17"/>
        <v>0</v>
      </c>
      <c r="AI24" s="78">
        <f t="shared" si="18"/>
        <v>0</v>
      </c>
      <c r="AJ24" s="79">
        <f t="shared" si="19"/>
        <v>0</v>
      </c>
      <c r="AK24" s="77">
        <f t="shared" si="20"/>
        <v>0</v>
      </c>
      <c r="AL24" s="79"/>
      <c r="AM24" s="78"/>
      <c r="AN24" s="78">
        <f t="shared" si="21"/>
        <v>0</v>
      </c>
      <c r="AO24" s="78">
        <f t="shared" si="22"/>
        <v>0</v>
      </c>
      <c r="AP24" s="79">
        <f t="shared" si="23"/>
        <v>0</v>
      </c>
      <c r="AQ24" s="77">
        <f t="shared" si="24"/>
        <v>0</v>
      </c>
      <c r="AR24" s="78"/>
      <c r="AS24" s="78"/>
      <c r="AT24" s="78">
        <f t="shared" si="25"/>
        <v>0</v>
      </c>
      <c r="AU24" s="78">
        <f t="shared" si="26"/>
        <v>0</v>
      </c>
      <c r="AV24" s="79">
        <f t="shared" si="27"/>
        <v>0</v>
      </c>
      <c r="AW24" s="77">
        <f t="shared" si="28"/>
        <v>0</v>
      </c>
      <c r="AX24" s="79"/>
      <c r="AY24" s="78"/>
      <c r="AZ24" s="78">
        <f t="shared" si="29"/>
        <v>0</v>
      </c>
      <c r="BA24" s="78">
        <f t="shared" si="30"/>
        <v>0</v>
      </c>
      <c r="BB24" s="79">
        <f t="shared" si="31"/>
        <v>0</v>
      </c>
      <c r="BC24" s="77">
        <f t="shared" si="32"/>
        <v>0</v>
      </c>
      <c r="BD24" s="79"/>
      <c r="BE24" s="78"/>
      <c r="BF24" s="78">
        <f t="shared" si="33"/>
        <v>0</v>
      </c>
      <c r="BG24" s="78">
        <f t="shared" si="34"/>
        <v>0</v>
      </c>
      <c r="BH24" s="79">
        <f t="shared" si="35"/>
        <v>0</v>
      </c>
      <c r="BI24" s="77">
        <f t="shared" si="36"/>
        <v>0</v>
      </c>
      <c r="BJ24" s="79"/>
      <c r="BK24" s="78"/>
      <c r="BL24" s="78">
        <f t="shared" si="37"/>
        <v>0</v>
      </c>
      <c r="BM24" s="78">
        <f t="shared" si="38"/>
        <v>0</v>
      </c>
      <c r="BN24" s="79">
        <f t="shared" si="39"/>
        <v>0</v>
      </c>
      <c r="BO24" s="77">
        <f t="shared" si="40"/>
        <v>0</v>
      </c>
      <c r="BP24" s="79"/>
      <c r="BQ24" s="78"/>
      <c r="BR24" s="78">
        <f t="shared" si="41"/>
        <v>0</v>
      </c>
      <c r="BS24" s="78">
        <f t="shared" si="42"/>
        <v>0</v>
      </c>
      <c r="BT24" s="79">
        <f t="shared" si="43"/>
        <v>0</v>
      </c>
      <c r="BU24" s="77">
        <f t="shared" si="44"/>
        <v>0</v>
      </c>
      <c r="BV24" s="79"/>
      <c r="BW24" s="78"/>
      <c r="BX24" s="78">
        <f t="shared" si="45"/>
        <v>0</v>
      </c>
      <c r="BY24" s="78">
        <f t="shared" si="46"/>
        <v>0</v>
      </c>
      <c r="BZ24" s="79">
        <f t="shared" si="47"/>
        <v>0</v>
      </c>
      <c r="CA24" s="77">
        <f t="shared" si="48"/>
        <v>0</v>
      </c>
      <c r="CB24" s="78"/>
      <c r="CC24" s="78"/>
      <c r="CD24" s="78">
        <f t="shared" si="49"/>
        <v>0</v>
      </c>
      <c r="CE24" s="78">
        <f t="shared" si="50"/>
        <v>0</v>
      </c>
      <c r="CF24" s="79">
        <f t="shared" si="51"/>
        <v>0</v>
      </c>
      <c r="CG24" s="77">
        <f t="shared" si="52"/>
        <v>0</v>
      </c>
      <c r="CH24" s="79"/>
      <c r="CI24" s="78"/>
      <c r="CJ24" s="78">
        <f t="shared" si="53"/>
        <v>0</v>
      </c>
      <c r="CK24" s="78">
        <f t="shared" si="54"/>
        <v>0</v>
      </c>
      <c r="CL24" s="79">
        <f t="shared" si="55"/>
        <v>0</v>
      </c>
      <c r="CM24" s="77">
        <f t="shared" si="56"/>
        <v>0</v>
      </c>
      <c r="CN24" s="79"/>
      <c r="CO24" s="78"/>
      <c r="CP24" s="78">
        <f t="shared" si="57"/>
        <v>0</v>
      </c>
      <c r="CQ24" s="78">
        <f t="shared" si="58"/>
        <v>0</v>
      </c>
      <c r="CR24" s="79">
        <f t="shared" si="59"/>
        <v>0</v>
      </c>
      <c r="CS24" s="77">
        <f t="shared" si="60"/>
        <v>0</v>
      </c>
      <c r="CT24" s="79"/>
      <c r="CU24" s="78"/>
      <c r="CV24" s="78">
        <f t="shared" si="61"/>
        <v>0</v>
      </c>
      <c r="CW24" s="78">
        <f t="shared" si="62"/>
        <v>0</v>
      </c>
      <c r="CX24" s="79">
        <f t="shared" si="63"/>
        <v>0</v>
      </c>
      <c r="CY24" s="77">
        <f t="shared" si="64"/>
        <v>0</v>
      </c>
      <c r="CZ24" s="79"/>
      <c r="DA24" s="78"/>
      <c r="DB24" s="78">
        <f t="shared" si="65"/>
        <v>0</v>
      </c>
      <c r="DC24" s="78">
        <f t="shared" si="66"/>
        <v>0</v>
      </c>
      <c r="DD24" s="79">
        <f t="shared" si="67"/>
        <v>0</v>
      </c>
      <c r="DE24" s="77">
        <f t="shared" si="68"/>
        <v>0</v>
      </c>
      <c r="DF24" s="79"/>
      <c r="DG24" s="78"/>
      <c r="DH24" s="78">
        <f t="shared" si="69"/>
        <v>0</v>
      </c>
      <c r="DI24" s="78">
        <f t="shared" si="70"/>
        <v>0</v>
      </c>
      <c r="DJ24" s="79">
        <f t="shared" si="71"/>
        <v>0</v>
      </c>
      <c r="DK24" s="77">
        <f t="shared" si="72"/>
        <v>0</v>
      </c>
      <c r="DL24" s="79"/>
      <c r="DM24" s="78"/>
      <c r="DN24" s="78">
        <f t="shared" si="73"/>
        <v>0</v>
      </c>
      <c r="DO24" s="78">
        <f t="shared" si="74"/>
        <v>0</v>
      </c>
      <c r="DP24" s="79">
        <f t="shared" si="75"/>
        <v>0</v>
      </c>
      <c r="DQ24" s="77">
        <f t="shared" si="76"/>
        <v>0</v>
      </c>
      <c r="DR24" s="79"/>
      <c r="DS24" s="78"/>
      <c r="DT24" s="78">
        <f t="shared" si="77"/>
        <v>0</v>
      </c>
      <c r="DU24" s="78">
        <f t="shared" si="78"/>
        <v>0</v>
      </c>
      <c r="DV24" s="79">
        <f t="shared" si="79"/>
        <v>0</v>
      </c>
      <c r="DW24" s="77">
        <f t="shared" si="80"/>
        <v>0</v>
      </c>
      <c r="DX24" s="79"/>
      <c r="DY24" s="78"/>
      <c r="DZ24" s="78">
        <f t="shared" si="81"/>
        <v>0</v>
      </c>
      <c r="EA24" s="78">
        <f t="shared" si="82"/>
        <v>0</v>
      </c>
      <c r="EB24" s="79">
        <f t="shared" si="83"/>
        <v>0</v>
      </c>
      <c r="EC24" s="77">
        <f t="shared" si="84"/>
        <v>0</v>
      </c>
      <c r="ED24" s="79"/>
      <c r="EE24" s="78"/>
      <c r="EF24" s="78">
        <f t="shared" si="85"/>
        <v>0</v>
      </c>
      <c r="EG24" s="78">
        <f t="shared" si="86"/>
        <v>0</v>
      </c>
      <c r="EH24" s="79">
        <f t="shared" si="87"/>
        <v>0</v>
      </c>
      <c r="EI24" s="77">
        <f t="shared" si="88"/>
        <v>0</v>
      </c>
      <c r="EJ24" s="79"/>
      <c r="EK24" s="78"/>
      <c r="EL24" s="78">
        <f t="shared" si="89"/>
        <v>0</v>
      </c>
      <c r="EM24" s="78">
        <f t="shared" si="90"/>
        <v>0</v>
      </c>
      <c r="EN24" s="79">
        <f t="shared" si="91"/>
        <v>0</v>
      </c>
      <c r="EO24" s="77">
        <f t="shared" si="92"/>
        <v>0</v>
      </c>
      <c r="EP24" s="79"/>
      <c r="EQ24" s="78"/>
      <c r="ER24" s="78">
        <f t="shared" si="93"/>
        <v>0</v>
      </c>
      <c r="ES24" s="78">
        <f t="shared" si="94"/>
        <v>0</v>
      </c>
      <c r="ET24" s="79">
        <f t="shared" si="95"/>
        <v>0</v>
      </c>
      <c r="EU24" s="77">
        <f t="shared" si="96"/>
        <v>0</v>
      </c>
      <c r="EV24" s="79"/>
      <c r="EW24" s="78"/>
      <c r="EX24" s="78">
        <f t="shared" si="97"/>
        <v>0</v>
      </c>
      <c r="EY24" s="78">
        <f t="shared" si="98"/>
        <v>0</v>
      </c>
      <c r="EZ24" s="79">
        <f t="shared" si="99"/>
        <v>0</v>
      </c>
      <c r="FA24" s="77">
        <f t="shared" si="100"/>
        <v>0</v>
      </c>
      <c r="FB24" s="79"/>
      <c r="FC24" s="78"/>
      <c r="FD24" s="78">
        <f t="shared" si="101"/>
        <v>0</v>
      </c>
      <c r="FE24" s="78">
        <f t="shared" si="102"/>
        <v>0</v>
      </c>
      <c r="FF24" s="79">
        <f t="shared" si="103"/>
        <v>0</v>
      </c>
      <c r="FG24" s="77">
        <f t="shared" si="104"/>
        <v>0</v>
      </c>
      <c r="FH24" s="79"/>
      <c r="FI24" s="78"/>
      <c r="FJ24" s="78">
        <f t="shared" si="105"/>
        <v>0</v>
      </c>
      <c r="FK24" s="78">
        <f t="shared" si="106"/>
        <v>0</v>
      </c>
      <c r="FL24" s="79">
        <f t="shared" si="107"/>
        <v>0</v>
      </c>
      <c r="FM24" s="77">
        <f t="shared" si="108"/>
        <v>0</v>
      </c>
      <c r="FN24" s="79"/>
      <c r="FO24" s="78"/>
      <c r="FP24" s="78">
        <f t="shared" si="109"/>
        <v>0</v>
      </c>
      <c r="FQ24" s="78">
        <f t="shared" si="110"/>
        <v>0</v>
      </c>
      <c r="FR24" s="79">
        <f t="shared" si="111"/>
        <v>0</v>
      </c>
      <c r="FS24" s="77">
        <f t="shared" si="112"/>
        <v>0</v>
      </c>
      <c r="FT24" s="79"/>
      <c r="FU24" s="78"/>
      <c r="FV24" s="78">
        <f t="shared" si="113"/>
        <v>0</v>
      </c>
      <c r="FW24" s="78">
        <f t="shared" si="114"/>
        <v>0</v>
      </c>
      <c r="FX24" s="79">
        <f t="shared" si="115"/>
        <v>0</v>
      </c>
      <c r="FY24" s="77">
        <f t="shared" si="116"/>
        <v>0</v>
      </c>
      <c r="FZ24" s="79"/>
      <c r="GA24" s="78"/>
      <c r="GB24" s="78">
        <f t="shared" si="117"/>
        <v>0</v>
      </c>
      <c r="GC24" s="78">
        <f t="shared" si="118"/>
        <v>0</v>
      </c>
      <c r="GD24" s="79">
        <f t="shared" si="119"/>
        <v>0</v>
      </c>
      <c r="GE24" s="77">
        <f t="shared" si="120"/>
        <v>0</v>
      </c>
      <c r="GF24" s="79"/>
      <c r="GG24" s="78"/>
      <c r="GH24" s="78">
        <f t="shared" si="121"/>
        <v>0</v>
      </c>
      <c r="GI24" s="78">
        <f t="shared" si="122"/>
        <v>0</v>
      </c>
      <c r="GJ24" s="79">
        <f t="shared" si="123"/>
        <v>0</v>
      </c>
      <c r="GK24" s="77">
        <f t="shared" si="124"/>
        <v>0</v>
      </c>
      <c r="GL24" s="79"/>
      <c r="GM24" s="78"/>
      <c r="GN24" s="78">
        <f t="shared" si="125"/>
        <v>0</v>
      </c>
      <c r="GO24" s="78">
        <f t="shared" si="126"/>
        <v>0</v>
      </c>
      <c r="GP24" s="79">
        <f t="shared" si="127"/>
        <v>0</v>
      </c>
      <c r="GQ24" s="77">
        <f t="shared" si="128"/>
        <v>0</v>
      </c>
      <c r="GR24" s="79"/>
      <c r="GS24" s="78"/>
      <c r="GT24" s="78">
        <f t="shared" si="129"/>
        <v>0</v>
      </c>
      <c r="GU24" s="78">
        <f t="shared" si="130"/>
        <v>0</v>
      </c>
      <c r="GV24" s="79">
        <f t="shared" si="131"/>
        <v>0</v>
      </c>
      <c r="GW24" s="77">
        <f t="shared" si="132"/>
        <v>0</v>
      </c>
      <c r="GX24" s="79"/>
      <c r="GY24" s="78"/>
      <c r="GZ24" s="78">
        <f t="shared" si="133"/>
        <v>0</v>
      </c>
      <c r="HA24" s="78">
        <f t="shared" si="134"/>
        <v>0</v>
      </c>
      <c r="HB24" s="79">
        <f t="shared" si="135"/>
        <v>0</v>
      </c>
      <c r="HC24" s="77">
        <f t="shared" si="136"/>
        <v>0</v>
      </c>
      <c r="HD24" s="79"/>
      <c r="HE24" s="79"/>
      <c r="HF24" s="79"/>
      <c r="HG24" s="79"/>
      <c r="HH24" s="79"/>
      <c r="HI24" s="79"/>
    </row>
    <row r="25" spans="1:217" s="52" customFormat="1" ht="12" hidden="1">
      <c r="A25" s="51">
        <v>45017</v>
      </c>
      <c r="C25" s="80"/>
      <c r="D25" s="80"/>
      <c r="E25" s="77">
        <f t="shared" si="0"/>
        <v>0</v>
      </c>
      <c r="F25" s="77"/>
      <c r="G25" s="77"/>
      <c r="H25" s="79"/>
      <c r="I25" s="79">
        <f>O25+U25+AA25+AG25+AM25+AS25+AY25+BE25+BK25+BQ25+BW25+CC25+CI25+CO25+CU25+DA25+DG25+DM25+DS25+DY25+EE25+EK25+EQ25+EW25+FC25+FI25+FO25+FU25+GA25+GG25+GM25+GS25+GY25</f>
        <v>0</v>
      </c>
      <c r="J25" s="79">
        <f t="shared" si="1"/>
        <v>0</v>
      </c>
      <c r="K25" s="79">
        <f t="shared" si="2"/>
        <v>0</v>
      </c>
      <c r="L25" s="79">
        <f t="shared" si="3"/>
        <v>0</v>
      </c>
      <c r="M25" s="79">
        <f t="shared" si="4"/>
        <v>0</v>
      </c>
      <c r="N25" s="79"/>
      <c r="O25" s="78">
        <f t="shared" si="137"/>
        <v>0</v>
      </c>
      <c r="P25" s="78">
        <f t="shared" si="5"/>
        <v>0</v>
      </c>
      <c r="Q25" s="79">
        <f t="shared" si="6"/>
        <v>0</v>
      </c>
      <c r="R25" s="79">
        <f t="shared" si="7"/>
        <v>0</v>
      </c>
      <c r="S25" s="77">
        <f t="shared" si="8"/>
        <v>0</v>
      </c>
      <c r="T25" s="79"/>
      <c r="U25" s="78">
        <f t="shared" si="138"/>
        <v>0</v>
      </c>
      <c r="V25" s="78">
        <f t="shared" si="9"/>
        <v>0</v>
      </c>
      <c r="W25" s="78">
        <f t="shared" si="10"/>
        <v>0</v>
      </c>
      <c r="X25" s="79">
        <f t="shared" si="11"/>
        <v>0</v>
      </c>
      <c r="Y25" s="77">
        <f t="shared" si="12"/>
        <v>0</v>
      </c>
      <c r="Z25" s="79"/>
      <c r="AA25" s="79">
        <f t="shared" si="139"/>
        <v>0</v>
      </c>
      <c r="AB25" s="78">
        <f t="shared" si="13"/>
        <v>0</v>
      </c>
      <c r="AC25" s="78">
        <f t="shared" si="14"/>
        <v>0</v>
      </c>
      <c r="AD25" s="79">
        <f t="shared" si="15"/>
        <v>0</v>
      </c>
      <c r="AE25" s="77">
        <f t="shared" si="16"/>
        <v>0</v>
      </c>
      <c r="AF25" s="79"/>
      <c r="AG25" s="78">
        <f t="shared" si="140"/>
        <v>0</v>
      </c>
      <c r="AH25" s="78">
        <f t="shared" si="17"/>
        <v>0</v>
      </c>
      <c r="AI25" s="78">
        <f t="shared" si="18"/>
        <v>0</v>
      </c>
      <c r="AJ25" s="79">
        <f t="shared" si="19"/>
        <v>0</v>
      </c>
      <c r="AK25" s="77">
        <f t="shared" si="20"/>
        <v>0</v>
      </c>
      <c r="AL25" s="79"/>
      <c r="AM25" s="78">
        <f t="shared" si="141"/>
        <v>0</v>
      </c>
      <c r="AN25" s="78">
        <f t="shared" si="21"/>
        <v>0</v>
      </c>
      <c r="AO25" s="78">
        <f t="shared" si="22"/>
        <v>0</v>
      </c>
      <c r="AP25" s="79">
        <f t="shared" si="23"/>
        <v>0</v>
      </c>
      <c r="AQ25" s="77">
        <f t="shared" si="24"/>
        <v>0</v>
      </c>
      <c r="AR25" s="78"/>
      <c r="AS25" s="78">
        <f t="shared" si="142"/>
        <v>0</v>
      </c>
      <c r="AT25" s="78">
        <f t="shared" si="25"/>
        <v>0</v>
      </c>
      <c r="AU25" s="78">
        <f t="shared" si="26"/>
        <v>0</v>
      </c>
      <c r="AV25" s="79">
        <f t="shared" si="27"/>
        <v>0</v>
      </c>
      <c r="AW25" s="77">
        <f t="shared" si="28"/>
        <v>0</v>
      </c>
      <c r="AX25" s="79"/>
      <c r="AY25" s="78">
        <f t="shared" si="143"/>
        <v>0</v>
      </c>
      <c r="AZ25" s="78">
        <f t="shared" si="29"/>
        <v>0</v>
      </c>
      <c r="BA25" s="78">
        <f t="shared" si="30"/>
        <v>0</v>
      </c>
      <c r="BB25" s="79">
        <f t="shared" si="31"/>
        <v>0</v>
      </c>
      <c r="BC25" s="77">
        <f t="shared" si="32"/>
        <v>0</v>
      </c>
      <c r="BD25" s="79"/>
      <c r="BE25" s="78">
        <f t="shared" si="144"/>
        <v>0</v>
      </c>
      <c r="BF25" s="78">
        <f t="shared" si="33"/>
        <v>0</v>
      </c>
      <c r="BG25" s="78">
        <f t="shared" si="34"/>
        <v>0</v>
      </c>
      <c r="BH25" s="79">
        <f t="shared" si="35"/>
        <v>0</v>
      </c>
      <c r="BI25" s="77">
        <f t="shared" si="36"/>
        <v>0</v>
      </c>
      <c r="BJ25" s="79"/>
      <c r="BK25" s="78">
        <f t="shared" si="145"/>
        <v>0</v>
      </c>
      <c r="BL25" s="78">
        <f t="shared" si="37"/>
        <v>0</v>
      </c>
      <c r="BM25" s="78">
        <f t="shared" si="38"/>
        <v>0</v>
      </c>
      <c r="BN25" s="79">
        <f t="shared" si="39"/>
        <v>0</v>
      </c>
      <c r="BO25" s="77">
        <f t="shared" si="40"/>
        <v>0</v>
      </c>
      <c r="BP25" s="79"/>
      <c r="BQ25" s="78">
        <f t="shared" si="146"/>
        <v>0</v>
      </c>
      <c r="BR25" s="78">
        <f t="shared" si="41"/>
        <v>0</v>
      </c>
      <c r="BS25" s="78">
        <f t="shared" si="42"/>
        <v>0</v>
      </c>
      <c r="BT25" s="79">
        <f t="shared" si="43"/>
        <v>0</v>
      </c>
      <c r="BU25" s="77">
        <f t="shared" si="44"/>
        <v>0</v>
      </c>
      <c r="BV25" s="79"/>
      <c r="BW25" s="78">
        <f t="shared" si="147"/>
        <v>0</v>
      </c>
      <c r="BX25" s="78">
        <f t="shared" si="45"/>
        <v>0</v>
      </c>
      <c r="BY25" s="78">
        <f t="shared" si="46"/>
        <v>0</v>
      </c>
      <c r="BZ25" s="79">
        <f t="shared" si="47"/>
        <v>0</v>
      </c>
      <c r="CA25" s="77">
        <f t="shared" si="48"/>
        <v>0</v>
      </c>
      <c r="CB25" s="78"/>
      <c r="CC25" s="78">
        <f t="shared" si="148"/>
        <v>0</v>
      </c>
      <c r="CD25" s="78">
        <f t="shared" si="49"/>
        <v>0</v>
      </c>
      <c r="CE25" s="78">
        <f t="shared" si="50"/>
        <v>0</v>
      </c>
      <c r="CF25" s="79">
        <f t="shared" si="51"/>
        <v>0</v>
      </c>
      <c r="CG25" s="77">
        <f t="shared" si="52"/>
        <v>0</v>
      </c>
      <c r="CH25" s="79"/>
      <c r="CI25" s="78">
        <f t="shared" si="149"/>
        <v>0</v>
      </c>
      <c r="CJ25" s="78">
        <f t="shared" si="53"/>
        <v>0</v>
      </c>
      <c r="CK25" s="78">
        <f t="shared" si="54"/>
        <v>0</v>
      </c>
      <c r="CL25" s="79">
        <f t="shared" si="55"/>
        <v>0</v>
      </c>
      <c r="CM25" s="77">
        <f t="shared" si="56"/>
        <v>0</v>
      </c>
      <c r="CN25" s="79"/>
      <c r="CO25" s="78">
        <f t="shared" si="150"/>
        <v>0</v>
      </c>
      <c r="CP25" s="78">
        <f t="shared" si="57"/>
        <v>0</v>
      </c>
      <c r="CQ25" s="78">
        <f t="shared" si="58"/>
        <v>0</v>
      </c>
      <c r="CR25" s="79">
        <f t="shared" si="59"/>
        <v>0</v>
      </c>
      <c r="CS25" s="77">
        <f t="shared" si="60"/>
        <v>0</v>
      </c>
      <c r="CT25" s="79"/>
      <c r="CU25" s="78">
        <f t="shared" si="151"/>
        <v>0</v>
      </c>
      <c r="CV25" s="78">
        <f t="shared" si="61"/>
        <v>0</v>
      </c>
      <c r="CW25" s="78">
        <f t="shared" si="62"/>
        <v>0</v>
      </c>
      <c r="CX25" s="79">
        <f t="shared" si="63"/>
        <v>0</v>
      </c>
      <c r="CY25" s="77">
        <f t="shared" si="64"/>
        <v>0</v>
      </c>
      <c r="CZ25" s="79"/>
      <c r="DA25" s="78">
        <f t="shared" si="152"/>
        <v>0</v>
      </c>
      <c r="DB25" s="78">
        <f t="shared" si="65"/>
        <v>0</v>
      </c>
      <c r="DC25" s="78">
        <f t="shared" si="66"/>
        <v>0</v>
      </c>
      <c r="DD25" s="79">
        <f t="shared" si="67"/>
        <v>0</v>
      </c>
      <c r="DE25" s="77">
        <f t="shared" si="68"/>
        <v>0</v>
      </c>
      <c r="DF25" s="79"/>
      <c r="DG25" s="78">
        <f t="shared" si="153"/>
        <v>0</v>
      </c>
      <c r="DH25" s="78">
        <f t="shared" si="69"/>
        <v>0</v>
      </c>
      <c r="DI25" s="78">
        <f t="shared" si="70"/>
        <v>0</v>
      </c>
      <c r="DJ25" s="79">
        <f t="shared" si="71"/>
        <v>0</v>
      </c>
      <c r="DK25" s="77">
        <f t="shared" si="72"/>
        <v>0</v>
      </c>
      <c r="DL25" s="79"/>
      <c r="DM25" s="78">
        <f t="shared" si="154"/>
        <v>0</v>
      </c>
      <c r="DN25" s="78">
        <f t="shared" si="73"/>
        <v>0</v>
      </c>
      <c r="DO25" s="78">
        <f t="shared" si="74"/>
        <v>0</v>
      </c>
      <c r="DP25" s="79">
        <f t="shared" si="75"/>
        <v>0</v>
      </c>
      <c r="DQ25" s="77">
        <f t="shared" si="76"/>
        <v>0</v>
      </c>
      <c r="DR25" s="79"/>
      <c r="DS25" s="78">
        <f t="shared" si="155"/>
        <v>0</v>
      </c>
      <c r="DT25" s="78">
        <f t="shared" si="77"/>
        <v>0</v>
      </c>
      <c r="DU25" s="78">
        <f t="shared" si="78"/>
        <v>0</v>
      </c>
      <c r="DV25" s="79">
        <f t="shared" si="79"/>
        <v>0</v>
      </c>
      <c r="DW25" s="77">
        <f t="shared" si="80"/>
        <v>0</v>
      </c>
      <c r="DX25" s="79"/>
      <c r="DY25" s="78">
        <f t="shared" si="156"/>
        <v>0</v>
      </c>
      <c r="DZ25" s="78">
        <f t="shared" si="81"/>
        <v>0</v>
      </c>
      <c r="EA25" s="78">
        <f t="shared" si="82"/>
        <v>0</v>
      </c>
      <c r="EB25" s="79">
        <f t="shared" si="83"/>
        <v>0</v>
      </c>
      <c r="EC25" s="77">
        <f t="shared" si="84"/>
        <v>0</v>
      </c>
      <c r="ED25" s="79"/>
      <c r="EE25" s="78">
        <f t="shared" si="157"/>
        <v>0</v>
      </c>
      <c r="EF25" s="78">
        <f t="shared" si="85"/>
        <v>0</v>
      </c>
      <c r="EG25" s="78">
        <f t="shared" si="86"/>
        <v>0</v>
      </c>
      <c r="EH25" s="79">
        <f t="shared" si="87"/>
        <v>0</v>
      </c>
      <c r="EI25" s="77">
        <f t="shared" si="88"/>
        <v>0</v>
      </c>
      <c r="EJ25" s="79"/>
      <c r="EK25" s="78">
        <f t="shared" si="158"/>
        <v>0</v>
      </c>
      <c r="EL25" s="78">
        <f t="shared" si="89"/>
        <v>0</v>
      </c>
      <c r="EM25" s="78">
        <f t="shared" si="90"/>
        <v>0</v>
      </c>
      <c r="EN25" s="79">
        <f t="shared" si="91"/>
        <v>0</v>
      </c>
      <c r="EO25" s="77">
        <f t="shared" si="92"/>
        <v>0</v>
      </c>
      <c r="EP25" s="79"/>
      <c r="EQ25" s="78">
        <f t="shared" si="159"/>
        <v>0</v>
      </c>
      <c r="ER25" s="78">
        <f t="shared" si="93"/>
        <v>0</v>
      </c>
      <c r="ES25" s="78">
        <f t="shared" si="94"/>
        <v>0</v>
      </c>
      <c r="ET25" s="79">
        <f t="shared" si="95"/>
        <v>0</v>
      </c>
      <c r="EU25" s="77">
        <f t="shared" si="96"/>
        <v>0</v>
      </c>
      <c r="EV25" s="79"/>
      <c r="EW25" s="78">
        <f t="shared" si="160"/>
        <v>0</v>
      </c>
      <c r="EX25" s="78">
        <f t="shared" si="97"/>
        <v>0</v>
      </c>
      <c r="EY25" s="78">
        <f t="shared" si="98"/>
        <v>0</v>
      </c>
      <c r="EZ25" s="79">
        <f t="shared" si="99"/>
        <v>0</v>
      </c>
      <c r="FA25" s="77">
        <f t="shared" si="100"/>
        <v>0</v>
      </c>
      <c r="FB25" s="79"/>
      <c r="FC25" s="78">
        <f t="shared" si="161"/>
        <v>0</v>
      </c>
      <c r="FD25" s="78">
        <f t="shared" si="101"/>
        <v>0</v>
      </c>
      <c r="FE25" s="78">
        <f t="shared" si="102"/>
        <v>0</v>
      </c>
      <c r="FF25" s="79">
        <f t="shared" si="103"/>
        <v>0</v>
      </c>
      <c r="FG25" s="77">
        <f t="shared" si="104"/>
        <v>0</v>
      </c>
      <c r="FH25" s="79"/>
      <c r="FI25" s="78">
        <f t="shared" si="162"/>
        <v>0</v>
      </c>
      <c r="FJ25" s="78">
        <f t="shared" si="105"/>
        <v>0</v>
      </c>
      <c r="FK25" s="78">
        <f t="shared" si="106"/>
        <v>0</v>
      </c>
      <c r="FL25" s="79">
        <f t="shared" si="107"/>
        <v>0</v>
      </c>
      <c r="FM25" s="77">
        <f t="shared" si="108"/>
        <v>0</v>
      </c>
      <c r="FN25" s="79"/>
      <c r="FO25" s="78">
        <f t="shared" si="163"/>
        <v>0</v>
      </c>
      <c r="FP25" s="78">
        <f t="shared" si="109"/>
        <v>0</v>
      </c>
      <c r="FQ25" s="78">
        <f t="shared" si="110"/>
        <v>0</v>
      </c>
      <c r="FR25" s="79">
        <f t="shared" si="111"/>
        <v>0</v>
      </c>
      <c r="FS25" s="77">
        <f t="shared" si="112"/>
        <v>0</v>
      </c>
      <c r="FT25" s="79"/>
      <c r="FU25" s="78">
        <f t="shared" si="164"/>
        <v>0</v>
      </c>
      <c r="FV25" s="78">
        <f t="shared" si="113"/>
        <v>0</v>
      </c>
      <c r="FW25" s="78">
        <f t="shared" si="114"/>
        <v>0</v>
      </c>
      <c r="FX25" s="79">
        <f t="shared" si="115"/>
        <v>0</v>
      </c>
      <c r="FY25" s="77">
        <f t="shared" si="116"/>
        <v>0</v>
      </c>
      <c r="FZ25" s="79"/>
      <c r="GA25" s="78">
        <f t="shared" si="165"/>
        <v>0</v>
      </c>
      <c r="GB25" s="78">
        <f t="shared" si="117"/>
        <v>0</v>
      </c>
      <c r="GC25" s="78">
        <f t="shared" si="118"/>
        <v>0</v>
      </c>
      <c r="GD25" s="79">
        <f t="shared" si="119"/>
        <v>0</v>
      </c>
      <c r="GE25" s="77">
        <f t="shared" si="120"/>
        <v>0</v>
      </c>
      <c r="GF25" s="79"/>
      <c r="GG25" s="78">
        <f t="shared" si="166"/>
        <v>0</v>
      </c>
      <c r="GH25" s="78">
        <f t="shared" si="121"/>
        <v>0</v>
      </c>
      <c r="GI25" s="78">
        <f t="shared" si="122"/>
        <v>0</v>
      </c>
      <c r="GJ25" s="79">
        <f t="shared" si="123"/>
        <v>0</v>
      </c>
      <c r="GK25" s="77">
        <f t="shared" si="124"/>
        <v>0</v>
      </c>
      <c r="GL25" s="79"/>
      <c r="GM25" s="78">
        <f t="shared" si="167"/>
        <v>0</v>
      </c>
      <c r="GN25" s="78">
        <f t="shared" si="125"/>
        <v>0</v>
      </c>
      <c r="GO25" s="78">
        <f t="shared" si="126"/>
        <v>0</v>
      </c>
      <c r="GP25" s="79">
        <f t="shared" si="127"/>
        <v>0</v>
      </c>
      <c r="GQ25" s="77">
        <f t="shared" si="128"/>
        <v>0</v>
      </c>
      <c r="GR25" s="79"/>
      <c r="GS25" s="78">
        <f t="shared" si="168"/>
        <v>0</v>
      </c>
      <c r="GT25" s="78">
        <f t="shared" si="129"/>
        <v>0</v>
      </c>
      <c r="GU25" s="78">
        <f t="shared" si="130"/>
        <v>0</v>
      </c>
      <c r="GV25" s="79">
        <f t="shared" si="131"/>
        <v>0</v>
      </c>
      <c r="GW25" s="77">
        <f t="shared" si="132"/>
        <v>0</v>
      </c>
      <c r="GX25" s="79"/>
      <c r="GY25" s="78">
        <f t="shared" si="169"/>
        <v>0</v>
      </c>
      <c r="GZ25" s="78">
        <f t="shared" si="133"/>
        <v>0</v>
      </c>
      <c r="HA25" s="78">
        <f t="shared" si="134"/>
        <v>0</v>
      </c>
      <c r="HB25" s="79">
        <f t="shared" si="135"/>
        <v>0</v>
      </c>
      <c r="HC25" s="77">
        <f t="shared" si="136"/>
        <v>0</v>
      </c>
      <c r="HD25" s="79"/>
      <c r="HE25" s="79"/>
      <c r="HF25" s="79"/>
      <c r="HG25" s="79"/>
      <c r="HH25" s="79"/>
      <c r="HI25" s="79"/>
    </row>
    <row r="26" spans="1:217" s="52" customFormat="1" ht="12" hidden="1">
      <c r="A26" s="51">
        <v>45200</v>
      </c>
      <c r="C26" s="80"/>
      <c r="D26" s="80"/>
      <c r="E26" s="77">
        <f t="shared" si="0"/>
        <v>0</v>
      </c>
      <c r="F26" s="77"/>
      <c r="G26" s="77"/>
      <c r="H26" s="79"/>
      <c r="I26" s="79"/>
      <c r="J26" s="79">
        <f t="shared" si="1"/>
        <v>0</v>
      </c>
      <c r="K26" s="79">
        <f t="shared" si="2"/>
        <v>0</v>
      </c>
      <c r="L26" s="79">
        <f t="shared" si="3"/>
        <v>0</v>
      </c>
      <c r="M26" s="79">
        <f t="shared" si="4"/>
        <v>0</v>
      </c>
      <c r="N26" s="79"/>
      <c r="O26" s="78"/>
      <c r="P26" s="78">
        <f t="shared" si="5"/>
        <v>0</v>
      </c>
      <c r="Q26" s="79">
        <f t="shared" si="6"/>
        <v>0</v>
      </c>
      <c r="R26" s="79">
        <f t="shared" si="7"/>
        <v>0</v>
      </c>
      <c r="S26" s="77">
        <f t="shared" si="8"/>
        <v>0</v>
      </c>
      <c r="T26" s="79"/>
      <c r="U26" s="78"/>
      <c r="V26" s="78">
        <f t="shared" si="9"/>
        <v>0</v>
      </c>
      <c r="W26" s="78">
        <f t="shared" si="10"/>
        <v>0</v>
      </c>
      <c r="X26" s="79">
        <f t="shared" si="11"/>
        <v>0</v>
      </c>
      <c r="Y26" s="77">
        <f t="shared" si="12"/>
        <v>0</v>
      </c>
      <c r="Z26" s="79"/>
      <c r="AA26" s="79"/>
      <c r="AB26" s="78">
        <f t="shared" si="13"/>
        <v>0</v>
      </c>
      <c r="AC26" s="78">
        <f t="shared" si="14"/>
        <v>0</v>
      </c>
      <c r="AD26" s="79">
        <f t="shared" si="15"/>
        <v>0</v>
      </c>
      <c r="AE26" s="77">
        <f t="shared" si="16"/>
        <v>0</v>
      </c>
      <c r="AF26" s="79"/>
      <c r="AG26" s="78"/>
      <c r="AH26" s="78">
        <f t="shared" si="17"/>
        <v>0</v>
      </c>
      <c r="AI26" s="78">
        <f t="shared" si="18"/>
        <v>0</v>
      </c>
      <c r="AJ26" s="79">
        <f t="shared" si="19"/>
        <v>0</v>
      </c>
      <c r="AK26" s="77">
        <f t="shared" si="20"/>
        <v>0</v>
      </c>
      <c r="AL26" s="79"/>
      <c r="AM26" s="78"/>
      <c r="AN26" s="78">
        <f t="shared" si="21"/>
        <v>0</v>
      </c>
      <c r="AO26" s="78">
        <f t="shared" si="22"/>
        <v>0</v>
      </c>
      <c r="AP26" s="79">
        <f t="shared" si="23"/>
        <v>0</v>
      </c>
      <c r="AQ26" s="77">
        <f t="shared" si="24"/>
        <v>0</v>
      </c>
      <c r="AR26" s="78"/>
      <c r="AS26" s="78"/>
      <c r="AT26" s="78">
        <f t="shared" si="25"/>
        <v>0</v>
      </c>
      <c r="AU26" s="78">
        <f t="shared" si="26"/>
        <v>0</v>
      </c>
      <c r="AV26" s="79">
        <f t="shared" si="27"/>
        <v>0</v>
      </c>
      <c r="AW26" s="77">
        <f t="shared" si="28"/>
        <v>0</v>
      </c>
      <c r="AX26" s="79"/>
      <c r="AY26" s="78"/>
      <c r="AZ26" s="78">
        <f t="shared" si="29"/>
        <v>0</v>
      </c>
      <c r="BA26" s="78">
        <f t="shared" si="30"/>
        <v>0</v>
      </c>
      <c r="BB26" s="79">
        <f t="shared" si="31"/>
        <v>0</v>
      </c>
      <c r="BC26" s="77">
        <f t="shared" si="32"/>
        <v>0</v>
      </c>
      <c r="BD26" s="79"/>
      <c r="BE26" s="78"/>
      <c r="BF26" s="78">
        <f t="shared" si="33"/>
        <v>0</v>
      </c>
      <c r="BG26" s="78">
        <f t="shared" si="34"/>
        <v>0</v>
      </c>
      <c r="BH26" s="79">
        <f t="shared" si="35"/>
        <v>0</v>
      </c>
      <c r="BI26" s="77">
        <f t="shared" si="36"/>
        <v>0</v>
      </c>
      <c r="BJ26" s="79"/>
      <c r="BK26" s="78"/>
      <c r="BL26" s="78">
        <f t="shared" si="37"/>
        <v>0</v>
      </c>
      <c r="BM26" s="78">
        <f t="shared" si="38"/>
        <v>0</v>
      </c>
      <c r="BN26" s="79">
        <f t="shared" si="39"/>
        <v>0</v>
      </c>
      <c r="BO26" s="77">
        <f t="shared" si="40"/>
        <v>0</v>
      </c>
      <c r="BP26" s="79"/>
      <c r="BQ26" s="78"/>
      <c r="BR26" s="78">
        <f t="shared" si="41"/>
        <v>0</v>
      </c>
      <c r="BS26" s="78">
        <f t="shared" si="42"/>
        <v>0</v>
      </c>
      <c r="BT26" s="79">
        <f t="shared" si="43"/>
        <v>0</v>
      </c>
      <c r="BU26" s="77">
        <f t="shared" si="44"/>
        <v>0</v>
      </c>
      <c r="BV26" s="79"/>
      <c r="BW26" s="78"/>
      <c r="BX26" s="78">
        <f t="shared" si="45"/>
        <v>0</v>
      </c>
      <c r="BY26" s="78">
        <f t="shared" si="46"/>
        <v>0</v>
      </c>
      <c r="BZ26" s="79">
        <f t="shared" si="47"/>
        <v>0</v>
      </c>
      <c r="CA26" s="77">
        <f t="shared" si="48"/>
        <v>0</v>
      </c>
      <c r="CB26" s="78"/>
      <c r="CC26" s="78"/>
      <c r="CD26" s="78">
        <f t="shared" si="49"/>
        <v>0</v>
      </c>
      <c r="CE26" s="78">
        <f t="shared" si="50"/>
        <v>0</v>
      </c>
      <c r="CF26" s="79">
        <f t="shared" si="51"/>
        <v>0</v>
      </c>
      <c r="CG26" s="77">
        <f t="shared" si="52"/>
        <v>0</v>
      </c>
      <c r="CH26" s="79"/>
      <c r="CI26" s="78"/>
      <c r="CJ26" s="78">
        <f t="shared" si="53"/>
        <v>0</v>
      </c>
      <c r="CK26" s="78">
        <f t="shared" si="54"/>
        <v>0</v>
      </c>
      <c r="CL26" s="79">
        <f t="shared" si="55"/>
        <v>0</v>
      </c>
      <c r="CM26" s="77">
        <f t="shared" si="56"/>
        <v>0</v>
      </c>
      <c r="CN26" s="79"/>
      <c r="CO26" s="78"/>
      <c r="CP26" s="78">
        <f t="shared" si="57"/>
        <v>0</v>
      </c>
      <c r="CQ26" s="78">
        <f t="shared" si="58"/>
        <v>0</v>
      </c>
      <c r="CR26" s="79">
        <f t="shared" si="59"/>
        <v>0</v>
      </c>
      <c r="CS26" s="77">
        <f t="shared" si="60"/>
        <v>0</v>
      </c>
      <c r="CT26" s="79"/>
      <c r="CU26" s="78"/>
      <c r="CV26" s="78">
        <f t="shared" si="61"/>
        <v>0</v>
      </c>
      <c r="CW26" s="78">
        <f t="shared" si="62"/>
        <v>0</v>
      </c>
      <c r="CX26" s="79">
        <f t="shared" si="63"/>
        <v>0</v>
      </c>
      <c r="CY26" s="77">
        <f t="shared" si="64"/>
        <v>0</v>
      </c>
      <c r="CZ26" s="79"/>
      <c r="DA26" s="78"/>
      <c r="DB26" s="78">
        <f t="shared" si="65"/>
        <v>0</v>
      </c>
      <c r="DC26" s="78">
        <f t="shared" si="66"/>
        <v>0</v>
      </c>
      <c r="DD26" s="79">
        <f t="shared" si="67"/>
        <v>0</v>
      </c>
      <c r="DE26" s="77">
        <f t="shared" si="68"/>
        <v>0</v>
      </c>
      <c r="DF26" s="79"/>
      <c r="DG26" s="78"/>
      <c r="DH26" s="78">
        <f t="shared" si="69"/>
        <v>0</v>
      </c>
      <c r="DI26" s="78">
        <f t="shared" si="70"/>
        <v>0</v>
      </c>
      <c r="DJ26" s="79">
        <f t="shared" si="71"/>
        <v>0</v>
      </c>
      <c r="DK26" s="77">
        <f t="shared" si="72"/>
        <v>0</v>
      </c>
      <c r="DL26" s="79"/>
      <c r="DM26" s="78"/>
      <c r="DN26" s="78">
        <f t="shared" si="73"/>
        <v>0</v>
      </c>
      <c r="DO26" s="78">
        <f t="shared" si="74"/>
        <v>0</v>
      </c>
      <c r="DP26" s="79">
        <f t="shared" si="75"/>
        <v>0</v>
      </c>
      <c r="DQ26" s="77">
        <f t="shared" si="76"/>
        <v>0</v>
      </c>
      <c r="DR26" s="79"/>
      <c r="DS26" s="78"/>
      <c r="DT26" s="78">
        <f t="shared" si="77"/>
        <v>0</v>
      </c>
      <c r="DU26" s="78">
        <f t="shared" si="78"/>
        <v>0</v>
      </c>
      <c r="DV26" s="79">
        <f t="shared" si="79"/>
        <v>0</v>
      </c>
      <c r="DW26" s="77">
        <f t="shared" si="80"/>
        <v>0</v>
      </c>
      <c r="DX26" s="79"/>
      <c r="DY26" s="78"/>
      <c r="DZ26" s="78">
        <f t="shared" si="81"/>
        <v>0</v>
      </c>
      <c r="EA26" s="78">
        <f t="shared" si="82"/>
        <v>0</v>
      </c>
      <c r="EB26" s="79">
        <f t="shared" si="83"/>
        <v>0</v>
      </c>
      <c r="EC26" s="77">
        <f t="shared" si="84"/>
        <v>0</v>
      </c>
      <c r="ED26" s="79"/>
      <c r="EE26" s="78"/>
      <c r="EF26" s="78">
        <f t="shared" si="85"/>
        <v>0</v>
      </c>
      <c r="EG26" s="78">
        <f t="shared" si="86"/>
        <v>0</v>
      </c>
      <c r="EH26" s="79">
        <f t="shared" si="87"/>
        <v>0</v>
      </c>
      <c r="EI26" s="77">
        <f t="shared" si="88"/>
        <v>0</v>
      </c>
      <c r="EJ26" s="79"/>
      <c r="EK26" s="78"/>
      <c r="EL26" s="78">
        <f t="shared" si="89"/>
        <v>0</v>
      </c>
      <c r="EM26" s="78">
        <f t="shared" si="90"/>
        <v>0</v>
      </c>
      <c r="EN26" s="79">
        <f t="shared" si="91"/>
        <v>0</v>
      </c>
      <c r="EO26" s="77">
        <f t="shared" si="92"/>
        <v>0</v>
      </c>
      <c r="EP26" s="79"/>
      <c r="EQ26" s="78"/>
      <c r="ER26" s="78">
        <f t="shared" si="93"/>
        <v>0</v>
      </c>
      <c r="ES26" s="78">
        <f t="shared" si="94"/>
        <v>0</v>
      </c>
      <c r="ET26" s="79">
        <f t="shared" si="95"/>
        <v>0</v>
      </c>
      <c r="EU26" s="77">
        <f t="shared" si="96"/>
        <v>0</v>
      </c>
      <c r="EV26" s="79"/>
      <c r="EW26" s="78"/>
      <c r="EX26" s="78">
        <f t="shared" si="97"/>
        <v>0</v>
      </c>
      <c r="EY26" s="78">
        <f t="shared" si="98"/>
        <v>0</v>
      </c>
      <c r="EZ26" s="79">
        <f t="shared" si="99"/>
        <v>0</v>
      </c>
      <c r="FA26" s="77">
        <f t="shared" si="100"/>
        <v>0</v>
      </c>
      <c r="FB26" s="79"/>
      <c r="FC26" s="78"/>
      <c r="FD26" s="78">
        <f t="shared" si="101"/>
        <v>0</v>
      </c>
      <c r="FE26" s="78">
        <f t="shared" si="102"/>
        <v>0</v>
      </c>
      <c r="FF26" s="79">
        <f t="shared" si="103"/>
        <v>0</v>
      </c>
      <c r="FG26" s="77">
        <f t="shared" si="104"/>
        <v>0</v>
      </c>
      <c r="FH26" s="79"/>
      <c r="FI26" s="78"/>
      <c r="FJ26" s="78">
        <f t="shared" si="105"/>
        <v>0</v>
      </c>
      <c r="FK26" s="78">
        <f t="shared" si="106"/>
        <v>0</v>
      </c>
      <c r="FL26" s="79">
        <f t="shared" si="107"/>
        <v>0</v>
      </c>
      <c r="FM26" s="77">
        <f t="shared" si="108"/>
        <v>0</v>
      </c>
      <c r="FN26" s="79"/>
      <c r="FO26" s="78"/>
      <c r="FP26" s="78">
        <f t="shared" si="109"/>
        <v>0</v>
      </c>
      <c r="FQ26" s="78">
        <f t="shared" si="110"/>
        <v>0</v>
      </c>
      <c r="FR26" s="79">
        <f t="shared" si="111"/>
        <v>0</v>
      </c>
      <c r="FS26" s="77">
        <f t="shared" si="112"/>
        <v>0</v>
      </c>
      <c r="FT26" s="79"/>
      <c r="FU26" s="78"/>
      <c r="FV26" s="78">
        <f t="shared" si="113"/>
        <v>0</v>
      </c>
      <c r="FW26" s="78">
        <f t="shared" si="114"/>
        <v>0</v>
      </c>
      <c r="FX26" s="79">
        <f t="shared" si="115"/>
        <v>0</v>
      </c>
      <c r="FY26" s="77">
        <f t="shared" si="116"/>
        <v>0</v>
      </c>
      <c r="FZ26" s="79"/>
      <c r="GA26" s="78"/>
      <c r="GB26" s="78">
        <f t="shared" si="117"/>
        <v>0</v>
      </c>
      <c r="GC26" s="78">
        <f t="shared" si="118"/>
        <v>0</v>
      </c>
      <c r="GD26" s="79">
        <f t="shared" si="119"/>
        <v>0</v>
      </c>
      <c r="GE26" s="77">
        <f t="shared" si="120"/>
        <v>0</v>
      </c>
      <c r="GF26" s="79"/>
      <c r="GG26" s="78"/>
      <c r="GH26" s="78">
        <f t="shared" si="121"/>
        <v>0</v>
      </c>
      <c r="GI26" s="78">
        <f t="shared" si="122"/>
        <v>0</v>
      </c>
      <c r="GJ26" s="79">
        <f t="shared" si="123"/>
        <v>0</v>
      </c>
      <c r="GK26" s="77">
        <f t="shared" si="124"/>
        <v>0</v>
      </c>
      <c r="GL26" s="79"/>
      <c r="GM26" s="78"/>
      <c r="GN26" s="78">
        <f t="shared" si="125"/>
        <v>0</v>
      </c>
      <c r="GO26" s="78">
        <f t="shared" si="126"/>
        <v>0</v>
      </c>
      <c r="GP26" s="79">
        <f t="shared" si="127"/>
        <v>0</v>
      </c>
      <c r="GQ26" s="77">
        <f t="shared" si="128"/>
        <v>0</v>
      </c>
      <c r="GR26" s="79"/>
      <c r="GS26" s="78"/>
      <c r="GT26" s="78">
        <f t="shared" si="129"/>
        <v>0</v>
      </c>
      <c r="GU26" s="78">
        <f t="shared" si="130"/>
        <v>0</v>
      </c>
      <c r="GV26" s="79">
        <f t="shared" si="131"/>
        <v>0</v>
      </c>
      <c r="GW26" s="77">
        <f t="shared" si="132"/>
        <v>0</v>
      </c>
      <c r="GX26" s="79"/>
      <c r="GY26" s="78"/>
      <c r="GZ26" s="78">
        <f t="shared" si="133"/>
        <v>0</v>
      </c>
      <c r="HA26" s="78">
        <f t="shared" si="134"/>
        <v>0</v>
      </c>
      <c r="HB26" s="79">
        <f t="shared" si="135"/>
        <v>0</v>
      </c>
      <c r="HC26" s="77">
        <f t="shared" si="136"/>
        <v>0</v>
      </c>
      <c r="HD26" s="79"/>
      <c r="HE26" s="79"/>
      <c r="HF26" s="79"/>
      <c r="HG26" s="79"/>
      <c r="HH26" s="79"/>
      <c r="HI26" s="79"/>
    </row>
    <row r="27" spans="1:217" s="52" customFormat="1" ht="12" hidden="1">
      <c r="A27" s="51">
        <v>45383</v>
      </c>
      <c r="C27" s="80"/>
      <c r="D27" s="80"/>
      <c r="E27" s="77">
        <f t="shared" si="0"/>
        <v>0</v>
      </c>
      <c r="F27" s="77"/>
      <c r="G27" s="77"/>
      <c r="H27" s="79"/>
      <c r="I27" s="79">
        <f>O27+U27+AA27+AG27+AM27+AS27+AY27+BE27+BK27+BQ27+BW27+CC27+CI27+CO27+CU27+DA27+DG27+DM27+DS27+DY27+EE27+EK27+EQ27+EW27+FC27+FI27+FO27+FU27+GA27+GG27+GM27+GS27+GY27</f>
        <v>0</v>
      </c>
      <c r="J27" s="79">
        <f t="shared" si="1"/>
        <v>0</v>
      </c>
      <c r="K27" s="79">
        <f t="shared" si="2"/>
        <v>0</v>
      </c>
      <c r="L27" s="79">
        <f t="shared" si="3"/>
        <v>0</v>
      </c>
      <c r="M27" s="79">
        <f t="shared" si="4"/>
        <v>0</v>
      </c>
      <c r="N27" s="79"/>
      <c r="O27" s="78">
        <f t="shared" si="137"/>
        <v>0</v>
      </c>
      <c r="P27" s="78">
        <f t="shared" si="5"/>
        <v>0</v>
      </c>
      <c r="Q27" s="79">
        <f>O27+P27</f>
        <v>0</v>
      </c>
      <c r="R27" s="79">
        <f t="shared" si="7"/>
        <v>0</v>
      </c>
      <c r="S27" s="77">
        <f t="shared" si="8"/>
        <v>0</v>
      </c>
      <c r="T27" s="79"/>
      <c r="U27" s="78">
        <f t="shared" si="138"/>
        <v>0</v>
      </c>
      <c r="V27" s="78">
        <f t="shared" si="9"/>
        <v>0</v>
      </c>
      <c r="W27" s="78">
        <f t="shared" si="10"/>
        <v>0</v>
      </c>
      <c r="X27" s="79">
        <f t="shared" si="11"/>
        <v>0</v>
      </c>
      <c r="Y27" s="77">
        <f t="shared" si="12"/>
        <v>0</v>
      </c>
      <c r="Z27" s="79"/>
      <c r="AA27" s="79">
        <f t="shared" si="139"/>
        <v>0</v>
      </c>
      <c r="AB27" s="78">
        <f t="shared" si="13"/>
        <v>0</v>
      </c>
      <c r="AC27" s="78">
        <f t="shared" si="14"/>
        <v>0</v>
      </c>
      <c r="AD27" s="79">
        <f t="shared" si="15"/>
        <v>0</v>
      </c>
      <c r="AE27" s="77">
        <f t="shared" si="16"/>
        <v>0</v>
      </c>
      <c r="AF27" s="79"/>
      <c r="AG27" s="78">
        <f t="shared" si="140"/>
        <v>0</v>
      </c>
      <c r="AH27" s="78">
        <f t="shared" si="17"/>
        <v>0</v>
      </c>
      <c r="AI27" s="78">
        <f t="shared" si="18"/>
        <v>0</v>
      </c>
      <c r="AJ27" s="79">
        <f t="shared" si="19"/>
        <v>0</v>
      </c>
      <c r="AK27" s="77">
        <f t="shared" si="20"/>
        <v>0</v>
      </c>
      <c r="AL27" s="79"/>
      <c r="AM27" s="78">
        <f t="shared" si="141"/>
        <v>0</v>
      </c>
      <c r="AN27" s="78">
        <f t="shared" si="21"/>
        <v>0</v>
      </c>
      <c r="AO27" s="78">
        <f t="shared" si="22"/>
        <v>0</v>
      </c>
      <c r="AP27" s="79">
        <f t="shared" si="23"/>
        <v>0</v>
      </c>
      <c r="AQ27" s="77">
        <f t="shared" si="24"/>
        <v>0</v>
      </c>
      <c r="AR27" s="78"/>
      <c r="AS27" s="78">
        <f t="shared" si="142"/>
        <v>0</v>
      </c>
      <c r="AT27" s="78">
        <f t="shared" si="25"/>
        <v>0</v>
      </c>
      <c r="AU27" s="78">
        <f t="shared" si="26"/>
        <v>0</v>
      </c>
      <c r="AV27" s="79">
        <f t="shared" si="27"/>
        <v>0</v>
      </c>
      <c r="AW27" s="77">
        <f t="shared" si="28"/>
        <v>0</v>
      </c>
      <c r="AX27" s="79"/>
      <c r="AY27" s="78">
        <f t="shared" si="143"/>
        <v>0</v>
      </c>
      <c r="AZ27" s="78">
        <f t="shared" si="29"/>
        <v>0</v>
      </c>
      <c r="BA27" s="78">
        <f t="shared" si="30"/>
        <v>0</v>
      </c>
      <c r="BB27" s="79">
        <f t="shared" si="31"/>
        <v>0</v>
      </c>
      <c r="BC27" s="77">
        <f t="shared" si="32"/>
        <v>0</v>
      </c>
      <c r="BD27" s="79"/>
      <c r="BE27" s="78">
        <f t="shared" si="144"/>
        <v>0</v>
      </c>
      <c r="BF27" s="78">
        <f t="shared" si="33"/>
        <v>0</v>
      </c>
      <c r="BG27" s="78">
        <f t="shared" si="34"/>
        <v>0</v>
      </c>
      <c r="BH27" s="79">
        <f t="shared" si="35"/>
        <v>0</v>
      </c>
      <c r="BI27" s="77">
        <f t="shared" si="36"/>
        <v>0</v>
      </c>
      <c r="BJ27" s="79"/>
      <c r="BK27" s="78">
        <f t="shared" si="145"/>
        <v>0</v>
      </c>
      <c r="BL27" s="78">
        <f t="shared" si="37"/>
        <v>0</v>
      </c>
      <c r="BM27" s="78">
        <f t="shared" si="38"/>
        <v>0</v>
      </c>
      <c r="BN27" s="79">
        <f t="shared" si="39"/>
        <v>0</v>
      </c>
      <c r="BO27" s="77">
        <f t="shared" si="40"/>
        <v>0</v>
      </c>
      <c r="BP27" s="79"/>
      <c r="BQ27" s="78">
        <f t="shared" si="146"/>
        <v>0</v>
      </c>
      <c r="BR27" s="78">
        <f t="shared" si="41"/>
        <v>0</v>
      </c>
      <c r="BS27" s="78">
        <f t="shared" si="42"/>
        <v>0</v>
      </c>
      <c r="BT27" s="79">
        <f t="shared" si="43"/>
        <v>0</v>
      </c>
      <c r="BU27" s="77">
        <f t="shared" si="44"/>
        <v>0</v>
      </c>
      <c r="BV27" s="79"/>
      <c r="BW27" s="78">
        <f t="shared" si="147"/>
        <v>0</v>
      </c>
      <c r="BX27" s="78">
        <f t="shared" si="45"/>
        <v>0</v>
      </c>
      <c r="BY27" s="78">
        <f t="shared" si="46"/>
        <v>0</v>
      </c>
      <c r="BZ27" s="79">
        <f t="shared" si="47"/>
        <v>0</v>
      </c>
      <c r="CA27" s="77">
        <f t="shared" si="48"/>
        <v>0</v>
      </c>
      <c r="CB27" s="78"/>
      <c r="CC27" s="78">
        <f t="shared" si="148"/>
        <v>0</v>
      </c>
      <c r="CD27" s="78">
        <f t="shared" si="49"/>
        <v>0</v>
      </c>
      <c r="CE27" s="78">
        <f t="shared" si="50"/>
        <v>0</v>
      </c>
      <c r="CF27" s="79">
        <f t="shared" si="51"/>
        <v>0</v>
      </c>
      <c r="CG27" s="77">
        <f t="shared" si="52"/>
        <v>0</v>
      </c>
      <c r="CH27" s="79"/>
      <c r="CI27" s="78">
        <f t="shared" si="149"/>
        <v>0</v>
      </c>
      <c r="CJ27" s="78">
        <f t="shared" si="53"/>
        <v>0</v>
      </c>
      <c r="CK27" s="78">
        <f t="shared" si="54"/>
        <v>0</v>
      </c>
      <c r="CL27" s="79">
        <f t="shared" si="55"/>
        <v>0</v>
      </c>
      <c r="CM27" s="77">
        <f t="shared" si="56"/>
        <v>0</v>
      </c>
      <c r="CN27" s="79"/>
      <c r="CO27" s="78">
        <f t="shared" si="150"/>
        <v>0</v>
      </c>
      <c r="CP27" s="78">
        <f t="shared" si="57"/>
        <v>0</v>
      </c>
      <c r="CQ27" s="78">
        <f t="shared" si="58"/>
        <v>0</v>
      </c>
      <c r="CR27" s="79">
        <f t="shared" si="59"/>
        <v>0</v>
      </c>
      <c r="CS27" s="77">
        <f t="shared" si="60"/>
        <v>0</v>
      </c>
      <c r="CT27" s="79"/>
      <c r="CU27" s="78">
        <f t="shared" si="151"/>
        <v>0</v>
      </c>
      <c r="CV27" s="78">
        <f t="shared" si="61"/>
        <v>0</v>
      </c>
      <c r="CW27" s="78">
        <f t="shared" si="62"/>
        <v>0</v>
      </c>
      <c r="CX27" s="79">
        <f t="shared" si="63"/>
        <v>0</v>
      </c>
      <c r="CY27" s="77">
        <f t="shared" si="64"/>
        <v>0</v>
      </c>
      <c r="CZ27" s="79"/>
      <c r="DA27" s="78">
        <f t="shared" si="152"/>
        <v>0</v>
      </c>
      <c r="DB27" s="78">
        <f t="shared" si="65"/>
        <v>0</v>
      </c>
      <c r="DC27" s="78">
        <f t="shared" si="66"/>
        <v>0</v>
      </c>
      <c r="DD27" s="79">
        <f t="shared" si="67"/>
        <v>0</v>
      </c>
      <c r="DE27" s="77">
        <f t="shared" si="68"/>
        <v>0</v>
      </c>
      <c r="DF27" s="79"/>
      <c r="DG27" s="78">
        <f t="shared" si="153"/>
        <v>0</v>
      </c>
      <c r="DH27" s="78">
        <f t="shared" si="69"/>
        <v>0</v>
      </c>
      <c r="DI27" s="78">
        <f t="shared" si="70"/>
        <v>0</v>
      </c>
      <c r="DJ27" s="79">
        <f t="shared" si="71"/>
        <v>0</v>
      </c>
      <c r="DK27" s="77">
        <f t="shared" si="72"/>
        <v>0</v>
      </c>
      <c r="DL27" s="79"/>
      <c r="DM27" s="78">
        <f t="shared" si="154"/>
        <v>0</v>
      </c>
      <c r="DN27" s="78">
        <f t="shared" si="73"/>
        <v>0</v>
      </c>
      <c r="DO27" s="78">
        <f t="shared" si="74"/>
        <v>0</v>
      </c>
      <c r="DP27" s="79">
        <f t="shared" si="75"/>
        <v>0</v>
      </c>
      <c r="DQ27" s="77">
        <f t="shared" si="76"/>
        <v>0</v>
      </c>
      <c r="DR27" s="79"/>
      <c r="DS27" s="78">
        <f t="shared" si="155"/>
        <v>0</v>
      </c>
      <c r="DT27" s="78">
        <f t="shared" si="77"/>
        <v>0</v>
      </c>
      <c r="DU27" s="78">
        <f t="shared" si="78"/>
        <v>0</v>
      </c>
      <c r="DV27" s="79">
        <f t="shared" si="79"/>
        <v>0</v>
      </c>
      <c r="DW27" s="77">
        <f t="shared" si="80"/>
        <v>0</v>
      </c>
      <c r="DX27" s="79"/>
      <c r="DY27" s="78">
        <f t="shared" si="156"/>
        <v>0</v>
      </c>
      <c r="DZ27" s="78">
        <f t="shared" si="81"/>
        <v>0</v>
      </c>
      <c r="EA27" s="78">
        <f t="shared" si="82"/>
        <v>0</v>
      </c>
      <c r="EB27" s="79">
        <f t="shared" si="83"/>
        <v>0</v>
      </c>
      <c r="EC27" s="77">
        <f t="shared" si="84"/>
        <v>0</v>
      </c>
      <c r="ED27" s="79"/>
      <c r="EE27" s="78">
        <f t="shared" si="157"/>
        <v>0</v>
      </c>
      <c r="EF27" s="78">
        <f t="shared" si="85"/>
        <v>0</v>
      </c>
      <c r="EG27" s="78">
        <f t="shared" si="86"/>
        <v>0</v>
      </c>
      <c r="EH27" s="79">
        <f t="shared" si="87"/>
        <v>0</v>
      </c>
      <c r="EI27" s="77">
        <f t="shared" si="88"/>
        <v>0</v>
      </c>
      <c r="EJ27" s="79"/>
      <c r="EK27" s="78">
        <f t="shared" si="158"/>
        <v>0</v>
      </c>
      <c r="EL27" s="78">
        <f t="shared" si="89"/>
        <v>0</v>
      </c>
      <c r="EM27" s="78">
        <f t="shared" si="90"/>
        <v>0</v>
      </c>
      <c r="EN27" s="79">
        <f t="shared" si="91"/>
        <v>0</v>
      </c>
      <c r="EO27" s="77">
        <f t="shared" si="92"/>
        <v>0</v>
      </c>
      <c r="EP27" s="79"/>
      <c r="EQ27" s="78">
        <f t="shared" si="159"/>
        <v>0</v>
      </c>
      <c r="ER27" s="78">
        <f t="shared" si="93"/>
        <v>0</v>
      </c>
      <c r="ES27" s="78">
        <f t="shared" si="94"/>
        <v>0</v>
      </c>
      <c r="ET27" s="79">
        <f t="shared" si="95"/>
        <v>0</v>
      </c>
      <c r="EU27" s="77">
        <f t="shared" si="96"/>
        <v>0</v>
      </c>
      <c r="EV27" s="79"/>
      <c r="EW27" s="78">
        <f t="shared" si="160"/>
        <v>0</v>
      </c>
      <c r="EX27" s="78">
        <f t="shared" si="97"/>
        <v>0</v>
      </c>
      <c r="EY27" s="78">
        <f t="shared" si="98"/>
        <v>0</v>
      </c>
      <c r="EZ27" s="79">
        <f t="shared" si="99"/>
        <v>0</v>
      </c>
      <c r="FA27" s="77">
        <f t="shared" si="100"/>
        <v>0</v>
      </c>
      <c r="FB27" s="79"/>
      <c r="FC27" s="78">
        <f t="shared" si="161"/>
        <v>0</v>
      </c>
      <c r="FD27" s="78">
        <f t="shared" si="101"/>
        <v>0</v>
      </c>
      <c r="FE27" s="78">
        <f t="shared" si="102"/>
        <v>0</v>
      </c>
      <c r="FF27" s="79">
        <f t="shared" si="103"/>
        <v>0</v>
      </c>
      <c r="FG27" s="77">
        <f t="shared" si="104"/>
        <v>0</v>
      </c>
      <c r="FH27" s="79"/>
      <c r="FI27" s="78">
        <f t="shared" si="162"/>
        <v>0</v>
      </c>
      <c r="FJ27" s="78">
        <f t="shared" si="105"/>
        <v>0</v>
      </c>
      <c r="FK27" s="78">
        <f t="shared" si="106"/>
        <v>0</v>
      </c>
      <c r="FL27" s="79">
        <f t="shared" si="107"/>
        <v>0</v>
      </c>
      <c r="FM27" s="77">
        <f t="shared" si="108"/>
        <v>0</v>
      </c>
      <c r="FN27" s="79"/>
      <c r="FO27" s="78">
        <f t="shared" si="163"/>
        <v>0</v>
      </c>
      <c r="FP27" s="78">
        <f t="shared" si="109"/>
        <v>0</v>
      </c>
      <c r="FQ27" s="78">
        <f t="shared" si="110"/>
        <v>0</v>
      </c>
      <c r="FR27" s="79">
        <f t="shared" si="111"/>
        <v>0</v>
      </c>
      <c r="FS27" s="77">
        <f t="shared" si="112"/>
        <v>0</v>
      </c>
      <c r="FT27" s="79"/>
      <c r="FU27" s="78">
        <f t="shared" si="164"/>
        <v>0</v>
      </c>
      <c r="FV27" s="78">
        <f t="shared" si="113"/>
        <v>0</v>
      </c>
      <c r="FW27" s="78">
        <f t="shared" si="114"/>
        <v>0</v>
      </c>
      <c r="FX27" s="79">
        <f t="shared" si="115"/>
        <v>0</v>
      </c>
      <c r="FY27" s="77">
        <f t="shared" si="116"/>
        <v>0</v>
      </c>
      <c r="FZ27" s="79"/>
      <c r="GA27" s="78">
        <f t="shared" si="165"/>
        <v>0</v>
      </c>
      <c r="GB27" s="78">
        <f t="shared" si="117"/>
        <v>0</v>
      </c>
      <c r="GC27" s="78">
        <f t="shared" si="118"/>
        <v>0</v>
      </c>
      <c r="GD27" s="79">
        <f t="shared" si="119"/>
        <v>0</v>
      </c>
      <c r="GE27" s="77">
        <f t="shared" si="120"/>
        <v>0</v>
      </c>
      <c r="GF27" s="79"/>
      <c r="GG27" s="78">
        <f t="shared" si="166"/>
        <v>0</v>
      </c>
      <c r="GH27" s="78">
        <f t="shared" si="121"/>
        <v>0</v>
      </c>
      <c r="GI27" s="78">
        <f t="shared" si="122"/>
        <v>0</v>
      </c>
      <c r="GJ27" s="79">
        <f t="shared" si="123"/>
        <v>0</v>
      </c>
      <c r="GK27" s="77">
        <f t="shared" si="124"/>
        <v>0</v>
      </c>
      <c r="GL27" s="79"/>
      <c r="GM27" s="78">
        <f t="shared" si="167"/>
        <v>0</v>
      </c>
      <c r="GN27" s="78">
        <f t="shared" si="125"/>
        <v>0</v>
      </c>
      <c r="GO27" s="78">
        <f t="shared" si="126"/>
        <v>0</v>
      </c>
      <c r="GP27" s="79">
        <f t="shared" si="127"/>
        <v>0</v>
      </c>
      <c r="GQ27" s="77">
        <f t="shared" si="128"/>
        <v>0</v>
      </c>
      <c r="GR27" s="79"/>
      <c r="GS27" s="78">
        <f t="shared" si="168"/>
        <v>0</v>
      </c>
      <c r="GT27" s="78">
        <f t="shared" si="129"/>
        <v>0</v>
      </c>
      <c r="GU27" s="78">
        <f t="shared" si="130"/>
        <v>0</v>
      </c>
      <c r="GV27" s="79">
        <f t="shared" si="131"/>
        <v>0</v>
      </c>
      <c r="GW27" s="77">
        <f t="shared" si="132"/>
        <v>0</v>
      </c>
      <c r="GX27" s="79"/>
      <c r="GY27" s="78">
        <f t="shared" si="169"/>
        <v>0</v>
      </c>
      <c r="GZ27" s="78">
        <f t="shared" si="133"/>
        <v>0</v>
      </c>
      <c r="HA27" s="78">
        <f t="shared" si="134"/>
        <v>0</v>
      </c>
      <c r="HB27" s="79">
        <f t="shared" si="135"/>
        <v>0</v>
      </c>
      <c r="HC27" s="77">
        <f t="shared" si="136"/>
        <v>0</v>
      </c>
      <c r="HD27" s="79"/>
      <c r="HE27" s="79"/>
      <c r="HF27" s="79"/>
      <c r="HG27" s="79"/>
      <c r="HH27" s="79"/>
      <c r="HI27" s="79"/>
    </row>
    <row r="28" spans="3:217" ht="12">
      <c r="C28" s="80"/>
      <c r="D28" s="80"/>
      <c r="E28" s="80"/>
      <c r="F28" s="80"/>
      <c r="G28" s="80"/>
      <c r="H28" s="78"/>
      <c r="I28" s="78"/>
      <c r="J28" s="79"/>
      <c r="K28" s="78"/>
      <c r="L28" s="78"/>
      <c r="M28" s="80"/>
      <c r="N28" s="78"/>
      <c r="O28" s="78"/>
      <c r="P28" s="78"/>
      <c r="Q28" s="78"/>
      <c r="R28" s="78"/>
      <c r="S28" s="80"/>
      <c r="T28" s="78"/>
      <c r="U28" s="78"/>
      <c r="V28" s="78"/>
      <c r="W28" s="78"/>
      <c r="X28" s="78"/>
      <c r="Y28" s="80"/>
      <c r="Z28" s="78"/>
      <c r="AA28" s="79"/>
      <c r="AB28" s="78"/>
      <c r="AC28" s="78"/>
      <c r="AD28" s="78"/>
      <c r="AE28" s="80"/>
      <c r="AF28" s="78"/>
      <c r="AG28" s="78"/>
      <c r="AH28" s="78"/>
      <c r="AI28" s="78"/>
      <c r="AJ28" s="78"/>
      <c r="AK28" s="80"/>
      <c r="AL28" s="78"/>
      <c r="AM28" s="78"/>
      <c r="AN28" s="78"/>
      <c r="AO28" s="78"/>
      <c r="AP28" s="78"/>
      <c r="AQ28" s="80"/>
      <c r="AR28" s="78"/>
      <c r="AS28" s="78"/>
      <c r="AT28" s="78"/>
      <c r="AU28" s="78"/>
      <c r="AV28" s="78"/>
      <c r="AW28" s="80"/>
      <c r="AX28" s="78"/>
      <c r="AY28" s="78"/>
      <c r="AZ28" s="78"/>
      <c r="BA28" s="78"/>
      <c r="BB28" s="78"/>
      <c r="BC28" s="80"/>
      <c r="BD28" s="78"/>
      <c r="BE28" s="78"/>
      <c r="BF28" s="78"/>
      <c r="BG28" s="78"/>
      <c r="BH28" s="78"/>
      <c r="BI28" s="80"/>
      <c r="BJ28" s="78"/>
      <c r="BK28" s="78"/>
      <c r="BL28" s="78"/>
      <c r="BM28" s="78"/>
      <c r="BN28" s="78"/>
      <c r="BO28" s="80"/>
      <c r="BP28" s="78"/>
      <c r="BQ28" s="78"/>
      <c r="BR28" s="78"/>
      <c r="BS28" s="78"/>
      <c r="BT28" s="78"/>
      <c r="BU28" s="80"/>
      <c r="BV28" s="78"/>
      <c r="BW28" s="78"/>
      <c r="BX28" s="78"/>
      <c r="BY28" s="78"/>
      <c r="BZ28" s="78"/>
      <c r="CA28" s="80"/>
      <c r="CB28" s="78"/>
      <c r="CC28" s="78"/>
      <c r="CD28" s="78"/>
      <c r="CE28" s="78"/>
      <c r="CF28" s="78"/>
      <c r="CG28" s="80"/>
      <c r="CH28" s="78"/>
      <c r="CI28" s="78"/>
      <c r="CJ28" s="78"/>
      <c r="CK28" s="78"/>
      <c r="CL28" s="78"/>
      <c r="CM28" s="80"/>
      <c r="CN28" s="78"/>
      <c r="CO28" s="78"/>
      <c r="CP28" s="78"/>
      <c r="CQ28" s="78"/>
      <c r="CR28" s="78"/>
      <c r="CS28" s="80"/>
      <c r="CT28" s="78"/>
      <c r="CU28" s="78"/>
      <c r="CV28" s="78"/>
      <c r="CW28" s="78"/>
      <c r="CX28" s="78"/>
      <c r="CY28" s="80"/>
      <c r="CZ28" s="78"/>
      <c r="DA28" s="78"/>
      <c r="DB28" s="78"/>
      <c r="DC28" s="78"/>
      <c r="DD28" s="78"/>
      <c r="DE28" s="80"/>
      <c r="DF28" s="78"/>
      <c r="DG28" s="78"/>
      <c r="DH28" s="78"/>
      <c r="DI28" s="78"/>
      <c r="DJ28" s="78"/>
      <c r="DK28" s="80"/>
      <c r="DL28" s="78"/>
      <c r="DM28" s="78"/>
      <c r="DN28" s="78"/>
      <c r="DO28" s="78"/>
      <c r="DP28" s="78"/>
      <c r="DQ28" s="80"/>
      <c r="DR28" s="78"/>
      <c r="DS28" s="78"/>
      <c r="DT28" s="78"/>
      <c r="DU28" s="78"/>
      <c r="DV28" s="78"/>
      <c r="DW28" s="80"/>
      <c r="DX28" s="78"/>
      <c r="DY28" s="78"/>
      <c r="DZ28" s="78"/>
      <c r="EA28" s="78"/>
      <c r="EB28" s="78"/>
      <c r="EC28" s="80"/>
      <c r="ED28" s="78"/>
      <c r="EE28" s="78"/>
      <c r="EF28" s="78"/>
      <c r="EG28" s="78"/>
      <c r="EH28" s="78"/>
      <c r="EI28" s="80"/>
      <c r="EJ28" s="78"/>
      <c r="EK28" s="78"/>
      <c r="EL28" s="78"/>
      <c r="EM28" s="78"/>
      <c r="EN28" s="78"/>
      <c r="EO28" s="80"/>
      <c r="EP28" s="78"/>
      <c r="EQ28" s="78"/>
      <c r="ER28" s="78"/>
      <c r="ES28" s="78"/>
      <c r="ET28" s="78"/>
      <c r="EU28" s="80"/>
      <c r="EV28" s="78"/>
      <c r="EW28" s="78"/>
      <c r="EX28" s="78"/>
      <c r="EY28" s="78"/>
      <c r="EZ28" s="78"/>
      <c r="FA28" s="80"/>
      <c r="FB28" s="78"/>
      <c r="FC28" s="78"/>
      <c r="FD28" s="78"/>
      <c r="FE28" s="78"/>
      <c r="FF28" s="78"/>
      <c r="FG28" s="80"/>
      <c r="FH28" s="78"/>
      <c r="FI28" s="78"/>
      <c r="FJ28" s="78"/>
      <c r="FK28" s="78"/>
      <c r="FL28" s="78"/>
      <c r="FM28" s="80"/>
      <c r="FN28" s="78"/>
      <c r="FO28" s="78"/>
      <c r="FP28" s="78"/>
      <c r="FQ28" s="78"/>
      <c r="FR28" s="78"/>
      <c r="FS28" s="80"/>
      <c r="FT28" s="78"/>
      <c r="FU28" s="78"/>
      <c r="FV28" s="78"/>
      <c r="FW28" s="78"/>
      <c r="FX28" s="78"/>
      <c r="FY28" s="80"/>
      <c r="FZ28" s="78"/>
      <c r="GA28" s="78"/>
      <c r="GB28" s="78"/>
      <c r="GC28" s="78"/>
      <c r="GD28" s="78"/>
      <c r="GE28" s="80"/>
      <c r="GF28" s="78"/>
      <c r="GG28" s="78"/>
      <c r="GH28" s="78"/>
      <c r="GI28" s="78"/>
      <c r="GJ28" s="78"/>
      <c r="GK28" s="80"/>
      <c r="GL28" s="78"/>
      <c r="GM28" s="78"/>
      <c r="GN28" s="78"/>
      <c r="GO28" s="78"/>
      <c r="GP28" s="78"/>
      <c r="GQ28" s="80"/>
      <c r="GR28" s="78"/>
      <c r="GS28" s="78"/>
      <c r="GT28" s="78"/>
      <c r="GU28" s="78"/>
      <c r="GV28" s="78"/>
      <c r="GW28" s="80"/>
      <c r="GX28" s="78"/>
      <c r="GY28" s="78"/>
      <c r="GZ28" s="78"/>
      <c r="HA28" s="78"/>
      <c r="HB28" s="78"/>
      <c r="HC28" s="80"/>
      <c r="HD28" s="78"/>
      <c r="HE28" s="78"/>
      <c r="HF28" s="78"/>
      <c r="HG28" s="78"/>
      <c r="HH28" s="78"/>
      <c r="HI28" s="78"/>
    </row>
    <row r="29" spans="1:217" ht="12.75" thickBot="1">
      <c r="A29" s="31" t="s">
        <v>4</v>
      </c>
      <c r="C29" s="81">
        <f>SUM(C8:C28)</f>
        <v>16195000</v>
      </c>
      <c r="D29" s="81">
        <f>SUM(D8:D28)</f>
        <v>1738750</v>
      </c>
      <c r="E29" s="81">
        <f>SUM(E8:E28)</f>
        <v>17933750</v>
      </c>
      <c r="F29" s="81">
        <f>SUM(F8:F28)</f>
        <v>613051</v>
      </c>
      <c r="G29" s="81">
        <f>SUM(G8:G28)</f>
        <v>258202</v>
      </c>
      <c r="H29" s="78"/>
      <c r="I29" s="81">
        <f>SUM(I8:I28)</f>
        <v>8791065.4505</v>
      </c>
      <c r="J29" s="81">
        <f>SUM(J8:J28)</f>
        <v>943838.5336249997</v>
      </c>
      <c r="K29" s="81">
        <f>SUM(K8:K28)</f>
        <v>9734903.984125</v>
      </c>
      <c r="L29" s="81">
        <f>SUM(L8:L28)</f>
        <v>332779.96082090016</v>
      </c>
      <c r="M29" s="81">
        <f>SUM(M8:M28)</f>
        <v>140158.73303180002</v>
      </c>
      <c r="N29" s="78"/>
      <c r="O29" s="81">
        <f>SUM(O8:O28)</f>
        <v>1071221.514</v>
      </c>
      <c r="P29" s="81">
        <f>SUM(P8:P28)</f>
        <v>115009.96650000002</v>
      </c>
      <c r="Q29" s="81">
        <f>SUM(Q8:Q28)</f>
        <v>1186231.4804999998</v>
      </c>
      <c r="R29" s="81">
        <f>SUM(R8:R28)</f>
        <v>40550.38100519999</v>
      </c>
      <c r="S29" s="81">
        <f>SUM(S8:S28)</f>
        <v>17078.822930400005</v>
      </c>
      <c r="T29" s="78"/>
      <c r="U29" s="81">
        <f>SUM(U8:U28)</f>
        <v>18293.872000000003</v>
      </c>
      <c r="V29" s="81">
        <f>SUM(V8:V28)</f>
        <v>1964.0920000000006</v>
      </c>
      <c r="W29" s="81">
        <f>SUM(W8:W28)</f>
        <v>20257.964000000004</v>
      </c>
      <c r="X29" s="81">
        <f>SUM(X8:X28)</f>
        <v>692.5024096</v>
      </c>
      <c r="Y29" s="81">
        <f>SUM(Y8:Y28)</f>
        <v>291.6649792</v>
      </c>
      <c r="Z29" s="78"/>
      <c r="AA29" s="81">
        <f>SUM(AA8:AA28)</f>
        <v>82584.783</v>
      </c>
      <c r="AB29" s="81">
        <f>SUM(AB8:AB28)</f>
        <v>8866.581750000001</v>
      </c>
      <c r="AC29" s="81">
        <f>SUM(AC8:AC28)</f>
        <v>91451.36475</v>
      </c>
      <c r="AD29" s="81">
        <f>SUM(AD8:AD28)</f>
        <v>3126.1922693999995</v>
      </c>
      <c r="AE29" s="81">
        <f>SUM(AE8:AE28)</f>
        <v>1316.6752788000001</v>
      </c>
      <c r="AF29" s="78"/>
      <c r="AG29" s="81">
        <f>SUM(AG8:AG28)</f>
        <v>1436167.7415</v>
      </c>
      <c r="AH29" s="81">
        <f>SUM(AH8:AH28)</f>
        <v>154191.828375</v>
      </c>
      <c r="AI29" s="81">
        <f>SUM(AI8:AI28)</f>
        <v>1590359.5698750003</v>
      </c>
      <c r="AJ29" s="81">
        <f>SUM(AJ8:AJ28)</f>
        <v>54365.17876470001</v>
      </c>
      <c r="AK29" s="81">
        <f>SUM(AK8:AK28)</f>
        <v>22897.275899399996</v>
      </c>
      <c r="AL29" s="78"/>
      <c r="AM29" s="81">
        <f>SUM(AM8:AM28)</f>
        <v>17396.669</v>
      </c>
      <c r="AN29" s="81">
        <f>SUM(AN8:AN28)</f>
        <v>1867.7652499999997</v>
      </c>
      <c r="AO29" s="81">
        <f>SUM(AO8:AO28)</f>
        <v>19264.434250000002</v>
      </c>
      <c r="AP29" s="81">
        <f>SUM(AP8:AP28)</f>
        <v>658.5393842</v>
      </c>
      <c r="AQ29" s="81">
        <f>SUM(AQ8:AQ28)</f>
        <v>277.3605883999999</v>
      </c>
      <c r="AR29" s="78"/>
      <c r="AS29" s="81">
        <f>SUM(AS8:AS28)</f>
        <v>14671.050500000001</v>
      </c>
      <c r="AT29" s="81">
        <f>SUM(AT8:AT28)</f>
        <v>1575.133625</v>
      </c>
      <c r="AU29" s="81">
        <f>SUM(AU8:AU28)</f>
        <v>16246.184125000003</v>
      </c>
      <c r="AV29" s="81">
        <f>SUM(AV8:AV28)</f>
        <v>555.3629008999999</v>
      </c>
      <c r="AW29" s="81">
        <f>SUM(AW8:AW28)</f>
        <v>233.9051918</v>
      </c>
      <c r="AX29" s="78"/>
      <c r="AY29" s="81">
        <f>SUM(AY8:AY28)</f>
        <v>601916.326</v>
      </c>
      <c r="AZ29" s="81">
        <f>SUM(AZ8:AZ28)</f>
        <v>64623.7735</v>
      </c>
      <c r="BA29" s="81">
        <f>SUM(BA8:BA28)</f>
        <v>666540.0995</v>
      </c>
      <c r="BB29" s="81">
        <f>SUM(BB8:BB28)</f>
        <v>22785.143906799996</v>
      </c>
      <c r="BC29" s="81">
        <f>SUM(BC8:BC28)</f>
        <v>9596.542093600001</v>
      </c>
      <c r="BD29" s="78"/>
      <c r="BE29" s="81">
        <f>SUM(BE8:BE28)</f>
        <v>1235067.9485</v>
      </c>
      <c r="BF29" s="81">
        <f>SUM(BF8:BF28)</f>
        <v>132601.074125</v>
      </c>
      <c r="BG29" s="81">
        <f>SUM(BG8:BG28)</f>
        <v>1367669.022625</v>
      </c>
      <c r="BH29" s="81">
        <f>SUM(BH8:BH28)</f>
        <v>46752.679277300005</v>
      </c>
      <c r="BI29" s="81">
        <f>SUM(BI8:BI28)</f>
        <v>19691.0783846</v>
      </c>
      <c r="BJ29" s="78"/>
      <c r="BK29" s="81">
        <f>SUM(BK8:BK28)</f>
        <v>14258.077999999998</v>
      </c>
      <c r="BL29" s="81">
        <f>SUM(BL8:BL28)</f>
        <v>1530.7954999999997</v>
      </c>
      <c r="BM29" s="81">
        <f>SUM(BM8:BM28)</f>
        <v>15788.873499999998</v>
      </c>
      <c r="BN29" s="81">
        <f>SUM(BN8:BN28)</f>
        <v>539.7301004000001</v>
      </c>
      <c r="BO29" s="81">
        <f>SUM(BO8:BO28)</f>
        <v>227.32104080000005</v>
      </c>
      <c r="BP29" s="78"/>
      <c r="BQ29" s="81">
        <f>SUM(BQ8:BQ28)</f>
        <v>9577.723</v>
      </c>
      <c r="BR29" s="81">
        <f>SUM(BR8:BR28)</f>
        <v>1028.2967500000002</v>
      </c>
      <c r="BS29" s="81">
        <f>SUM(BS8:BS28)</f>
        <v>10606.01975</v>
      </c>
      <c r="BT29" s="81">
        <f>SUM(BT8:BT28)</f>
        <v>362.5583613999999</v>
      </c>
      <c r="BU29" s="81">
        <f>SUM(BU8:BU28)</f>
        <v>152.7006628</v>
      </c>
      <c r="BV29" s="78"/>
      <c r="BW29" s="81">
        <f>SUM(BW8:BW28)</f>
        <v>-1426.7795</v>
      </c>
      <c r="BX29" s="81">
        <f>SUM(BX8:BX28)</f>
        <v>-153.18387500000003</v>
      </c>
      <c r="BY29" s="81">
        <f>SUM(BY8:BY28)</f>
        <v>-1579.9633750000003</v>
      </c>
      <c r="BZ29" s="81">
        <f>SUM(BZ8:BZ28)</f>
        <v>-54.009793099999996</v>
      </c>
      <c r="CA29" s="81">
        <f>SUM(CA8:CA28)</f>
        <v>-22.747596199999997</v>
      </c>
      <c r="CB29" s="80"/>
      <c r="CC29" s="81">
        <f>SUM(CC8:CC28)</f>
        <v>-929.5930000000001</v>
      </c>
      <c r="CD29" s="81">
        <f>SUM(CD8:CD28)</f>
        <v>-99.80425000000004</v>
      </c>
      <c r="CE29" s="81">
        <f>SUM(CE8:CE28)</f>
        <v>-1029.3972500000004</v>
      </c>
      <c r="CF29" s="81">
        <f>SUM(CF8:CF28)</f>
        <v>-35.189127400000004</v>
      </c>
      <c r="CG29" s="81">
        <f>SUM(CG8:CG28)</f>
        <v>-14.820794799999996</v>
      </c>
      <c r="CH29" s="78"/>
      <c r="CI29" s="81">
        <f>SUM(CI8:CI28)</f>
        <v>34569.847</v>
      </c>
      <c r="CJ29" s="81">
        <f>SUM(CJ8:CJ28)</f>
        <v>3711.535750000001</v>
      </c>
      <c r="CK29" s="81">
        <f>SUM(CK8:CK28)</f>
        <v>38281.38274999999</v>
      </c>
      <c r="CL29" s="81">
        <f>SUM(CL8:CL28)</f>
        <v>1308.6186646</v>
      </c>
      <c r="CM29" s="81">
        <f>SUM(CM8:CM28)</f>
        <v>551.1579892000001</v>
      </c>
      <c r="CN29" s="78"/>
      <c r="CO29" s="81">
        <f>SUM(CO8:CO28)</f>
        <v>212591.76499999998</v>
      </c>
      <c r="CP29" s="81">
        <f>SUM(CP8:CP28)</f>
        <v>22824.571249999997</v>
      </c>
      <c r="CQ29" s="81">
        <f>SUM(CQ8:CQ28)</f>
        <v>235416.33625</v>
      </c>
      <c r="CR29" s="81">
        <f>SUM(CR8:CR28)</f>
        <v>8047.520476999999</v>
      </c>
      <c r="CS29" s="81">
        <f>SUM(CS8:CS28)</f>
        <v>3389.4176540000008</v>
      </c>
      <c r="CT29" s="78"/>
      <c r="CU29" s="81">
        <f>SUM(CU8:CU28)</f>
        <v>1428157.6945</v>
      </c>
      <c r="CV29" s="81">
        <f>SUM(CV8:CV28)</f>
        <v>153331.842625</v>
      </c>
      <c r="CW29" s="81">
        <f>SUM(CW8:CW28)</f>
        <v>1581489.5371249998</v>
      </c>
      <c r="CX29" s="81">
        <f>SUM(CX8:CX28)</f>
        <v>54061.96374010001</v>
      </c>
      <c r="CY29" s="81">
        <f>SUM(CY8:CY28)</f>
        <v>22769.569190200004</v>
      </c>
      <c r="CZ29" s="78"/>
      <c r="DA29" s="81">
        <f>SUM(DA8:DA28)</f>
        <v>206052.224</v>
      </c>
      <c r="DB29" s="81">
        <f>SUM(DB8:DB28)</f>
        <v>22122.463999999996</v>
      </c>
      <c r="DC29" s="81">
        <f>SUM(DC8:DC28)</f>
        <v>228174.688</v>
      </c>
      <c r="DD29" s="81">
        <f>SUM(DD8:DD28)</f>
        <v>7799.970483200001</v>
      </c>
      <c r="DE29" s="81">
        <f>SUM(DE8:DE28)</f>
        <v>3285.1556864</v>
      </c>
      <c r="DF29" s="78"/>
      <c r="DG29" s="81">
        <f>SUM(DG8:DG28)</f>
        <v>421024.65400000004</v>
      </c>
      <c r="DH29" s="81">
        <f>SUM(DH8:DH28)</f>
        <v>45202.63150000001</v>
      </c>
      <c r="DI29" s="81">
        <f>SUM(DI8:DI28)</f>
        <v>466227.2855000001</v>
      </c>
      <c r="DJ29" s="81">
        <f>SUM(DJ8:DJ28)</f>
        <v>15937.609457200004</v>
      </c>
      <c r="DK29" s="81">
        <f>SUM(DK8:DK28)</f>
        <v>6712.529034399999</v>
      </c>
      <c r="DL29" s="78"/>
      <c r="DM29" s="81">
        <f>SUM(DM8:DM28)</f>
        <v>68281.359</v>
      </c>
      <c r="DN29" s="81">
        <f>SUM(DN8:DN28)</f>
        <v>7330.91775</v>
      </c>
      <c r="DO29" s="81">
        <f>SUM(DO8:DO28)</f>
        <v>75612.27674999999</v>
      </c>
      <c r="DP29" s="81">
        <f>SUM(DP8:DP28)</f>
        <v>2584.7456262000005</v>
      </c>
      <c r="DQ29" s="81">
        <f>SUM(DQ8:DQ28)</f>
        <v>1088.6312724</v>
      </c>
      <c r="DR29" s="78"/>
      <c r="DS29" s="81">
        <f>SUM(DS8:DS28)</f>
        <v>350268.699</v>
      </c>
      <c r="DT29" s="81">
        <f>SUM(DT8:DT28)</f>
        <v>37606.03275000001</v>
      </c>
      <c r="DU29" s="81">
        <f>SUM(DU8:DU28)</f>
        <v>387874.73175000004</v>
      </c>
      <c r="DV29" s="81">
        <f>SUM(DV8:DV28)</f>
        <v>13259.189638199998</v>
      </c>
      <c r="DW29" s="81">
        <f>SUM(DW8:DW28)</f>
        <v>5584.4444963999995</v>
      </c>
      <c r="DX29" s="78"/>
      <c r="DY29" s="81">
        <f>SUM(DY8:DY28)</f>
        <v>3130.4935</v>
      </c>
      <c r="DZ29" s="81">
        <f>SUM(DZ8:DZ28)</f>
        <v>336.10037499999993</v>
      </c>
      <c r="EA29" s="81">
        <f>SUM(EA8:EA28)</f>
        <v>3466.593875</v>
      </c>
      <c r="EB29" s="81">
        <f>SUM(EB8:EB28)</f>
        <v>118.50275830000001</v>
      </c>
      <c r="EC29" s="81">
        <f>SUM(EC8:EC28)</f>
        <v>49.91044659999999</v>
      </c>
      <c r="ED29" s="78"/>
      <c r="EE29" s="81">
        <f>SUM(EE8:EE28)</f>
        <v>4120.008</v>
      </c>
      <c r="EF29" s="81">
        <f>SUM(EF8:EF28)</f>
        <v>442.3380000000001</v>
      </c>
      <c r="EG29" s="81">
        <f>SUM(EG8:EG28)</f>
        <v>4562.346</v>
      </c>
      <c r="EH29" s="81">
        <f>SUM(EH8:EH28)</f>
        <v>155.9601744</v>
      </c>
      <c r="EI29" s="81">
        <f>SUM(EI8:EI28)</f>
        <v>65.68658880000001</v>
      </c>
      <c r="EJ29" s="78"/>
      <c r="EK29" s="81">
        <f>SUM(EK8:EK28)</f>
        <v>207598.8465</v>
      </c>
      <c r="EL29" s="81">
        <f>SUM(EL8:EL28)</f>
        <v>22288.514625000007</v>
      </c>
      <c r="EM29" s="81">
        <f>SUM(EM8:EM28)</f>
        <v>229887.36112500002</v>
      </c>
      <c r="EN29" s="81">
        <f>SUM(EN8:EN28)</f>
        <v>7858.516853699999</v>
      </c>
      <c r="EO29" s="81">
        <f>SUM(EO8:EO28)</f>
        <v>3309.8139774</v>
      </c>
      <c r="EP29" s="78"/>
      <c r="EQ29" s="81">
        <f>SUM(EQ8:EQ28)</f>
        <v>3951.5800000000004</v>
      </c>
      <c r="ER29" s="81">
        <f>SUM(ER8:ER28)</f>
        <v>424.25500000000005</v>
      </c>
      <c r="ES29" s="81">
        <f>SUM(ES8:ES28)</f>
        <v>4375.834999999999</v>
      </c>
      <c r="ET29" s="81">
        <f>SUM(ET8:ET28)</f>
        <v>149.584444</v>
      </c>
      <c r="EU29" s="81">
        <f>SUM(EU8:EU28)</f>
        <v>63.001288</v>
      </c>
      <c r="EV29" s="78"/>
      <c r="EW29" s="81">
        <f>SUM(EW8:EW28)</f>
        <v>59045.3505</v>
      </c>
      <c r="EX29" s="81">
        <f>SUM(EX8:EX28)</f>
        <v>6339.3086250000015</v>
      </c>
      <c r="EY29" s="81">
        <f>SUM(EY8:EY28)</f>
        <v>65384.65912499999</v>
      </c>
      <c r="EZ29" s="81">
        <f>SUM(EZ8:EZ28)</f>
        <v>2235.1226409000005</v>
      </c>
      <c r="FA29" s="81">
        <f>SUM(FA8:FA28)</f>
        <v>941.3786717999999</v>
      </c>
      <c r="FB29" s="78"/>
      <c r="FC29" s="81">
        <f>SUM(FC8:FC28)</f>
        <v>41017.0765</v>
      </c>
      <c r="FD29" s="81">
        <f>SUM(FD8:FD28)</f>
        <v>4403.7321249999995</v>
      </c>
      <c r="FE29" s="81">
        <f>SUM(FE8:FE28)</f>
        <v>45420.808625000005</v>
      </c>
      <c r="FF29" s="81">
        <f>SUM(FF8:FF28)</f>
        <v>1552.6742677</v>
      </c>
      <c r="FG29" s="81">
        <f>SUM(FG8:FG28)</f>
        <v>653.9482053999998</v>
      </c>
      <c r="FH29" s="78"/>
      <c r="FI29" s="81">
        <f>SUM(FI8:FI28)</f>
        <v>16011.996500000001</v>
      </c>
      <c r="FJ29" s="81">
        <f>SUM(FJ8:FJ28)</f>
        <v>1719.102125</v>
      </c>
      <c r="FK29" s="81">
        <f>SUM(FK8:FK28)</f>
        <v>17731.098625</v>
      </c>
      <c r="FL29" s="81">
        <f>SUM(FL8:FL28)</f>
        <v>606.1235237</v>
      </c>
      <c r="FM29" s="81">
        <f>SUM(FM8:FM28)</f>
        <v>255.28431739999994</v>
      </c>
      <c r="FN29" s="78"/>
      <c r="FO29" s="81">
        <f>SUM(FO8:FO28)</f>
        <v>179944.26450000002</v>
      </c>
      <c r="FP29" s="81">
        <f>SUM(FP8:FP28)</f>
        <v>19319.425125</v>
      </c>
      <c r="FQ29" s="81">
        <f>SUM(FQ8:FQ28)</f>
        <v>199263.68962499997</v>
      </c>
      <c r="FR29" s="81">
        <f>SUM(FR8:FR28)</f>
        <v>6811.6709661</v>
      </c>
      <c r="FS29" s="81">
        <f>SUM(FS8:FS28)</f>
        <v>2868.9082422000006</v>
      </c>
      <c r="FT29" s="78"/>
      <c r="FU29" s="81">
        <f>SUM(FU8:FU28)</f>
        <v>405558.429</v>
      </c>
      <c r="FV29" s="81">
        <f>SUM(FV8:FV28)</f>
        <v>43542.125250000005</v>
      </c>
      <c r="FW29" s="81">
        <f>SUM(FW8:FW28)</f>
        <v>449100.55425000004</v>
      </c>
      <c r="FX29" s="81">
        <f>SUM(FX8:FX28)</f>
        <v>15352.145752200004</v>
      </c>
      <c r="FY29" s="81">
        <f>SUM(FY8:FY28)</f>
        <v>6465.9461244</v>
      </c>
      <c r="FZ29" s="78"/>
      <c r="GA29" s="81">
        <f>SUM(GA8:GA28)</f>
        <v>51754.3615</v>
      </c>
      <c r="GB29" s="81">
        <f>SUM(GB8:GB28)</f>
        <v>5556.523375</v>
      </c>
      <c r="GC29" s="81">
        <f>SUM(GC8:GC28)</f>
        <v>57310.88487500002</v>
      </c>
      <c r="GD29" s="81">
        <f>SUM(GD8:GD28)</f>
        <v>1959.1270807</v>
      </c>
      <c r="GE29" s="81">
        <f>SUM(GE8:GE28)</f>
        <v>825.1361314</v>
      </c>
      <c r="GF29" s="78"/>
      <c r="GG29" s="81">
        <f>SUM(GG8:GG28)</f>
        <v>82186.386</v>
      </c>
      <c r="GH29" s="81">
        <f>SUM(GH8:GH28)</f>
        <v>8823.808500000001</v>
      </c>
      <c r="GI29" s="81">
        <f>SUM(GI8:GI28)</f>
        <v>91010.19450000001</v>
      </c>
      <c r="GJ29" s="81">
        <f>SUM(GJ8:GJ28)</f>
        <v>3111.1112147999997</v>
      </c>
      <c r="GK29" s="81">
        <f>SUM(GK8:GK28)</f>
        <v>1310.3235095999999</v>
      </c>
      <c r="GL29" s="78"/>
      <c r="GM29" s="81">
        <f>SUM(GM8:GM28)</f>
        <v>380888.5855</v>
      </c>
      <c r="GN29" s="81">
        <f>SUM(GN8:GN28)</f>
        <v>40893.48737499999</v>
      </c>
      <c r="GO29" s="81">
        <f>SUM(GO8:GO28)</f>
        <v>421782.07287500007</v>
      </c>
      <c r="GP29" s="81">
        <f>SUM(GP8:GP28)</f>
        <v>14418.2851639</v>
      </c>
      <c r="GQ29" s="81">
        <f>SUM(GQ8:GQ28)</f>
        <v>6072.627017799999</v>
      </c>
      <c r="GR29" s="78"/>
      <c r="GS29" s="81">
        <f>SUM(GS8:GS28)</f>
        <v>20214.599000000002</v>
      </c>
      <c r="GT29" s="81">
        <f>SUM(GT8:GT28)</f>
        <v>2170.3077500000004</v>
      </c>
      <c r="GU29" s="81">
        <f>SUM(GU8:GU28)</f>
        <v>22384.906750000002</v>
      </c>
      <c r="GV29" s="81">
        <f>SUM(GV8:GV28)</f>
        <v>765.2102582000001</v>
      </c>
      <c r="GW29" s="81">
        <f>SUM(GW8:GW28)</f>
        <v>322.2877364000001</v>
      </c>
      <c r="GX29" s="78"/>
      <c r="GY29" s="81">
        <f>SUM(GY8:GY28)</f>
        <v>115897.89800000002</v>
      </c>
      <c r="GZ29" s="81">
        <f>SUM(GZ8:GZ28)</f>
        <v>12443.190499999997</v>
      </c>
      <c r="HA29" s="81">
        <f>SUM(HA8:HA28)</f>
        <v>128341.0885</v>
      </c>
      <c r="HB29" s="81">
        <f>SUM(HB8:HB28)</f>
        <v>4387.2381764</v>
      </c>
      <c r="HC29" s="81">
        <f>SUM(HC8:HC28)</f>
        <v>1847.7967928000003</v>
      </c>
      <c r="HD29" s="78"/>
      <c r="HE29" s="78"/>
      <c r="HF29" s="78"/>
      <c r="HG29" s="78"/>
      <c r="HH29" s="78"/>
      <c r="HI29" s="78"/>
    </row>
    <row r="30" ht="12.75" thickTop="1"/>
    <row r="43" spans="1:34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</sheetData>
  <sheetProtection/>
  <printOptions/>
  <pageMargins left="0.7" right="0.7" top="0.75" bottom="0.75" header="0.3" footer="0.3"/>
  <pageSetup horizontalDpi="600" verticalDpi="600" orientation="landscape" scale="72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M69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9" sqref="C2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2010C Bond Issue</v>
      </c>
      <c r="AB2" s="33"/>
      <c r="AC2" s="33"/>
      <c r="AD2" s="33"/>
      <c r="AH2" s="33"/>
      <c r="AI2" s="45"/>
      <c r="AM2" s="43" t="str">
        <f>AA2</f>
        <v>Distribution of Debt Services after 2010C Bond Issue</v>
      </c>
      <c r="AR2"/>
      <c r="AS2"/>
      <c r="AT2"/>
      <c r="AU2" s="45"/>
      <c r="AV2"/>
      <c r="AW2"/>
      <c r="AY2" s="43" t="str">
        <f>AM2</f>
        <v>Distribution of Debt Services after 2010C Bond Issue</v>
      </c>
      <c r="BG2" s="45"/>
      <c r="BK2" s="43" t="str">
        <f>AY2</f>
        <v>Distribution of Debt Services after 2010C Bond Issue</v>
      </c>
      <c r="BS2" s="45"/>
      <c r="BW2" s="43" t="str">
        <f>BK2</f>
        <v>Distribution of Debt Services after 2010C Bond Issue</v>
      </c>
      <c r="CE2" s="45"/>
      <c r="CI2" s="43" t="str">
        <f>BW2</f>
        <v>Distribution of Debt Services after 2010C Bond Issue</v>
      </c>
      <c r="CQ2" s="45"/>
      <c r="CU2" s="43" t="str">
        <f>CI2</f>
        <v>Distribution of Debt Services after 2010C Bond Issue</v>
      </c>
      <c r="DC2" s="45"/>
      <c r="DG2" s="43" t="str">
        <f>CU2</f>
        <v>Distribution of Debt Services after 2010C Bond Issue</v>
      </c>
      <c r="DM2" s="20"/>
      <c r="DN2" s="20"/>
      <c r="DO2" s="45"/>
      <c r="DP2" s="20"/>
      <c r="DQ2" s="20"/>
      <c r="DS2" s="43" t="str">
        <f>DG2</f>
        <v>Distribution of Debt Services after 2010C Bond Issue</v>
      </c>
      <c r="EA2" s="45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">
      <c r="A4" s="44"/>
      <c r="B4" s="30"/>
      <c r="FI4" s="21"/>
    </row>
    <row r="5" spans="1:169" ht="12">
      <c r="A5" s="22" t="s">
        <v>9</v>
      </c>
      <c r="C5" s="70" t="s">
        <v>179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85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">
      <c r="A6" s="46" t="s">
        <v>10</v>
      </c>
      <c r="C6" s="73" t="s">
        <v>180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41" t="s">
        <v>176</v>
      </c>
      <c r="DA6" s="47"/>
      <c r="DB6" s="32">
        <v>0.0131079</v>
      </c>
      <c r="DC6" s="48"/>
      <c r="DD6" s="41" t="s">
        <v>168</v>
      </c>
      <c r="DE6" s="41" t="s">
        <v>176</v>
      </c>
      <c r="DG6" s="47"/>
      <c r="DH6" s="32">
        <v>0.0005051</v>
      </c>
      <c r="DI6" s="48"/>
      <c r="DJ6" s="41" t="s">
        <v>168</v>
      </c>
      <c r="DK6" s="41" t="s">
        <v>176</v>
      </c>
      <c r="DM6" s="86"/>
      <c r="DN6" s="87">
        <v>0.0276518</v>
      </c>
      <c r="DO6" s="88"/>
      <c r="DP6" s="85" t="s">
        <v>168</v>
      </c>
      <c r="DQ6" s="85" t="s">
        <v>176</v>
      </c>
      <c r="DS6" s="47"/>
      <c r="DT6" s="32">
        <v>0.0043534</v>
      </c>
      <c r="DU6" s="48"/>
      <c r="DV6" s="41" t="s">
        <v>168</v>
      </c>
      <c r="DW6" s="41" t="s">
        <v>176</v>
      </c>
      <c r="DY6" s="47"/>
      <c r="DZ6" s="32">
        <v>0.0224029</v>
      </c>
      <c r="EA6" s="48"/>
      <c r="EB6" s="41" t="s">
        <v>168</v>
      </c>
      <c r="EC6" s="41" t="s">
        <v>176</v>
      </c>
      <c r="EE6" s="47"/>
      <c r="EF6" s="32">
        <v>0.0063958</v>
      </c>
      <c r="EG6" s="48"/>
      <c r="EH6" s="41" t="s">
        <v>168</v>
      </c>
      <c r="EI6" s="41" t="s">
        <v>176</v>
      </c>
      <c r="EK6" s="47"/>
      <c r="EL6" s="32">
        <v>6.42E-05</v>
      </c>
      <c r="EM6" s="48"/>
      <c r="EN6" s="41" t="s">
        <v>168</v>
      </c>
      <c r="EO6" s="41" t="s">
        <v>176</v>
      </c>
      <c r="EQ6" s="47"/>
      <c r="ER6" s="32">
        <v>0.0001192</v>
      </c>
      <c r="ES6" s="48"/>
      <c r="ET6" s="41" t="s">
        <v>168</v>
      </c>
      <c r="EU6" s="41" t="s">
        <v>176</v>
      </c>
      <c r="EW6" s="47"/>
      <c r="EX6" s="32">
        <v>0.0215476</v>
      </c>
      <c r="EY6" s="48"/>
      <c r="EZ6" s="41" t="s">
        <v>168</v>
      </c>
      <c r="FA6" s="41" t="s">
        <v>176</v>
      </c>
      <c r="FC6" s="47"/>
      <c r="FD6" s="32">
        <v>0.0400516</v>
      </c>
      <c r="FE6" s="48"/>
      <c r="FF6" s="41" t="s">
        <v>168</v>
      </c>
      <c r="FG6" s="41" t="s">
        <v>176</v>
      </c>
      <c r="FI6" s="47"/>
      <c r="FJ6" s="32"/>
      <c r="FK6" s="48"/>
      <c r="FL6" s="41" t="s">
        <v>168</v>
      </c>
      <c r="FM6" s="41" t="s">
        <v>176</v>
      </c>
    </row>
    <row r="7" spans="1:169" ht="12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170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170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170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170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170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170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170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170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170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170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170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170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170</v>
      </c>
      <c r="CU7" s="27" t="s">
        <v>11</v>
      </c>
      <c r="CV7" s="27" t="s">
        <v>12</v>
      </c>
      <c r="CW7" s="27" t="s">
        <v>4</v>
      </c>
      <c r="CX7" s="41" t="s">
        <v>169</v>
      </c>
      <c r="CY7" s="41" t="s">
        <v>170</v>
      </c>
      <c r="DA7" s="27" t="s">
        <v>11</v>
      </c>
      <c r="DB7" s="27" t="s">
        <v>12</v>
      </c>
      <c r="DC7" s="27" t="s">
        <v>4</v>
      </c>
      <c r="DD7" s="41" t="s">
        <v>169</v>
      </c>
      <c r="DE7" s="41" t="s">
        <v>170</v>
      </c>
      <c r="DG7" s="27" t="s">
        <v>11</v>
      </c>
      <c r="DH7" s="27" t="s">
        <v>12</v>
      </c>
      <c r="DI7" s="27" t="s">
        <v>4</v>
      </c>
      <c r="DJ7" s="41" t="s">
        <v>169</v>
      </c>
      <c r="DK7" s="41" t="s">
        <v>170</v>
      </c>
      <c r="DM7" s="89" t="s">
        <v>11</v>
      </c>
      <c r="DN7" s="89" t="s">
        <v>12</v>
      </c>
      <c r="DO7" s="89" t="s">
        <v>4</v>
      </c>
      <c r="DP7" s="85" t="s">
        <v>169</v>
      </c>
      <c r="DQ7" s="85" t="s">
        <v>170</v>
      </c>
      <c r="DS7" s="27" t="s">
        <v>11</v>
      </c>
      <c r="DT7" s="27" t="s">
        <v>12</v>
      </c>
      <c r="DU7" s="27" t="s">
        <v>4</v>
      </c>
      <c r="DV7" s="41" t="s">
        <v>169</v>
      </c>
      <c r="DW7" s="41" t="s">
        <v>170</v>
      </c>
      <c r="DY7" s="27" t="s">
        <v>11</v>
      </c>
      <c r="DZ7" s="27" t="s">
        <v>12</v>
      </c>
      <c r="EA7" s="27" t="s">
        <v>4</v>
      </c>
      <c r="EB7" s="41" t="s">
        <v>169</v>
      </c>
      <c r="EC7" s="41" t="s">
        <v>170</v>
      </c>
      <c r="EE7" s="27" t="s">
        <v>11</v>
      </c>
      <c r="EF7" s="27" t="s">
        <v>12</v>
      </c>
      <c r="EG7" s="27" t="s">
        <v>4</v>
      </c>
      <c r="EH7" s="41" t="s">
        <v>169</v>
      </c>
      <c r="EI7" s="41" t="s">
        <v>170</v>
      </c>
      <c r="EK7" s="27" t="s">
        <v>11</v>
      </c>
      <c r="EL7" s="27" t="s">
        <v>12</v>
      </c>
      <c r="EM7" s="27" t="s">
        <v>4</v>
      </c>
      <c r="EN7" s="41" t="s">
        <v>169</v>
      </c>
      <c r="EO7" s="41" t="s">
        <v>170</v>
      </c>
      <c r="EQ7" s="27" t="s">
        <v>11</v>
      </c>
      <c r="ER7" s="27" t="s">
        <v>12</v>
      </c>
      <c r="ES7" s="27" t="s">
        <v>4</v>
      </c>
      <c r="ET7" s="41" t="s">
        <v>169</v>
      </c>
      <c r="EU7" s="41" t="s">
        <v>170</v>
      </c>
      <c r="EW7" s="27" t="s">
        <v>11</v>
      </c>
      <c r="EX7" s="27" t="s">
        <v>12</v>
      </c>
      <c r="EY7" s="27" t="s">
        <v>4</v>
      </c>
      <c r="EZ7" s="41" t="s">
        <v>169</v>
      </c>
      <c r="FA7" s="41" t="s">
        <v>170</v>
      </c>
      <c r="FC7" s="27" t="s">
        <v>11</v>
      </c>
      <c r="FD7" s="27" t="s">
        <v>12</v>
      </c>
      <c r="FE7" s="27" t="s">
        <v>4</v>
      </c>
      <c r="FF7" s="41" t="s">
        <v>169</v>
      </c>
      <c r="FG7" s="41" t="s">
        <v>170</v>
      </c>
      <c r="FI7" s="27" t="s">
        <v>11</v>
      </c>
      <c r="FJ7" s="27" t="s">
        <v>12</v>
      </c>
      <c r="FK7" s="27" t="s">
        <v>4</v>
      </c>
      <c r="FL7" s="41" t="s">
        <v>169</v>
      </c>
      <c r="FM7" s="41" t="s">
        <v>170</v>
      </c>
    </row>
    <row r="8" spans="1:169" ht="12">
      <c r="A8" s="19">
        <v>41913</v>
      </c>
      <c r="C8" s="36"/>
      <c r="D8" s="36">
        <v>413075</v>
      </c>
      <c r="E8" s="77">
        <f aca="true" t="shared" si="0" ref="E8:E27">C8+D8</f>
        <v>413075</v>
      </c>
      <c r="F8" s="77">
        <v>110239</v>
      </c>
      <c r="G8" s="77">
        <v>6590</v>
      </c>
      <c r="H8" s="78"/>
      <c r="I8" s="79">
        <f>'2010C Academic'!I8</f>
        <v>0</v>
      </c>
      <c r="J8" s="79">
        <f>'2010C Academic'!J8</f>
        <v>224227.80864250005</v>
      </c>
      <c r="K8" s="79">
        <f aca="true" t="shared" si="1" ref="K8:K27">I8+J8</f>
        <v>224227.80864250005</v>
      </c>
      <c r="L8" s="79">
        <f>'2010C Academic'!L8</f>
        <v>59840.5843901</v>
      </c>
      <c r="M8" s="79">
        <f>'2010C Academic'!M8</f>
        <v>3577.2226809999993</v>
      </c>
      <c r="N8" s="78"/>
      <c r="O8" s="78">
        <f aca="true" t="shared" si="2" ref="O8:P27">U8+AA8+AG8+AM8+AS8+AY8+BE8+BK8+BQ8+BW8+CC8+CI8+CO8+CU8+DA8+DG8+DM8+DS8+DY8+EE8+EK8+EQ8+EW8+FC8</f>
        <v>0</v>
      </c>
      <c r="P8" s="80">
        <f t="shared" si="2"/>
        <v>188847.19135749995</v>
      </c>
      <c r="Q8" s="78">
        <f aca="true" t="shared" si="3" ref="Q8:Q27">O8+P8</f>
        <v>188847.19135749995</v>
      </c>
      <c r="R8" s="78">
        <f aca="true" t="shared" si="4" ref="R8:S27">X8+AD8+AJ8+AP8+AV8+BB8+BH8+BN8+BT8+BZ8+CF8+CL8+CR8+CX8+DD8+DJ8+DP8+DV8+EB8+EH8+EN8+ET8+EZ8+FF8+FL8</f>
        <v>50398.41560990002</v>
      </c>
      <c r="S8" s="78">
        <f t="shared" si="4"/>
        <v>3012.7773190000007</v>
      </c>
      <c r="T8" s="78"/>
      <c r="U8" s="78"/>
      <c r="V8" s="77">
        <f aca="true" t="shared" si="5" ref="V8:V27">D8*8.1724/100</f>
        <v>33758.141299999996</v>
      </c>
      <c r="W8" s="78">
        <f aca="true" t="shared" si="6" ref="W8:W27">U8+V8</f>
        <v>33758.141299999996</v>
      </c>
      <c r="X8" s="78">
        <f aca="true" t="shared" si="7" ref="X8:X27">V$6*$F8</f>
        <v>9009.172036</v>
      </c>
      <c r="Y8" s="77">
        <f aca="true" t="shared" si="8" ref="Y8:Y27">V$6*$G8</f>
        <v>538.5611600000001</v>
      </c>
      <c r="Z8" s="78"/>
      <c r="AA8" s="78"/>
      <c r="AB8" s="78">
        <f aca="true" t="shared" si="9" ref="AB8:AB27">D8*5.95646/100</f>
        <v>24604.647145</v>
      </c>
      <c r="AC8" s="78">
        <f aca="true" t="shared" si="10" ref="AC8:AC27">AA8+AB8</f>
        <v>24604.647145</v>
      </c>
      <c r="AD8" s="78">
        <f aca="true" t="shared" si="11" ref="AD8:AD27">AB$6*$F8</f>
        <v>6566.3419394</v>
      </c>
      <c r="AE8" s="77">
        <f aca="true" t="shared" si="12" ref="AE8:AE27">AB$6*$G8</f>
        <v>392.530714</v>
      </c>
      <c r="AF8" s="78"/>
      <c r="AG8" s="78"/>
      <c r="AH8" s="78">
        <f aca="true" t="shared" si="13" ref="AH8:AH27">D8*3.15804/100</f>
        <v>13045.073730000002</v>
      </c>
      <c r="AI8" s="78">
        <f aca="true" t="shared" si="14" ref="AI8:AI27">AG8+AH8</f>
        <v>13045.073730000002</v>
      </c>
      <c r="AJ8" s="78">
        <f aca="true" t="shared" si="15" ref="AJ8:AJ27">AH$6*$F8</f>
        <v>3481.3917156</v>
      </c>
      <c r="AK8" s="77">
        <f aca="true" t="shared" si="16" ref="AK8:AK27">AH$6*$G8</f>
        <v>208.114836</v>
      </c>
      <c r="AL8" s="78"/>
      <c r="AM8" s="78"/>
      <c r="AN8" s="78">
        <f aca="true" t="shared" si="17" ref="AN8:AN27">D8*2.2968/100</f>
        <v>9487.5066</v>
      </c>
      <c r="AO8" s="78">
        <f aca="true" t="shared" si="18" ref="AO8:AO27">AM8+AN8</f>
        <v>9487.5066</v>
      </c>
      <c r="AP8" s="78">
        <f aca="true" t="shared" si="19" ref="AP8:AP27">AN$6*$F8</f>
        <v>2531.969352</v>
      </c>
      <c r="AQ8" s="77">
        <f aca="true" t="shared" si="20" ref="AQ8:AQ27">AN$6*$G8</f>
        <v>151.35912</v>
      </c>
      <c r="AR8" s="78"/>
      <c r="AS8" s="78"/>
      <c r="AT8" s="78">
        <f aca="true" t="shared" si="21" ref="AT8:AT27">D8*0.26309/100</f>
        <v>1086.7590174999998</v>
      </c>
      <c r="AU8" s="78">
        <f aca="true" t="shared" si="22" ref="AU8:AU27">AS8+AT8</f>
        <v>1086.7590174999998</v>
      </c>
      <c r="AV8" s="78">
        <f aca="true" t="shared" si="23" ref="AV8:AV27">AT$6*$F8</f>
        <v>290.02778509999996</v>
      </c>
      <c r="AW8" s="77">
        <f aca="true" t="shared" si="24" ref="AW8:AW27">AT$6*$G8</f>
        <v>17.337631</v>
      </c>
      <c r="AX8" s="78"/>
      <c r="AY8" s="78"/>
      <c r="AZ8" s="78">
        <f aca="true" t="shared" si="25" ref="AZ8:AZ27">D8*4.16229/100</f>
        <v>17193.379417499997</v>
      </c>
      <c r="BA8" s="78">
        <f aca="true" t="shared" si="26" ref="BA8:BA27">AY8+AZ8</f>
        <v>17193.379417499997</v>
      </c>
      <c r="BB8" s="78">
        <f aca="true" t="shared" si="27" ref="BB8:BB27">AZ$6*$F8</f>
        <v>4588.4668731</v>
      </c>
      <c r="BC8" s="77">
        <f aca="true" t="shared" si="28" ref="BC8:BC27">AZ$6*$G8</f>
        <v>274.29491099999996</v>
      </c>
      <c r="BD8" s="78"/>
      <c r="BE8" s="78"/>
      <c r="BF8" s="78">
        <f aca="true" t="shared" si="29" ref="BF8:BF27">D8*0.45121/100</f>
        <v>1863.8357075000001</v>
      </c>
      <c r="BG8" s="78">
        <f aca="true" t="shared" si="30" ref="BG8:BG27">BE8+BF8</f>
        <v>1863.8357075000001</v>
      </c>
      <c r="BH8" s="78">
        <f aca="true" t="shared" si="31" ref="BH8:BH27">BF$6*$F8</f>
        <v>497.4093919</v>
      </c>
      <c r="BI8" s="77">
        <f aca="true" t="shared" si="32" ref="BI8:BI27">BF$6*$G8</f>
        <v>29.734738999999998</v>
      </c>
      <c r="BJ8" s="78"/>
      <c r="BK8" s="78"/>
      <c r="BL8" s="78">
        <f aca="true" t="shared" si="33" ref="BL8:BL27">D8*1.41147/100</f>
        <v>5830.4297025000005</v>
      </c>
      <c r="BM8" s="78">
        <f aca="true" t="shared" si="34" ref="BM8:BM27">BK8+BL8</f>
        <v>5830.4297025000005</v>
      </c>
      <c r="BN8" s="78">
        <f aca="true" t="shared" si="35" ref="BN8:BN27">BL$6*$F8</f>
        <v>1555.9904133</v>
      </c>
      <c r="BO8" s="77">
        <f aca="true" t="shared" si="36" ref="BO8:BO27">BL$6*$G8</f>
        <v>93.015873</v>
      </c>
      <c r="BP8" s="78"/>
      <c r="BQ8" s="78"/>
      <c r="BR8" s="78">
        <f aca="true" t="shared" si="37" ref="BR8:BR27">D8*0.71579/100</f>
        <v>2956.7495425</v>
      </c>
      <c r="BS8" s="78">
        <f aca="true" t="shared" si="38" ref="BS8:BS27">BQ8+BR8</f>
        <v>2956.7495425</v>
      </c>
      <c r="BT8" s="78">
        <f aca="true" t="shared" si="39" ref="BT8:BT27">BR$6*$F8</f>
        <v>789.0797381</v>
      </c>
      <c r="BU8" s="77">
        <f aca="true" t="shared" si="40" ref="BU8:BU27">BR$6*$G8</f>
        <v>47.170561</v>
      </c>
      <c r="BV8" s="78"/>
      <c r="BW8" s="78"/>
      <c r="BX8" s="78">
        <f aca="true" t="shared" si="41" ref="BX8:BX27">D8*0.13901/100</f>
        <v>574.2155575</v>
      </c>
      <c r="BY8" s="78">
        <f aca="true" t="shared" si="42" ref="BY8:BY27">BW8+BX8</f>
        <v>574.2155575</v>
      </c>
      <c r="BZ8" s="78">
        <f aca="true" t="shared" si="43" ref="BZ8:BZ27">BX$6*$F8</f>
        <v>153.2432339</v>
      </c>
      <c r="CA8" s="77">
        <f aca="true" t="shared" si="44" ref="CA8:CA27">BX$6*$G8</f>
        <v>9.160759</v>
      </c>
      <c r="CB8" s="78"/>
      <c r="CC8" s="78"/>
      <c r="CD8" s="78">
        <f aca="true" t="shared" si="45" ref="CD8:CD27">D8*0.55234/100</f>
        <v>2281.5784550000003</v>
      </c>
      <c r="CE8" s="78">
        <f aca="true" t="shared" si="46" ref="CE8:CE27">CC8+CD8</f>
        <v>2281.5784550000003</v>
      </c>
      <c r="CF8" s="78">
        <f aca="true" t="shared" si="47" ref="CF8:CF27">CD$6*$F8</f>
        <v>608.8940926</v>
      </c>
      <c r="CG8" s="77">
        <f aca="true" t="shared" si="48" ref="CG8:CG27">CD$6*$G8</f>
        <v>36.399206</v>
      </c>
      <c r="CH8" s="78"/>
      <c r="CI8" s="78"/>
      <c r="CJ8" s="78">
        <f aca="true" t="shared" si="49" ref="CJ8:CJ27">D8*1.34713/100</f>
        <v>5564.657247499999</v>
      </c>
      <c r="CK8" s="78">
        <f aca="true" t="shared" si="50" ref="CK8:CK27">CI8+CJ8</f>
        <v>5564.657247499999</v>
      </c>
      <c r="CL8" s="78">
        <f aca="true" t="shared" si="51" ref="CL8:CL27">CJ$6*$F8</f>
        <v>1485.0626407</v>
      </c>
      <c r="CM8" s="77">
        <f aca="true" t="shared" si="52" ref="CM8:CM27">CJ$6*$G8</f>
        <v>88.775867</v>
      </c>
      <c r="CN8" s="78"/>
      <c r="CO8" s="78"/>
      <c r="CP8" s="78">
        <f aca="true" t="shared" si="53" ref="CP8:CP27">D8*3.01524/100</f>
        <v>12455.20263</v>
      </c>
      <c r="CQ8" s="78">
        <f aca="true" t="shared" si="54" ref="CQ8:CQ27">CO8+CP8</f>
        <v>12455.20263</v>
      </c>
      <c r="CR8" s="78">
        <f aca="true" t="shared" si="55" ref="CR8:CR27">CP$6*$F8</f>
        <v>3323.9704236</v>
      </c>
      <c r="CS8" s="77">
        <f aca="true" t="shared" si="56" ref="CS8:CS27">CP$6*$G8</f>
        <v>198.704316</v>
      </c>
      <c r="CT8" s="78"/>
      <c r="CU8" s="78"/>
      <c r="CV8" s="78">
        <f aca="true" t="shared" si="57" ref="CV8:CV27">D8*0.45619/100</f>
        <v>1884.4068424999998</v>
      </c>
      <c r="CW8" s="78">
        <f aca="true" t="shared" si="58" ref="CW8:CW27">CU8+CV8</f>
        <v>1884.4068424999998</v>
      </c>
      <c r="CX8" s="78">
        <f aca="true" t="shared" si="59" ref="CX8:CX27">CV$6*$F8</f>
        <v>502.89929409999996</v>
      </c>
      <c r="CY8" s="77">
        <f aca="true" t="shared" si="60" ref="CY8:CY27">CV$6*$G8</f>
        <v>30.062921</v>
      </c>
      <c r="CZ8" s="78"/>
      <c r="DA8" s="78"/>
      <c r="DB8" s="78">
        <f aca="true" t="shared" si="61" ref="DB8:DB27">D8*1.31079/100</f>
        <v>5414.545792499999</v>
      </c>
      <c r="DC8" s="78">
        <f aca="true" t="shared" si="62" ref="DC8:DC27">DA8+DB8</f>
        <v>5414.545792499999</v>
      </c>
      <c r="DD8" s="78">
        <f aca="true" t="shared" si="63" ref="DD8:DD27">DB$6*$F8</f>
        <v>1445.0017881</v>
      </c>
      <c r="DE8" s="77">
        <f aca="true" t="shared" si="64" ref="DE8:DE27">DB$6*$G8</f>
        <v>86.381061</v>
      </c>
      <c r="DF8" s="78"/>
      <c r="DG8" s="78"/>
      <c r="DH8" s="78">
        <f aca="true" t="shared" si="65" ref="DH8:DH27">D8*0.05051/100</f>
        <v>208.6441825</v>
      </c>
      <c r="DI8" s="78">
        <f aca="true" t="shared" si="66" ref="DI8:DI27">DG8+DH8</f>
        <v>208.6441825</v>
      </c>
      <c r="DJ8" s="78">
        <f aca="true" t="shared" si="67" ref="DJ8:DJ27">DH$6*$F8</f>
        <v>55.6817189</v>
      </c>
      <c r="DK8" s="77">
        <f aca="true" t="shared" si="68" ref="DK8:DK27">DH$6*$G8</f>
        <v>3.3286089999999997</v>
      </c>
      <c r="DL8" s="78"/>
      <c r="DM8" s="90"/>
      <c r="DN8" s="90">
        <f aca="true" t="shared" si="69" ref="DN8:DN27">D8*2.76518/100</f>
        <v>11422.267285</v>
      </c>
      <c r="DO8" s="90">
        <f aca="true" t="shared" si="70" ref="DO8:DO27">DM8+DN8</f>
        <v>11422.267285</v>
      </c>
      <c r="DP8" s="90">
        <f aca="true" t="shared" si="71" ref="DP8:DP27">DN$6*$F8</f>
        <v>3048.3067802</v>
      </c>
      <c r="DQ8" s="94">
        <f aca="true" t="shared" si="72" ref="DQ8:DQ27">DN$6*$G8</f>
        <v>182.22536200000002</v>
      </c>
      <c r="DR8" s="78"/>
      <c r="DS8" s="78"/>
      <c r="DT8" s="78">
        <f aca="true" t="shared" si="73" ref="DT8:DT27">D8*0.43534/100</f>
        <v>1798.2807050000001</v>
      </c>
      <c r="DU8" s="78">
        <f aca="true" t="shared" si="74" ref="DU8:DU27">DS8+DT8</f>
        <v>1798.2807050000001</v>
      </c>
      <c r="DV8" s="78">
        <f aca="true" t="shared" si="75" ref="DV8:DV27">DT$6*$F8</f>
        <v>479.91446260000004</v>
      </c>
      <c r="DW8" s="77">
        <f aca="true" t="shared" si="76" ref="DW8:DW27">DT$6*$G8</f>
        <v>28.688906000000003</v>
      </c>
      <c r="DX8" s="78"/>
      <c r="DY8" s="78"/>
      <c r="DZ8" s="78">
        <f aca="true" t="shared" si="77" ref="DZ8:DZ27">D8*2.24029/100</f>
        <v>9254.077917499999</v>
      </c>
      <c r="EA8" s="78">
        <f aca="true" t="shared" si="78" ref="EA8:EA27">DY8+DZ8</f>
        <v>9254.077917499999</v>
      </c>
      <c r="EB8" s="78">
        <f aca="true" t="shared" si="79" ref="EB8:EB27">DZ$6*$F8</f>
        <v>2469.6732931</v>
      </c>
      <c r="EC8" s="77">
        <f aca="true" t="shared" si="80" ref="EC8:EC27">DZ$6*$G8</f>
        <v>147.635111</v>
      </c>
      <c r="ED8" s="78"/>
      <c r="EE8" s="78"/>
      <c r="EF8" s="78">
        <f aca="true" t="shared" si="81" ref="EF8:EF27">D8*0.63958/100</f>
        <v>2641.945085</v>
      </c>
      <c r="EG8" s="78">
        <f aca="true" t="shared" si="82" ref="EG8:EG27">EE8+EF8</f>
        <v>2641.945085</v>
      </c>
      <c r="EH8" s="78">
        <f aca="true" t="shared" si="83" ref="EH8:EH27">EF$6*$F8</f>
        <v>705.0665962</v>
      </c>
      <c r="EI8" s="77">
        <f aca="true" t="shared" si="84" ref="EI8:EI27">EF$6*$G8</f>
        <v>42.148322</v>
      </c>
      <c r="EJ8" s="78"/>
      <c r="EK8" s="78"/>
      <c r="EL8" s="78">
        <f aca="true" t="shared" si="85" ref="EL8:EL27">D8*0.00642/100</f>
        <v>26.519415000000002</v>
      </c>
      <c r="EM8" s="78">
        <f aca="true" t="shared" si="86" ref="EM8:EM27">EK8+EL8</f>
        <v>26.519415000000002</v>
      </c>
      <c r="EN8" s="78">
        <f aca="true" t="shared" si="87" ref="EN8:EN27">EL$6*$F8</f>
        <v>7.0773438</v>
      </c>
      <c r="EO8" s="77">
        <f aca="true" t="shared" si="88" ref="EO8:EO27">EL$6*$G8</f>
        <v>0.423078</v>
      </c>
      <c r="EP8" s="78"/>
      <c r="EQ8" s="78"/>
      <c r="ER8" s="78">
        <f aca="true" t="shared" si="89" ref="ER8:ER27">D8*0.01192/100</f>
        <v>49.23854</v>
      </c>
      <c r="ES8" s="78">
        <f aca="true" t="shared" si="90" ref="ES8:ES27">EQ8+ER8</f>
        <v>49.23854</v>
      </c>
      <c r="ET8" s="78">
        <f aca="true" t="shared" si="91" ref="ET8:ET27">ER$6*$F8</f>
        <v>13.1404888</v>
      </c>
      <c r="EU8" s="77">
        <f aca="true" t="shared" si="92" ref="EU8:EU27">ER$6*$G8</f>
        <v>0.785528</v>
      </c>
      <c r="EV8" s="78"/>
      <c r="EW8" s="78"/>
      <c r="EX8" s="78">
        <f aca="true" t="shared" si="93" ref="EX8:EX27">D8*2.15476/100</f>
        <v>8900.77487</v>
      </c>
      <c r="EY8" s="78">
        <f aca="true" t="shared" si="94" ref="EY8:EY27">EW8+EX8</f>
        <v>8900.77487</v>
      </c>
      <c r="EZ8" s="78">
        <f aca="true" t="shared" si="95" ref="EZ8:EZ27">EX$6*$F8</f>
        <v>2375.3858764</v>
      </c>
      <c r="FA8" s="77">
        <f aca="true" t="shared" si="96" ref="FA8:FA27">EX$6*$G8</f>
        <v>141.998684</v>
      </c>
      <c r="FB8" s="78"/>
      <c r="FC8" s="78"/>
      <c r="FD8" s="78">
        <f aca="true" t="shared" si="97" ref="FD8:FD27">D8*4.00516/100</f>
        <v>16544.31467</v>
      </c>
      <c r="FE8" s="78">
        <f aca="true" t="shared" si="98" ref="FE8:FE27">FC8+FD8</f>
        <v>16544.31467</v>
      </c>
      <c r="FF8" s="78">
        <f aca="true" t="shared" si="99" ref="FF8:FF27">FD$6*$F8</f>
        <v>4415.2483323999995</v>
      </c>
      <c r="FG8" s="77">
        <f aca="true" t="shared" si="100" ref="FG8:FG27">FD$6*$G8</f>
        <v>263.940044</v>
      </c>
      <c r="FH8" s="78"/>
      <c r="FI8" s="80"/>
      <c r="FJ8" s="78"/>
      <c r="FK8" s="78"/>
      <c r="FL8" s="78"/>
      <c r="FM8" s="77">
        <f aca="true" t="shared" si="101" ref="FM8:FM27">FJ$6*$G8</f>
        <v>0</v>
      </c>
    </row>
    <row r="9" spans="1:169" ht="12">
      <c r="A9" s="19">
        <v>42095</v>
      </c>
      <c r="C9" s="36">
        <v>4665000</v>
      </c>
      <c r="D9" s="36">
        <v>413075</v>
      </c>
      <c r="E9" s="77">
        <f t="shared" si="0"/>
        <v>5078075</v>
      </c>
      <c r="F9" s="77">
        <v>110239</v>
      </c>
      <c r="G9" s="77">
        <v>6590</v>
      </c>
      <c r="H9" s="78"/>
      <c r="I9" s="79">
        <f>'2010C Academic'!I9</f>
        <v>2532282.823500001</v>
      </c>
      <c r="J9" s="79">
        <f>'2010C Academic'!J9</f>
        <v>224227.80864250005</v>
      </c>
      <c r="K9" s="79">
        <f t="shared" si="1"/>
        <v>2756510.632142501</v>
      </c>
      <c r="L9" s="79">
        <f>'2010C Academic'!L9</f>
        <v>59840.5843901</v>
      </c>
      <c r="M9" s="79">
        <f>'2010C Academic'!M9</f>
        <v>3577.2226809999993</v>
      </c>
      <c r="N9" s="78"/>
      <c r="O9" s="78">
        <f t="shared" si="2"/>
        <v>2132717.1765</v>
      </c>
      <c r="P9" s="80">
        <f t="shared" si="2"/>
        <v>188847.19135749995</v>
      </c>
      <c r="Q9" s="78">
        <f t="shared" si="3"/>
        <v>2321564.3678575</v>
      </c>
      <c r="R9" s="78">
        <f t="shared" si="4"/>
        <v>50398.41560990002</v>
      </c>
      <c r="S9" s="78">
        <f t="shared" si="4"/>
        <v>3012.7773190000007</v>
      </c>
      <c r="T9" s="78"/>
      <c r="U9" s="78">
        <f aca="true" t="shared" si="102" ref="U9:U27">C9*8.1724/100</f>
        <v>381242.46</v>
      </c>
      <c r="V9" s="77">
        <f t="shared" si="5"/>
        <v>33758.141299999996</v>
      </c>
      <c r="W9" s="78">
        <f t="shared" si="6"/>
        <v>415000.60130000004</v>
      </c>
      <c r="X9" s="78">
        <f t="shared" si="7"/>
        <v>9009.172036</v>
      </c>
      <c r="Y9" s="77">
        <f t="shared" si="8"/>
        <v>538.5611600000001</v>
      </c>
      <c r="Z9" s="78"/>
      <c r="AA9" s="78">
        <f aca="true" t="shared" si="103" ref="AA9:AA27">C9*5.95646/100</f>
        <v>277868.859</v>
      </c>
      <c r="AB9" s="78">
        <f t="shared" si="9"/>
        <v>24604.647145</v>
      </c>
      <c r="AC9" s="78">
        <f t="shared" si="10"/>
        <v>302473.506145</v>
      </c>
      <c r="AD9" s="78">
        <f t="shared" si="11"/>
        <v>6566.3419394</v>
      </c>
      <c r="AE9" s="77">
        <f t="shared" si="12"/>
        <v>392.530714</v>
      </c>
      <c r="AF9" s="78"/>
      <c r="AG9" s="78">
        <f aca="true" t="shared" si="104" ref="AG9:AG27">C9*3.15804/100</f>
        <v>147322.56600000002</v>
      </c>
      <c r="AH9" s="78">
        <f t="shared" si="13"/>
        <v>13045.073730000002</v>
      </c>
      <c r="AI9" s="78">
        <f t="shared" si="14"/>
        <v>160367.63973000002</v>
      </c>
      <c r="AJ9" s="78">
        <f t="shared" si="15"/>
        <v>3481.3917156</v>
      </c>
      <c r="AK9" s="77">
        <f t="shared" si="16"/>
        <v>208.114836</v>
      </c>
      <c r="AL9" s="78"/>
      <c r="AM9" s="78">
        <f aca="true" t="shared" si="105" ref="AM9:AM27">C9*2.2968/100</f>
        <v>107145.72</v>
      </c>
      <c r="AN9" s="78">
        <f t="shared" si="17"/>
        <v>9487.5066</v>
      </c>
      <c r="AO9" s="78">
        <f t="shared" si="18"/>
        <v>116633.2266</v>
      </c>
      <c r="AP9" s="78">
        <f t="shared" si="19"/>
        <v>2531.969352</v>
      </c>
      <c r="AQ9" s="77">
        <f t="shared" si="20"/>
        <v>151.35912</v>
      </c>
      <c r="AR9" s="78"/>
      <c r="AS9" s="78">
        <f aca="true" t="shared" si="106" ref="AS9:AS27">C9*0.26309/100</f>
        <v>12273.1485</v>
      </c>
      <c r="AT9" s="78">
        <f t="shared" si="21"/>
        <v>1086.7590174999998</v>
      </c>
      <c r="AU9" s="78">
        <f t="shared" si="22"/>
        <v>13359.9075175</v>
      </c>
      <c r="AV9" s="78">
        <f t="shared" si="23"/>
        <v>290.02778509999996</v>
      </c>
      <c r="AW9" s="77">
        <f t="shared" si="24"/>
        <v>17.337631</v>
      </c>
      <c r="AX9" s="78"/>
      <c r="AY9" s="78">
        <f aca="true" t="shared" si="107" ref="AY9:AY27">C9*4.16229/100</f>
        <v>194170.82849999997</v>
      </c>
      <c r="AZ9" s="78">
        <f t="shared" si="25"/>
        <v>17193.379417499997</v>
      </c>
      <c r="BA9" s="78">
        <f t="shared" si="26"/>
        <v>211364.20791749997</v>
      </c>
      <c r="BB9" s="78">
        <f t="shared" si="27"/>
        <v>4588.4668731</v>
      </c>
      <c r="BC9" s="77">
        <f t="shared" si="28"/>
        <v>274.29491099999996</v>
      </c>
      <c r="BD9" s="78"/>
      <c r="BE9" s="78">
        <f aca="true" t="shared" si="108" ref="BE9:BE27">C9*0.45121/100</f>
        <v>21048.9465</v>
      </c>
      <c r="BF9" s="78">
        <f t="shared" si="29"/>
        <v>1863.8357075000001</v>
      </c>
      <c r="BG9" s="78">
        <f t="shared" si="30"/>
        <v>22912.782207499997</v>
      </c>
      <c r="BH9" s="78">
        <f t="shared" si="31"/>
        <v>497.4093919</v>
      </c>
      <c r="BI9" s="77">
        <f t="shared" si="32"/>
        <v>29.734738999999998</v>
      </c>
      <c r="BJ9" s="78"/>
      <c r="BK9" s="78">
        <f aca="true" t="shared" si="109" ref="BK9:BK27">C9*1.41147/100</f>
        <v>65845.07549999999</v>
      </c>
      <c r="BL9" s="78">
        <f t="shared" si="33"/>
        <v>5830.4297025000005</v>
      </c>
      <c r="BM9" s="78">
        <f t="shared" si="34"/>
        <v>71675.50520249999</v>
      </c>
      <c r="BN9" s="78">
        <f t="shared" si="35"/>
        <v>1555.9904133</v>
      </c>
      <c r="BO9" s="77">
        <f t="shared" si="36"/>
        <v>93.015873</v>
      </c>
      <c r="BP9" s="78"/>
      <c r="BQ9" s="78">
        <f aca="true" t="shared" si="110" ref="BQ9:BQ27">C9*0.71579/100</f>
        <v>33391.6035</v>
      </c>
      <c r="BR9" s="78">
        <f t="shared" si="37"/>
        <v>2956.7495425</v>
      </c>
      <c r="BS9" s="78">
        <f t="shared" si="38"/>
        <v>36348.3530425</v>
      </c>
      <c r="BT9" s="78">
        <f t="shared" si="39"/>
        <v>789.0797381</v>
      </c>
      <c r="BU9" s="77">
        <f t="shared" si="40"/>
        <v>47.170561</v>
      </c>
      <c r="BV9" s="78"/>
      <c r="BW9" s="78">
        <f aca="true" t="shared" si="111" ref="BW9:BW27">C9*0.13901/100</f>
        <v>6484.8165</v>
      </c>
      <c r="BX9" s="78">
        <f t="shared" si="41"/>
        <v>574.2155575</v>
      </c>
      <c r="BY9" s="78">
        <f t="shared" si="42"/>
        <v>7059.0320575</v>
      </c>
      <c r="BZ9" s="78">
        <f t="shared" si="43"/>
        <v>153.2432339</v>
      </c>
      <c r="CA9" s="77">
        <f t="shared" si="44"/>
        <v>9.160759</v>
      </c>
      <c r="CB9" s="78"/>
      <c r="CC9" s="78">
        <f aca="true" t="shared" si="112" ref="CC9:CC27">C9*0.55234/100</f>
        <v>25766.661</v>
      </c>
      <c r="CD9" s="78">
        <f t="shared" si="45"/>
        <v>2281.5784550000003</v>
      </c>
      <c r="CE9" s="78">
        <f t="shared" si="46"/>
        <v>28048.239455</v>
      </c>
      <c r="CF9" s="78">
        <f t="shared" si="47"/>
        <v>608.8940926</v>
      </c>
      <c r="CG9" s="77">
        <f t="shared" si="48"/>
        <v>36.399206</v>
      </c>
      <c r="CH9" s="78"/>
      <c r="CI9" s="78">
        <f aca="true" t="shared" si="113" ref="CI9:CI27">C9*1.34713/100</f>
        <v>62843.614499999996</v>
      </c>
      <c r="CJ9" s="78">
        <f t="shared" si="49"/>
        <v>5564.657247499999</v>
      </c>
      <c r="CK9" s="78">
        <f t="shared" si="50"/>
        <v>68408.2717475</v>
      </c>
      <c r="CL9" s="78">
        <f t="shared" si="51"/>
        <v>1485.0626407</v>
      </c>
      <c r="CM9" s="77">
        <f t="shared" si="52"/>
        <v>88.775867</v>
      </c>
      <c r="CN9" s="78"/>
      <c r="CO9" s="78">
        <f aca="true" t="shared" si="114" ref="CO9:CO27">C9*3.01524/100</f>
        <v>140660.946</v>
      </c>
      <c r="CP9" s="78">
        <f t="shared" si="53"/>
        <v>12455.20263</v>
      </c>
      <c r="CQ9" s="78">
        <f t="shared" si="54"/>
        <v>153116.14863</v>
      </c>
      <c r="CR9" s="78">
        <f t="shared" si="55"/>
        <v>3323.9704236</v>
      </c>
      <c r="CS9" s="77">
        <f t="shared" si="56"/>
        <v>198.704316</v>
      </c>
      <c r="CT9" s="78"/>
      <c r="CU9" s="78">
        <f aca="true" t="shared" si="115" ref="CU9:CU27">C9*0.45619/100</f>
        <v>21281.2635</v>
      </c>
      <c r="CV9" s="78">
        <f t="shared" si="57"/>
        <v>1884.4068424999998</v>
      </c>
      <c r="CW9" s="78">
        <f t="shared" si="58"/>
        <v>23165.6703425</v>
      </c>
      <c r="CX9" s="78">
        <f t="shared" si="59"/>
        <v>502.89929409999996</v>
      </c>
      <c r="CY9" s="77">
        <f t="shared" si="60"/>
        <v>30.062921</v>
      </c>
      <c r="CZ9" s="78"/>
      <c r="DA9" s="78">
        <f aca="true" t="shared" si="116" ref="DA9:DA27">C9*1.31079/100</f>
        <v>61148.3535</v>
      </c>
      <c r="DB9" s="78">
        <f t="shared" si="61"/>
        <v>5414.545792499999</v>
      </c>
      <c r="DC9" s="78">
        <f t="shared" si="62"/>
        <v>66562.89929249999</v>
      </c>
      <c r="DD9" s="78">
        <f t="shared" si="63"/>
        <v>1445.0017881</v>
      </c>
      <c r="DE9" s="77">
        <f t="shared" si="64"/>
        <v>86.381061</v>
      </c>
      <c r="DF9" s="78"/>
      <c r="DG9" s="78">
        <f aca="true" t="shared" si="117" ref="DG9:DG27">C9*0.05051/100</f>
        <v>2356.2915</v>
      </c>
      <c r="DH9" s="78">
        <f t="shared" si="65"/>
        <v>208.6441825</v>
      </c>
      <c r="DI9" s="78">
        <f t="shared" si="66"/>
        <v>2564.9356825</v>
      </c>
      <c r="DJ9" s="78">
        <f t="shared" si="67"/>
        <v>55.6817189</v>
      </c>
      <c r="DK9" s="77">
        <f t="shared" si="68"/>
        <v>3.3286089999999997</v>
      </c>
      <c r="DL9" s="78"/>
      <c r="DM9" s="90">
        <f aca="true" t="shared" si="118" ref="DM9:DM27">C9*2.76518/100</f>
        <v>128995.647</v>
      </c>
      <c r="DN9" s="90">
        <f t="shared" si="69"/>
        <v>11422.267285</v>
      </c>
      <c r="DO9" s="90">
        <f t="shared" si="70"/>
        <v>140417.914285</v>
      </c>
      <c r="DP9" s="90">
        <f t="shared" si="71"/>
        <v>3048.3067802</v>
      </c>
      <c r="DQ9" s="94">
        <f t="shared" si="72"/>
        <v>182.22536200000002</v>
      </c>
      <c r="DR9" s="78"/>
      <c r="DS9" s="78">
        <f aca="true" t="shared" si="119" ref="DS9:DS27">C9*0.43534/100</f>
        <v>20308.611</v>
      </c>
      <c r="DT9" s="78">
        <f t="shared" si="73"/>
        <v>1798.2807050000001</v>
      </c>
      <c r="DU9" s="78">
        <f t="shared" si="74"/>
        <v>22106.891705000002</v>
      </c>
      <c r="DV9" s="78">
        <f t="shared" si="75"/>
        <v>479.91446260000004</v>
      </c>
      <c r="DW9" s="77">
        <f t="shared" si="76"/>
        <v>28.688906000000003</v>
      </c>
      <c r="DX9" s="78"/>
      <c r="DY9" s="78">
        <f aca="true" t="shared" si="120" ref="DY9:DY27">C9*2.24029/100</f>
        <v>104509.5285</v>
      </c>
      <c r="DZ9" s="78">
        <f t="shared" si="77"/>
        <v>9254.077917499999</v>
      </c>
      <c r="EA9" s="78">
        <f t="shared" si="78"/>
        <v>113763.6064175</v>
      </c>
      <c r="EB9" s="78">
        <f t="shared" si="79"/>
        <v>2469.6732931</v>
      </c>
      <c r="EC9" s="77">
        <f t="shared" si="80"/>
        <v>147.635111</v>
      </c>
      <c r="ED9" s="78"/>
      <c r="EE9" s="78">
        <f aca="true" t="shared" si="121" ref="EE9:EE27">C9*0.63958/100</f>
        <v>29836.407000000003</v>
      </c>
      <c r="EF9" s="78">
        <f t="shared" si="81"/>
        <v>2641.945085</v>
      </c>
      <c r="EG9" s="78">
        <f t="shared" si="82"/>
        <v>32478.352085000002</v>
      </c>
      <c r="EH9" s="78">
        <f t="shared" si="83"/>
        <v>705.0665962</v>
      </c>
      <c r="EI9" s="77">
        <f t="shared" si="84"/>
        <v>42.148322</v>
      </c>
      <c r="EJ9" s="78"/>
      <c r="EK9" s="78">
        <f aca="true" t="shared" si="122" ref="EK9:EK27">C9*0.00642/100</f>
        <v>299.49300000000005</v>
      </c>
      <c r="EL9" s="78">
        <f t="shared" si="85"/>
        <v>26.519415000000002</v>
      </c>
      <c r="EM9" s="78">
        <f t="shared" si="86"/>
        <v>326.01241500000003</v>
      </c>
      <c r="EN9" s="78">
        <f t="shared" si="87"/>
        <v>7.0773438</v>
      </c>
      <c r="EO9" s="77">
        <f t="shared" si="88"/>
        <v>0.423078</v>
      </c>
      <c r="EP9" s="78"/>
      <c r="EQ9" s="78">
        <f aca="true" t="shared" si="123" ref="EQ9:EQ27">C9*0.01192/100</f>
        <v>556.068</v>
      </c>
      <c r="ER9" s="78">
        <f t="shared" si="89"/>
        <v>49.23854</v>
      </c>
      <c r="ES9" s="78">
        <f t="shared" si="90"/>
        <v>605.30654</v>
      </c>
      <c r="ET9" s="78">
        <f t="shared" si="91"/>
        <v>13.1404888</v>
      </c>
      <c r="EU9" s="77">
        <f t="shared" si="92"/>
        <v>0.785528</v>
      </c>
      <c r="EV9" s="78"/>
      <c r="EW9" s="78">
        <f aca="true" t="shared" si="124" ref="EW9:EW27">C9*2.15476/100</f>
        <v>100519.554</v>
      </c>
      <c r="EX9" s="78">
        <f t="shared" si="93"/>
        <v>8900.77487</v>
      </c>
      <c r="EY9" s="78">
        <f t="shared" si="94"/>
        <v>109420.32887</v>
      </c>
      <c r="EZ9" s="78">
        <f t="shared" si="95"/>
        <v>2375.3858764</v>
      </c>
      <c r="FA9" s="77">
        <f t="shared" si="96"/>
        <v>141.998684</v>
      </c>
      <c r="FB9" s="78"/>
      <c r="FC9" s="78">
        <f aca="true" t="shared" si="125" ref="FC9:FC27">C9*4.00516/100</f>
        <v>186840.71399999998</v>
      </c>
      <c r="FD9" s="78">
        <f t="shared" si="97"/>
        <v>16544.31467</v>
      </c>
      <c r="FE9" s="78">
        <f t="shared" si="98"/>
        <v>203385.02866999997</v>
      </c>
      <c r="FF9" s="78">
        <f t="shared" si="99"/>
        <v>4415.2483323999995</v>
      </c>
      <c r="FG9" s="77">
        <f t="shared" si="100"/>
        <v>263.940044</v>
      </c>
      <c r="FH9" s="78"/>
      <c r="FI9" s="80"/>
      <c r="FJ9" s="78"/>
      <c r="FK9" s="78"/>
      <c r="FL9" s="78"/>
      <c r="FM9" s="77">
        <f t="shared" si="101"/>
        <v>0</v>
      </c>
    </row>
    <row r="10" spans="1:169" ht="12">
      <c r="A10" s="19">
        <v>42278</v>
      </c>
      <c r="C10" s="36"/>
      <c r="D10" s="36">
        <v>343100</v>
      </c>
      <c r="E10" s="77">
        <f t="shared" si="0"/>
        <v>343100</v>
      </c>
      <c r="F10" s="77">
        <v>110239</v>
      </c>
      <c r="G10" s="77">
        <v>6590</v>
      </c>
      <c r="H10" s="78"/>
      <c r="I10" s="79">
        <f>'2010C Academic'!I10</f>
        <v>0</v>
      </c>
      <c r="J10" s="79">
        <f>'2010C Academic'!J10</f>
        <v>186243.56629</v>
      </c>
      <c r="K10" s="79">
        <f t="shared" si="1"/>
        <v>186243.56629</v>
      </c>
      <c r="L10" s="79">
        <f>'2010C Academic'!L10</f>
        <v>59840.5843901</v>
      </c>
      <c r="M10" s="79">
        <f>'2010C Academic'!M10</f>
        <v>3577.2226809999993</v>
      </c>
      <c r="N10" s="78"/>
      <c r="O10" s="78">
        <f t="shared" si="2"/>
        <v>0</v>
      </c>
      <c r="P10" s="80">
        <f t="shared" si="2"/>
        <v>156856.43370999995</v>
      </c>
      <c r="Q10" s="78">
        <f t="shared" si="3"/>
        <v>156856.43370999995</v>
      </c>
      <c r="R10" s="78">
        <f t="shared" si="4"/>
        <v>50398.41560990002</v>
      </c>
      <c r="S10" s="78">
        <f t="shared" si="4"/>
        <v>3012.7773190000007</v>
      </c>
      <c r="T10" s="78"/>
      <c r="U10" s="78"/>
      <c r="V10" s="77">
        <f t="shared" si="5"/>
        <v>28039.504399999998</v>
      </c>
      <c r="W10" s="78">
        <f t="shared" si="6"/>
        <v>28039.504399999998</v>
      </c>
      <c r="X10" s="78">
        <f t="shared" si="7"/>
        <v>9009.172036</v>
      </c>
      <c r="Y10" s="77">
        <f t="shared" si="8"/>
        <v>538.5611600000001</v>
      </c>
      <c r="Z10" s="78"/>
      <c r="AA10" s="78"/>
      <c r="AB10" s="78">
        <f t="shared" si="9"/>
        <v>20436.61426</v>
      </c>
      <c r="AC10" s="78">
        <f t="shared" si="10"/>
        <v>20436.61426</v>
      </c>
      <c r="AD10" s="78">
        <f t="shared" si="11"/>
        <v>6566.3419394</v>
      </c>
      <c r="AE10" s="77">
        <f t="shared" si="12"/>
        <v>392.530714</v>
      </c>
      <c r="AF10" s="78"/>
      <c r="AG10" s="78"/>
      <c r="AH10" s="78">
        <f t="shared" si="13"/>
        <v>10835.23524</v>
      </c>
      <c r="AI10" s="78">
        <f t="shared" si="14"/>
        <v>10835.23524</v>
      </c>
      <c r="AJ10" s="78">
        <f t="shared" si="15"/>
        <v>3481.3917156</v>
      </c>
      <c r="AK10" s="77">
        <f t="shared" si="16"/>
        <v>208.114836</v>
      </c>
      <c r="AL10" s="78"/>
      <c r="AM10" s="78"/>
      <c r="AN10" s="78">
        <f t="shared" si="17"/>
        <v>7880.3208</v>
      </c>
      <c r="AO10" s="78">
        <f t="shared" si="18"/>
        <v>7880.3208</v>
      </c>
      <c r="AP10" s="78">
        <f t="shared" si="19"/>
        <v>2531.969352</v>
      </c>
      <c r="AQ10" s="77">
        <f t="shared" si="20"/>
        <v>151.35912</v>
      </c>
      <c r="AR10" s="78"/>
      <c r="AS10" s="78"/>
      <c r="AT10" s="78">
        <f t="shared" si="21"/>
        <v>902.66179</v>
      </c>
      <c r="AU10" s="78">
        <f t="shared" si="22"/>
        <v>902.66179</v>
      </c>
      <c r="AV10" s="78">
        <f t="shared" si="23"/>
        <v>290.02778509999996</v>
      </c>
      <c r="AW10" s="77">
        <f t="shared" si="24"/>
        <v>17.337631</v>
      </c>
      <c r="AX10" s="78"/>
      <c r="AY10" s="78"/>
      <c r="AZ10" s="78">
        <f t="shared" si="25"/>
        <v>14280.816989999998</v>
      </c>
      <c r="BA10" s="78">
        <f t="shared" si="26"/>
        <v>14280.816989999998</v>
      </c>
      <c r="BB10" s="78">
        <f t="shared" si="27"/>
        <v>4588.4668731</v>
      </c>
      <c r="BC10" s="77">
        <f t="shared" si="28"/>
        <v>274.29491099999996</v>
      </c>
      <c r="BD10" s="78"/>
      <c r="BE10" s="78"/>
      <c r="BF10" s="78">
        <f t="shared" si="29"/>
        <v>1548.1015100000002</v>
      </c>
      <c r="BG10" s="78">
        <f t="shared" si="30"/>
        <v>1548.1015100000002</v>
      </c>
      <c r="BH10" s="78">
        <f t="shared" si="31"/>
        <v>497.4093919</v>
      </c>
      <c r="BI10" s="77">
        <f t="shared" si="32"/>
        <v>29.734738999999998</v>
      </c>
      <c r="BJ10" s="78"/>
      <c r="BK10" s="78"/>
      <c r="BL10" s="78">
        <f t="shared" si="33"/>
        <v>4842.75357</v>
      </c>
      <c r="BM10" s="78">
        <f t="shared" si="34"/>
        <v>4842.75357</v>
      </c>
      <c r="BN10" s="78">
        <f t="shared" si="35"/>
        <v>1555.9904133</v>
      </c>
      <c r="BO10" s="77">
        <f t="shared" si="36"/>
        <v>93.015873</v>
      </c>
      <c r="BP10" s="78"/>
      <c r="BQ10" s="78"/>
      <c r="BR10" s="78">
        <f t="shared" si="37"/>
        <v>2455.87549</v>
      </c>
      <c r="BS10" s="78">
        <f t="shared" si="38"/>
        <v>2455.87549</v>
      </c>
      <c r="BT10" s="78">
        <f t="shared" si="39"/>
        <v>789.0797381</v>
      </c>
      <c r="BU10" s="77">
        <f t="shared" si="40"/>
        <v>47.170561</v>
      </c>
      <c r="BV10" s="78"/>
      <c r="BW10" s="78"/>
      <c r="BX10" s="78">
        <f t="shared" si="41"/>
        <v>476.94331</v>
      </c>
      <c r="BY10" s="78">
        <f t="shared" si="42"/>
        <v>476.94331</v>
      </c>
      <c r="BZ10" s="78">
        <f t="shared" si="43"/>
        <v>153.2432339</v>
      </c>
      <c r="CA10" s="77">
        <f t="shared" si="44"/>
        <v>9.160759</v>
      </c>
      <c r="CB10" s="78"/>
      <c r="CC10" s="78"/>
      <c r="CD10" s="78">
        <f t="shared" si="45"/>
        <v>1895.0785400000002</v>
      </c>
      <c r="CE10" s="78">
        <f t="shared" si="46"/>
        <v>1895.0785400000002</v>
      </c>
      <c r="CF10" s="78">
        <f t="shared" si="47"/>
        <v>608.8940926</v>
      </c>
      <c r="CG10" s="77">
        <f t="shared" si="48"/>
        <v>36.399206</v>
      </c>
      <c r="CH10" s="78"/>
      <c r="CI10" s="78"/>
      <c r="CJ10" s="78">
        <f t="shared" si="49"/>
        <v>4622.00303</v>
      </c>
      <c r="CK10" s="78">
        <f t="shared" si="50"/>
        <v>4622.00303</v>
      </c>
      <c r="CL10" s="78">
        <f t="shared" si="51"/>
        <v>1485.0626407</v>
      </c>
      <c r="CM10" s="77">
        <f t="shared" si="52"/>
        <v>88.775867</v>
      </c>
      <c r="CN10" s="78"/>
      <c r="CO10" s="78"/>
      <c r="CP10" s="78">
        <f t="shared" si="53"/>
        <v>10345.288439999998</v>
      </c>
      <c r="CQ10" s="78">
        <f t="shared" si="54"/>
        <v>10345.288439999998</v>
      </c>
      <c r="CR10" s="78">
        <f t="shared" si="55"/>
        <v>3323.9704236</v>
      </c>
      <c r="CS10" s="77">
        <f t="shared" si="56"/>
        <v>198.704316</v>
      </c>
      <c r="CT10" s="78"/>
      <c r="CU10" s="78"/>
      <c r="CV10" s="78">
        <f t="shared" si="57"/>
        <v>1565.18789</v>
      </c>
      <c r="CW10" s="78">
        <f t="shared" si="58"/>
        <v>1565.18789</v>
      </c>
      <c r="CX10" s="78">
        <f t="shared" si="59"/>
        <v>502.89929409999996</v>
      </c>
      <c r="CY10" s="77">
        <f t="shared" si="60"/>
        <v>30.062921</v>
      </c>
      <c r="CZ10" s="78"/>
      <c r="DA10" s="78"/>
      <c r="DB10" s="78">
        <f t="shared" si="61"/>
        <v>4497.320489999999</v>
      </c>
      <c r="DC10" s="78">
        <f t="shared" si="62"/>
        <v>4497.320489999999</v>
      </c>
      <c r="DD10" s="78">
        <f t="shared" si="63"/>
        <v>1445.0017881</v>
      </c>
      <c r="DE10" s="77">
        <f t="shared" si="64"/>
        <v>86.381061</v>
      </c>
      <c r="DF10" s="78"/>
      <c r="DG10" s="78"/>
      <c r="DH10" s="78">
        <f t="shared" si="65"/>
        <v>173.29981</v>
      </c>
      <c r="DI10" s="78">
        <f t="shared" si="66"/>
        <v>173.29981</v>
      </c>
      <c r="DJ10" s="78">
        <f t="shared" si="67"/>
        <v>55.6817189</v>
      </c>
      <c r="DK10" s="77">
        <f t="shared" si="68"/>
        <v>3.3286089999999997</v>
      </c>
      <c r="DL10" s="78"/>
      <c r="DM10" s="90"/>
      <c r="DN10" s="90">
        <f t="shared" si="69"/>
        <v>9487.33258</v>
      </c>
      <c r="DO10" s="90">
        <f t="shared" si="70"/>
        <v>9487.33258</v>
      </c>
      <c r="DP10" s="90">
        <f t="shared" si="71"/>
        <v>3048.3067802</v>
      </c>
      <c r="DQ10" s="94">
        <f t="shared" si="72"/>
        <v>182.22536200000002</v>
      </c>
      <c r="DR10" s="78"/>
      <c r="DS10" s="78"/>
      <c r="DT10" s="78">
        <f t="shared" si="73"/>
        <v>1493.65154</v>
      </c>
      <c r="DU10" s="78">
        <f t="shared" si="74"/>
        <v>1493.65154</v>
      </c>
      <c r="DV10" s="78">
        <f t="shared" si="75"/>
        <v>479.91446260000004</v>
      </c>
      <c r="DW10" s="77">
        <f t="shared" si="76"/>
        <v>28.688906000000003</v>
      </c>
      <c r="DX10" s="78"/>
      <c r="DY10" s="78"/>
      <c r="DZ10" s="78">
        <f t="shared" si="77"/>
        <v>7686.43499</v>
      </c>
      <c r="EA10" s="78">
        <f t="shared" si="78"/>
        <v>7686.43499</v>
      </c>
      <c r="EB10" s="78">
        <f t="shared" si="79"/>
        <v>2469.6732931</v>
      </c>
      <c r="EC10" s="77">
        <f t="shared" si="80"/>
        <v>147.635111</v>
      </c>
      <c r="ED10" s="78"/>
      <c r="EE10" s="78"/>
      <c r="EF10" s="78">
        <f t="shared" si="81"/>
        <v>2194.39898</v>
      </c>
      <c r="EG10" s="78">
        <f t="shared" si="82"/>
        <v>2194.39898</v>
      </c>
      <c r="EH10" s="78">
        <f t="shared" si="83"/>
        <v>705.0665962</v>
      </c>
      <c r="EI10" s="77">
        <f t="shared" si="84"/>
        <v>42.148322</v>
      </c>
      <c r="EJ10" s="78"/>
      <c r="EK10" s="78"/>
      <c r="EL10" s="78">
        <f t="shared" si="85"/>
        <v>22.027020000000004</v>
      </c>
      <c r="EM10" s="78">
        <f t="shared" si="86"/>
        <v>22.027020000000004</v>
      </c>
      <c r="EN10" s="78">
        <f t="shared" si="87"/>
        <v>7.0773438</v>
      </c>
      <c r="EO10" s="77">
        <f t="shared" si="88"/>
        <v>0.423078</v>
      </c>
      <c r="EP10" s="78"/>
      <c r="EQ10" s="78"/>
      <c r="ER10" s="78">
        <f t="shared" si="89"/>
        <v>40.89752</v>
      </c>
      <c r="ES10" s="78">
        <f t="shared" si="90"/>
        <v>40.89752</v>
      </c>
      <c r="ET10" s="78">
        <f t="shared" si="91"/>
        <v>13.1404888</v>
      </c>
      <c r="EU10" s="77">
        <f t="shared" si="92"/>
        <v>0.785528</v>
      </c>
      <c r="EV10" s="78"/>
      <c r="EW10" s="78"/>
      <c r="EX10" s="78">
        <f t="shared" si="93"/>
        <v>7392.981559999999</v>
      </c>
      <c r="EY10" s="78">
        <f t="shared" si="94"/>
        <v>7392.981559999999</v>
      </c>
      <c r="EZ10" s="78">
        <f t="shared" si="95"/>
        <v>2375.3858764</v>
      </c>
      <c r="FA10" s="77">
        <f t="shared" si="96"/>
        <v>141.998684</v>
      </c>
      <c r="FB10" s="78"/>
      <c r="FC10" s="78"/>
      <c r="FD10" s="78">
        <f t="shared" si="97"/>
        <v>13741.703959999999</v>
      </c>
      <c r="FE10" s="78">
        <f t="shared" si="98"/>
        <v>13741.703959999999</v>
      </c>
      <c r="FF10" s="78">
        <f t="shared" si="99"/>
        <v>4415.2483323999995</v>
      </c>
      <c r="FG10" s="77">
        <f t="shared" si="100"/>
        <v>263.940044</v>
      </c>
      <c r="FH10" s="78"/>
      <c r="FI10" s="80"/>
      <c r="FJ10" s="78"/>
      <c r="FK10" s="78"/>
      <c r="FL10" s="78"/>
      <c r="FM10" s="77">
        <f t="shared" si="101"/>
        <v>0</v>
      </c>
    </row>
    <row r="11" spans="1:169" ht="12">
      <c r="A11" s="19">
        <v>42461</v>
      </c>
      <c r="C11" s="36"/>
      <c r="D11" s="36">
        <v>343100</v>
      </c>
      <c r="E11" s="77">
        <f t="shared" si="0"/>
        <v>343100</v>
      </c>
      <c r="F11" s="77">
        <v>110239</v>
      </c>
      <c r="G11" s="77">
        <v>6590</v>
      </c>
      <c r="H11" s="78"/>
      <c r="I11" s="79">
        <f>'2010C Academic'!I11</f>
        <v>0</v>
      </c>
      <c r="J11" s="79">
        <f>'2010C Academic'!J11</f>
        <v>186243.56629</v>
      </c>
      <c r="K11" s="79">
        <f t="shared" si="1"/>
        <v>186243.56629</v>
      </c>
      <c r="L11" s="79">
        <f>'2010C Academic'!L11</f>
        <v>59840.5843901</v>
      </c>
      <c r="M11" s="79">
        <f>'2010C Academic'!M11</f>
        <v>3577.2226809999993</v>
      </c>
      <c r="N11" s="78"/>
      <c r="O11" s="78">
        <f t="shared" si="2"/>
        <v>0</v>
      </c>
      <c r="P11" s="80">
        <f t="shared" si="2"/>
        <v>156856.43370999995</v>
      </c>
      <c r="Q11" s="78">
        <f t="shared" si="3"/>
        <v>156856.43370999995</v>
      </c>
      <c r="R11" s="78">
        <f t="shared" si="4"/>
        <v>50398.41560990002</v>
      </c>
      <c r="S11" s="78">
        <f t="shared" si="4"/>
        <v>3012.7773190000007</v>
      </c>
      <c r="T11" s="78"/>
      <c r="U11" s="78">
        <f t="shared" si="102"/>
        <v>0</v>
      </c>
      <c r="V11" s="77">
        <f t="shared" si="5"/>
        <v>28039.504399999998</v>
      </c>
      <c r="W11" s="78">
        <f t="shared" si="6"/>
        <v>28039.504399999998</v>
      </c>
      <c r="X11" s="78">
        <f t="shared" si="7"/>
        <v>9009.172036</v>
      </c>
      <c r="Y11" s="77">
        <f t="shared" si="8"/>
        <v>538.5611600000001</v>
      </c>
      <c r="Z11" s="78"/>
      <c r="AA11" s="78">
        <f t="shared" si="103"/>
        <v>0</v>
      </c>
      <c r="AB11" s="78">
        <f t="shared" si="9"/>
        <v>20436.61426</v>
      </c>
      <c r="AC11" s="78">
        <f t="shared" si="10"/>
        <v>20436.61426</v>
      </c>
      <c r="AD11" s="78">
        <f t="shared" si="11"/>
        <v>6566.3419394</v>
      </c>
      <c r="AE11" s="77">
        <f t="shared" si="12"/>
        <v>392.530714</v>
      </c>
      <c r="AF11" s="78"/>
      <c r="AG11" s="78">
        <f t="shared" si="104"/>
        <v>0</v>
      </c>
      <c r="AH11" s="78">
        <f t="shared" si="13"/>
        <v>10835.23524</v>
      </c>
      <c r="AI11" s="78">
        <f t="shared" si="14"/>
        <v>10835.23524</v>
      </c>
      <c r="AJ11" s="78">
        <f t="shared" si="15"/>
        <v>3481.3917156</v>
      </c>
      <c r="AK11" s="77">
        <f t="shared" si="16"/>
        <v>208.114836</v>
      </c>
      <c r="AL11" s="78"/>
      <c r="AM11" s="78">
        <f t="shared" si="105"/>
        <v>0</v>
      </c>
      <c r="AN11" s="78">
        <f t="shared" si="17"/>
        <v>7880.3208</v>
      </c>
      <c r="AO11" s="78">
        <f t="shared" si="18"/>
        <v>7880.3208</v>
      </c>
      <c r="AP11" s="78">
        <f t="shared" si="19"/>
        <v>2531.969352</v>
      </c>
      <c r="AQ11" s="77">
        <f t="shared" si="20"/>
        <v>151.35912</v>
      </c>
      <c r="AR11" s="78"/>
      <c r="AS11" s="78">
        <f t="shared" si="106"/>
        <v>0</v>
      </c>
      <c r="AT11" s="78">
        <f t="shared" si="21"/>
        <v>902.66179</v>
      </c>
      <c r="AU11" s="78">
        <f t="shared" si="22"/>
        <v>902.66179</v>
      </c>
      <c r="AV11" s="78">
        <f t="shared" si="23"/>
        <v>290.02778509999996</v>
      </c>
      <c r="AW11" s="77">
        <f t="shared" si="24"/>
        <v>17.337631</v>
      </c>
      <c r="AX11" s="78"/>
      <c r="AY11" s="78">
        <f t="shared" si="107"/>
        <v>0</v>
      </c>
      <c r="AZ11" s="78">
        <f t="shared" si="25"/>
        <v>14280.816989999998</v>
      </c>
      <c r="BA11" s="78">
        <f t="shared" si="26"/>
        <v>14280.816989999998</v>
      </c>
      <c r="BB11" s="78">
        <f t="shared" si="27"/>
        <v>4588.4668731</v>
      </c>
      <c r="BC11" s="77">
        <f t="shared" si="28"/>
        <v>274.29491099999996</v>
      </c>
      <c r="BD11" s="78"/>
      <c r="BE11" s="78">
        <f t="shared" si="108"/>
        <v>0</v>
      </c>
      <c r="BF11" s="78">
        <f t="shared" si="29"/>
        <v>1548.1015100000002</v>
      </c>
      <c r="BG11" s="78">
        <f t="shared" si="30"/>
        <v>1548.1015100000002</v>
      </c>
      <c r="BH11" s="78">
        <f t="shared" si="31"/>
        <v>497.4093919</v>
      </c>
      <c r="BI11" s="77">
        <f t="shared" si="32"/>
        <v>29.734738999999998</v>
      </c>
      <c r="BJ11" s="78"/>
      <c r="BK11" s="78">
        <f t="shared" si="109"/>
        <v>0</v>
      </c>
      <c r="BL11" s="78">
        <f t="shared" si="33"/>
        <v>4842.75357</v>
      </c>
      <c r="BM11" s="78">
        <f t="shared" si="34"/>
        <v>4842.75357</v>
      </c>
      <c r="BN11" s="78">
        <f t="shared" si="35"/>
        <v>1555.9904133</v>
      </c>
      <c r="BO11" s="77">
        <f t="shared" si="36"/>
        <v>93.015873</v>
      </c>
      <c r="BP11" s="78"/>
      <c r="BQ11" s="78">
        <f t="shared" si="110"/>
        <v>0</v>
      </c>
      <c r="BR11" s="78">
        <f t="shared" si="37"/>
        <v>2455.87549</v>
      </c>
      <c r="BS11" s="78">
        <f t="shared" si="38"/>
        <v>2455.87549</v>
      </c>
      <c r="BT11" s="78">
        <f t="shared" si="39"/>
        <v>789.0797381</v>
      </c>
      <c r="BU11" s="77">
        <f t="shared" si="40"/>
        <v>47.170561</v>
      </c>
      <c r="BV11" s="78"/>
      <c r="BW11" s="78">
        <f t="shared" si="111"/>
        <v>0</v>
      </c>
      <c r="BX11" s="78">
        <f t="shared" si="41"/>
        <v>476.94331</v>
      </c>
      <c r="BY11" s="78">
        <f t="shared" si="42"/>
        <v>476.94331</v>
      </c>
      <c r="BZ11" s="78">
        <f t="shared" si="43"/>
        <v>153.2432339</v>
      </c>
      <c r="CA11" s="77">
        <f t="shared" si="44"/>
        <v>9.160759</v>
      </c>
      <c r="CB11" s="78"/>
      <c r="CC11" s="78">
        <f t="shared" si="112"/>
        <v>0</v>
      </c>
      <c r="CD11" s="78">
        <f t="shared" si="45"/>
        <v>1895.0785400000002</v>
      </c>
      <c r="CE11" s="78">
        <f t="shared" si="46"/>
        <v>1895.0785400000002</v>
      </c>
      <c r="CF11" s="78">
        <f t="shared" si="47"/>
        <v>608.8940926</v>
      </c>
      <c r="CG11" s="77">
        <f t="shared" si="48"/>
        <v>36.399206</v>
      </c>
      <c r="CH11" s="78"/>
      <c r="CI11" s="78">
        <f t="shared" si="113"/>
        <v>0</v>
      </c>
      <c r="CJ11" s="78">
        <f t="shared" si="49"/>
        <v>4622.00303</v>
      </c>
      <c r="CK11" s="78">
        <f t="shared" si="50"/>
        <v>4622.00303</v>
      </c>
      <c r="CL11" s="78">
        <f t="shared" si="51"/>
        <v>1485.0626407</v>
      </c>
      <c r="CM11" s="77">
        <f t="shared" si="52"/>
        <v>88.775867</v>
      </c>
      <c r="CN11" s="78"/>
      <c r="CO11" s="78">
        <f t="shared" si="114"/>
        <v>0</v>
      </c>
      <c r="CP11" s="78">
        <f t="shared" si="53"/>
        <v>10345.288439999998</v>
      </c>
      <c r="CQ11" s="78">
        <f t="shared" si="54"/>
        <v>10345.288439999998</v>
      </c>
      <c r="CR11" s="78">
        <f t="shared" si="55"/>
        <v>3323.9704236</v>
      </c>
      <c r="CS11" s="77">
        <f t="shared" si="56"/>
        <v>198.704316</v>
      </c>
      <c r="CT11" s="78"/>
      <c r="CU11" s="78">
        <f t="shared" si="115"/>
        <v>0</v>
      </c>
      <c r="CV11" s="78">
        <f t="shared" si="57"/>
        <v>1565.18789</v>
      </c>
      <c r="CW11" s="78">
        <f t="shared" si="58"/>
        <v>1565.18789</v>
      </c>
      <c r="CX11" s="78">
        <f t="shared" si="59"/>
        <v>502.89929409999996</v>
      </c>
      <c r="CY11" s="77">
        <f t="shared" si="60"/>
        <v>30.062921</v>
      </c>
      <c r="CZ11" s="78"/>
      <c r="DA11" s="78">
        <f t="shared" si="116"/>
        <v>0</v>
      </c>
      <c r="DB11" s="78">
        <f t="shared" si="61"/>
        <v>4497.320489999999</v>
      </c>
      <c r="DC11" s="78">
        <f t="shared" si="62"/>
        <v>4497.320489999999</v>
      </c>
      <c r="DD11" s="78">
        <f t="shared" si="63"/>
        <v>1445.0017881</v>
      </c>
      <c r="DE11" s="77">
        <f t="shared" si="64"/>
        <v>86.381061</v>
      </c>
      <c r="DF11" s="78"/>
      <c r="DG11" s="78">
        <f t="shared" si="117"/>
        <v>0</v>
      </c>
      <c r="DH11" s="78">
        <f t="shared" si="65"/>
        <v>173.29981</v>
      </c>
      <c r="DI11" s="78">
        <f t="shared" si="66"/>
        <v>173.29981</v>
      </c>
      <c r="DJ11" s="78">
        <f t="shared" si="67"/>
        <v>55.6817189</v>
      </c>
      <c r="DK11" s="77">
        <f t="shared" si="68"/>
        <v>3.3286089999999997</v>
      </c>
      <c r="DL11" s="78"/>
      <c r="DM11" s="90">
        <f t="shared" si="118"/>
        <v>0</v>
      </c>
      <c r="DN11" s="90">
        <f t="shared" si="69"/>
        <v>9487.33258</v>
      </c>
      <c r="DO11" s="90">
        <f t="shared" si="70"/>
        <v>9487.33258</v>
      </c>
      <c r="DP11" s="90">
        <f t="shared" si="71"/>
        <v>3048.3067802</v>
      </c>
      <c r="DQ11" s="94">
        <f t="shared" si="72"/>
        <v>182.22536200000002</v>
      </c>
      <c r="DR11" s="78"/>
      <c r="DS11" s="78">
        <f t="shared" si="119"/>
        <v>0</v>
      </c>
      <c r="DT11" s="78">
        <f t="shared" si="73"/>
        <v>1493.65154</v>
      </c>
      <c r="DU11" s="78">
        <f t="shared" si="74"/>
        <v>1493.65154</v>
      </c>
      <c r="DV11" s="78">
        <f t="shared" si="75"/>
        <v>479.91446260000004</v>
      </c>
      <c r="DW11" s="77">
        <f t="shared" si="76"/>
        <v>28.688906000000003</v>
      </c>
      <c r="DX11" s="78"/>
      <c r="DY11" s="78">
        <f t="shared" si="120"/>
        <v>0</v>
      </c>
      <c r="DZ11" s="78">
        <f t="shared" si="77"/>
        <v>7686.43499</v>
      </c>
      <c r="EA11" s="78">
        <f t="shared" si="78"/>
        <v>7686.43499</v>
      </c>
      <c r="EB11" s="78">
        <f t="shared" si="79"/>
        <v>2469.6732931</v>
      </c>
      <c r="EC11" s="77">
        <f t="shared" si="80"/>
        <v>147.635111</v>
      </c>
      <c r="ED11" s="78"/>
      <c r="EE11" s="78">
        <f t="shared" si="121"/>
        <v>0</v>
      </c>
      <c r="EF11" s="78">
        <f t="shared" si="81"/>
        <v>2194.39898</v>
      </c>
      <c r="EG11" s="78">
        <f t="shared" si="82"/>
        <v>2194.39898</v>
      </c>
      <c r="EH11" s="78">
        <f t="shared" si="83"/>
        <v>705.0665962</v>
      </c>
      <c r="EI11" s="77">
        <f t="shared" si="84"/>
        <v>42.148322</v>
      </c>
      <c r="EJ11" s="78"/>
      <c r="EK11" s="78">
        <f t="shared" si="122"/>
        <v>0</v>
      </c>
      <c r="EL11" s="78">
        <f t="shared" si="85"/>
        <v>22.027020000000004</v>
      </c>
      <c r="EM11" s="78">
        <f t="shared" si="86"/>
        <v>22.027020000000004</v>
      </c>
      <c r="EN11" s="78">
        <f t="shared" si="87"/>
        <v>7.0773438</v>
      </c>
      <c r="EO11" s="77">
        <f t="shared" si="88"/>
        <v>0.423078</v>
      </c>
      <c r="EP11" s="78"/>
      <c r="EQ11" s="78">
        <f t="shared" si="123"/>
        <v>0</v>
      </c>
      <c r="ER11" s="78">
        <f t="shared" si="89"/>
        <v>40.89752</v>
      </c>
      <c r="ES11" s="78">
        <f t="shared" si="90"/>
        <v>40.89752</v>
      </c>
      <c r="ET11" s="78">
        <f t="shared" si="91"/>
        <v>13.1404888</v>
      </c>
      <c r="EU11" s="77">
        <f t="shared" si="92"/>
        <v>0.785528</v>
      </c>
      <c r="EV11" s="78"/>
      <c r="EW11" s="78">
        <f t="shared" si="124"/>
        <v>0</v>
      </c>
      <c r="EX11" s="78">
        <f t="shared" si="93"/>
        <v>7392.981559999999</v>
      </c>
      <c r="EY11" s="78">
        <f t="shared" si="94"/>
        <v>7392.981559999999</v>
      </c>
      <c r="EZ11" s="78">
        <f t="shared" si="95"/>
        <v>2375.3858764</v>
      </c>
      <c r="FA11" s="77">
        <f t="shared" si="96"/>
        <v>141.998684</v>
      </c>
      <c r="FB11" s="78"/>
      <c r="FC11" s="78">
        <f t="shared" si="125"/>
        <v>0</v>
      </c>
      <c r="FD11" s="78">
        <f t="shared" si="97"/>
        <v>13741.703959999999</v>
      </c>
      <c r="FE11" s="78">
        <f t="shared" si="98"/>
        <v>13741.703959999999</v>
      </c>
      <c r="FF11" s="78">
        <f t="shared" si="99"/>
        <v>4415.2483323999995</v>
      </c>
      <c r="FG11" s="77">
        <f t="shared" si="100"/>
        <v>263.940044</v>
      </c>
      <c r="FH11" s="78"/>
      <c r="FI11" s="80"/>
      <c r="FJ11" s="78"/>
      <c r="FK11" s="78"/>
      <c r="FL11" s="78"/>
      <c r="FM11" s="77">
        <f t="shared" si="101"/>
        <v>0</v>
      </c>
    </row>
    <row r="12" spans="1:169" ht="12">
      <c r="A12" s="19">
        <v>42644</v>
      </c>
      <c r="C12" s="36"/>
      <c r="D12" s="36">
        <v>343100</v>
      </c>
      <c r="E12" s="77">
        <f t="shared" si="0"/>
        <v>343100</v>
      </c>
      <c r="F12" s="77">
        <v>110239</v>
      </c>
      <c r="G12" s="77">
        <v>6590</v>
      </c>
      <c r="H12" s="78"/>
      <c r="I12" s="79">
        <f>'2010C Academic'!I12</f>
        <v>0</v>
      </c>
      <c r="J12" s="79">
        <f>'2010C Academic'!J12</f>
        <v>186243.56629</v>
      </c>
      <c r="K12" s="79">
        <f t="shared" si="1"/>
        <v>186243.56629</v>
      </c>
      <c r="L12" s="79">
        <f>'2010C Academic'!L12</f>
        <v>59840.5843901</v>
      </c>
      <c r="M12" s="79">
        <f>'2010C Academic'!M12</f>
        <v>3577.2226809999993</v>
      </c>
      <c r="N12" s="78"/>
      <c r="O12" s="78">
        <f t="shared" si="2"/>
        <v>0</v>
      </c>
      <c r="P12" s="80">
        <f t="shared" si="2"/>
        <v>156856.43370999995</v>
      </c>
      <c r="Q12" s="78">
        <f t="shared" si="3"/>
        <v>156856.43370999995</v>
      </c>
      <c r="R12" s="78">
        <f t="shared" si="4"/>
        <v>50398.41560990002</v>
      </c>
      <c r="S12" s="78">
        <f t="shared" si="4"/>
        <v>3012.7773190000007</v>
      </c>
      <c r="T12" s="78"/>
      <c r="U12" s="78"/>
      <c r="V12" s="77">
        <f t="shared" si="5"/>
        <v>28039.504399999998</v>
      </c>
      <c r="W12" s="78">
        <f t="shared" si="6"/>
        <v>28039.504399999998</v>
      </c>
      <c r="X12" s="78">
        <f t="shared" si="7"/>
        <v>9009.172036</v>
      </c>
      <c r="Y12" s="77">
        <f t="shared" si="8"/>
        <v>538.5611600000001</v>
      </c>
      <c r="Z12" s="78"/>
      <c r="AA12" s="78"/>
      <c r="AB12" s="78">
        <f t="shared" si="9"/>
        <v>20436.61426</v>
      </c>
      <c r="AC12" s="78">
        <f t="shared" si="10"/>
        <v>20436.61426</v>
      </c>
      <c r="AD12" s="78">
        <f t="shared" si="11"/>
        <v>6566.3419394</v>
      </c>
      <c r="AE12" s="77">
        <f t="shared" si="12"/>
        <v>392.530714</v>
      </c>
      <c r="AF12" s="78"/>
      <c r="AG12" s="78"/>
      <c r="AH12" s="78">
        <f t="shared" si="13"/>
        <v>10835.23524</v>
      </c>
      <c r="AI12" s="78">
        <f t="shared" si="14"/>
        <v>10835.23524</v>
      </c>
      <c r="AJ12" s="78">
        <f t="shared" si="15"/>
        <v>3481.3917156</v>
      </c>
      <c r="AK12" s="77">
        <f t="shared" si="16"/>
        <v>208.114836</v>
      </c>
      <c r="AL12" s="78"/>
      <c r="AM12" s="78"/>
      <c r="AN12" s="78">
        <f t="shared" si="17"/>
        <v>7880.3208</v>
      </c>
      <c r="AO12" s="78">
        <f t="shared" si="18"/>
        <v>7880.3208</v>
      </c>
      <c r="AP12" s="78">
        <f t="shared" si="19"/>
        <v>2531.969352</v>
      </c>
      <c r="AQ12" s="77">
        <f t="shared" si="20"/>
        <v>151.35912</v>
      </c>
      <c r="AR12" s="78"/>
      <c r="AS12" s="78"/>
      <c r="AT12" s="78">
        <f t="shared" si="21"/>
        <v>902.66179</v>
      </c>
      <c r="AU12" s="78">
        <f t="shared" si="22"/>
        <v>902.66179</v>
      </c>
      <c r="AV12" s="78">
        <f t="shared" si="23"/>
        <v>290.02778509999996</v>
      </c>
      <c r="AW12" s="77">
        <f t="shared" si="24"/>
        <v>17.337631</v>
      </c>
      <c r="AX12" s="78"/>
      <c r="AY12" s="78"/>
      <c r="AZ12" s="78">
        <f t="shared" si="25"/>
        <v>14280.816989999998</v>
      </c>
      <c r="BA12" s="78">
        <f t="shared" si="26"/>
        <v>14280.816989999998</v>
      </c>
      <c r="BB12" s="78">
        <f t="shared" si="27"/>
        <v>4588.4668731</v>
      </c>
      <c r="BC12" s="77">
        <f t="shared" si="28"/>
        <v>274.29491099999996</v>
      </c>
      <c r="BD12" s="78"/>
      <c r="BE12" s="78"/>
      <c r="BF12" s="78">
        <f t="shared" si="29"/>
        <v>1548.1015100000002</v>
      </c>
      <c r="BG12" s="78">
        <f t="shared" si="30"/>
        <v>1548.1015100000002</v>
      </c>
      <c r="BH12" s="78">
        <f t="shared" si="31"/>
        <v>497.4093919</v>
      </c>
      <c r="BI12" s="77">
        <f t="shared" si="32"/>
        <v>29.734738999999998</v>
      </c>
      <c r="BJ12" s="78"/>
      <c r="BK12" s="78"/>
      <c r="BL12" s="78">
        <f t="shared" si="33"/>
        <v>4842.75357</v>
      </c>
      <c r="BM12" s="78">
        <f t="shared" si="34"/>
        <v>4842.75357</v>
      </c>
      <c r="BN12" s="78">
        <f t="shared" si="35"/>
        <v>1555.9904133</v>
      </c>
      <c r="BO12" s="77">
        <f t="shared" si="36"/>
        <v>93.015873</v>
      </c>
      <c r="BP12" s="78"/>
      <c r="BQ12" s="78"/>
      <c r="BR12" s="78">
        <f t="shared" si="37"/>
        <v>2455.87549</v>
      </c>
      <c r="BS12" s="78">
        <f t="shared" si="38"/>
        <v>2455.87549</v>
      </c>
      <c r="BT12" s="78">
        <f t="shared" si="39"/>
        <v>789.0797381</v>
      </c>
      <c r="BU12" s="77">
        <f t="shared" si="40"/>
        <v>47.170561</v>
      </c>
      <c r="BV12" s="78"/>
      <c r="BW12" s="78"/>
      <c r="BX12" s="78">
        <f t="shared" si="41"/>
        <v>476.94331</v>
      </c>
      <c r="BY12" s="78">
        <f t="shared" si="42"/>
        <v>476.94331</v>
      </c>
      <c r="BZ12" s="78">
        <f t="shared" si="43"/>
        <v>153.2432339</v>
      </c>
      <c r="CA12" s="77">
        <f t="shared" si="44"/>
        <v>9.160759</v>
      </c>
      <c r="CB12" s="78"/>
      <c r="CC12" s="78"/>
      <c r="CD12" s="78">
        <f t="shared" si="45"/>
        <v>1895.0785400000002</v>
      </c>
      <c r="CE12" s="78">
        <f t="shared" si="46"/>
        <v>1895.0785400000002</v>
      </c>
      <c r="CF12" s="78">
        <f t="shared" si="47"/>
        <v>608.8940926</v>
      </c>
      <c r="CG12" s="77">
        <f t="shared" si="48"/>
        <v>36.399206</v>
      </c>
      <c r="CH12" s="78"/>
      <c r="CI12" s="78"/>
      <c r="CJ12" s="78">
        <f t="shared" si="49"/>
        <v>4622.00303</v>
      </c>
      <c r="CK12" s="78">
        <f t="shared" si="50"/>
        <v>4622.00303</v>
      </c>
      <c r="CL12" s="78">
        <f t="shared" si="51"/>
        <v>1485.0626407</v>
      </c>
      <c r="CM12" s="77">
        <f t="shared" si="52"/>
        <v>88.775867</v>
      </c>
      <c r="CN12" s="78"/>
      <c r="CO12" s="78"/>
      <c r="CP12" s="78">
        <f t="shared" si="53"/>
        <v>10345.288439999998</v>
      </c>
      <c r="CQ12" s="78">
        <f t="shared" si="54"/>
        <v>10345.288439999998</v>
      </c>
      <c r="CR12" s="78">
        <f t="shared" si="55"/>
        <v>3323.9704236</v>
      </c>
      <c r="CS12" s="77">
        <f t="shared" si="56"/>
        <v>198.704316</v>
      </c>
      <c r="CT12" s="78"/>
      <c r="CU12" s="78"/>
      <c r="CV12" s="78">
        <f t="shared" si="57"/>
        <v>1565.18789</v>
      </c>
      <c r="CW12" s="78">
        <f t="shared" si="58"/>
        <v>1565.18789</v>
      </c>
      <c r="CX12" s="78">
        <f t="shared" si="59"/>
        <v>502.89929409999996</v>
      </c>
      <c r="CY12" s="77">
        <f t="shared" si="60"/>
        <v>30.062921</v>
      </c>
      <c r="CZ12" s="78"/>
      <c r="DA12" s="78"/>
      <c r="DB12" s="78">
        <f t="shared" si="61"/>
        <v>4497.320489999999</v>
      </c>
      <c r="DC12" s="78">
        <f t="shared" si="62"/>
        <v>4497.320489999999</v>
      </c>
      <c r="DD12" s="78">
        <f t="shared" si="63"/>
        <v>1445.0017881</v>
      </c>
      <c r="DE12" s="77">
        <f t="shared" si="64"/>
        <v>86.381061</v>
      </c>
      <c r="DF12" s="78"/>
      <c r="DG12" s="78"/>
      <c r="DH12" s="78">
        <f t="shared" si="65"/>
        <v>173.29981</v>
      </c>
      <c r="DI12" s="78">
        <f t="shared" si="66"/>
        <v>173.29981</v>
      </c>
      <c r="DJ12" s="78">
        <f t="shared" si="67"/>
        <v>55.6817189</v>
      </c>
      <c r="DK12" s="77">
        <f t="shared" si="68"/>
        <v>3.3286089999999997</v>
      </c>
      <c r="DL12" s="78"/>
      <c r="DM12" s="90"/>
      <c r="DN12" s="90">
        <f t="shared" si="69"/>
        <v>9487.33258</v>
      </c>
      <c r="DO12" s="90">
        <f t="shared" si="70"/>
        <v>9487.33258</v>
      </c>
      <c r="DP12" s="90">
        <f t="shared" si="71"/>
        <v>3048.3067802</v>
      </c>
      <c r="DQ12" s="94">
        <f t="shared" si="72"/>
        <v>182.22536200000002</v>
      </c>
      <c r="DR12" s="78"/>
      <c r="DS12" s="78"/>
      <c r="DT12" s="78">
        <f t="shared" si="73"/>
        <v>1493.65154</v>
      </c>
      <c r="DU12" s="78">
        <f t="shared" si="74"/>
        <v>1493.65154</v>
      </c>
      <c r="DV12" s="78">
        <f t="shared" si="75"/>
        <v>479.91446260000004</v>
      </c>
      <c r="DW12" s="77">
        <f t="shared" si="76"/>
        <v>28.688906000000003</v>
      </c>
      <c r="DX12" s="78"/>
      <c r="DY12" s="78"/>
      <c r="DZ12" s="78">
        <f t="shared" si="77"/>
        <v>7686.43499</v>
      </c>
      <c r="EA12" s="78">
        <f t="shared" si="78"/>
        <v>7686.43499</v>
      </c>
      <c r="EB12" s="78">
        <f t="shared" si="79"/>
        <v>2469.6732931</v>
      </c>
      <c r="EC12" s="77">
        <f t="shared" si="80"/>
        <v>147.635111</v>
      </c>
      <c r="ED12" s="78"/>
      <c r="EE12" s="78"/>
      <c r="EF12" s="78">
        <f t="shared" si="81"/>
        <v>2194.39898</v>
      </c>
      <c r="EG12" s="78">
        <f t="shared" si="82"/>
        <v>2194.39898</v>
      </c>
      <c r="EH12" s="78">
        <f t="shared" si="83"/>
        <v>705.0665962</v>
      </c>
      <c r="EI12" s="77">
        <f t="shared" si="84"/>
        <v>42.148322</v>
      </c>
      <c r="EJ12" s="78"/>
      <c r="EK12" s="78"/>
      <c r="EL12" s="78">
        <f t="shared" si="85"/>
        <v>22.027020000000004</v>
      </c>
      <c r="EM12" s="78">
        <f t="shared" si="86"/>
        <v>22.027020000000004</v>
      </c>
      <c r="EN12" s="78">
        <f t="shared" si="87"/>
        <v>7.0773438</v>
      </c>
      <c r="EO12" s="77">
        <f t="shared" si="88"/>
        <v>0.423078</v>
      </c>
      <c r="EP12" s="78"/>
      <c r="EQ12" s="78"/>
      <c r="ER12" s="78">
        <f t="shared" si="89"/>
        <v>40.89752</v>
      </c>
      <c r="ES12" s="78">
        <f t="shared" si="90"/>
        <v>40.89752</v>
      </c>
      <c r="ET12" s="78">
        <f t="shared" si="91"/>
        <v>13.1404888</v>
      </c>
      <c r="EU12" s="77">
        <f t="shared" si="92"/>
        <v>0.785528</v>
      </c>
      <c r="EV12" s="78"/>
      <c r="EW12" s="78"/>
      <c r="EX12" s="78">
        <f t="shared" si="93"/>
        <v>7392.981559999999</v>
      </c>
      <c r="EY12" s="78">
        <f t="shared" si="94"/>
        <v>7392.981559999999</v>
      </c>
      <c r="EZ12" s="78">
        <f t="shared" si="95"/>
        <v>2375.3858764</v>
      </c>
      <c r="FA12" s="77">
        <f t="shared" si="96"/>
        <v>141.998684</v>
      </c>
      <c r="FB12" s="78"/>
      <c r="FC12" s="78"/>
      <c r="FD12" s="78">
        <f t="shared" si="97"/>
        <v>13741.703959999999</v>
      </c>
      <c r="FE12" s="78">
        <f t="shared" si="98"/>
        <v>13741.703959999999</v>
      </c>
      <c r="FF12" s="78">
        <f t="shared" si="99"/>
        <v>4415.2483323999995</v>
      </c>
      <c r="FG12" s="77">
        <f t="shared" si="100"/>
        <v>263.940044</v>
      </c>
      <c r="FH12" s="78"/>
      <c r="FI12" s="80"/>
      <c r="FJ12" s="78"/>
      <c r="FK12" s="78"/>
      <c r="FL12" s="78"/>
      <c r="FM12" s="77">
        <f t="shared" si="101"/>
        <v>0</v>
      </c>
    </row>
    <row r="13" spans="1:169" ht="12">
      <c r="A13" s="19">
        <v>42826</v>
      </c>
      <c r="C13" s="36"/>
      <c r="D13" s="36">
        <v>343100</v>
      </c>
      <c r="E13" s="77">
        <f t="shared" si="0"/>
        <v>343100</v>
      </c>
      <c r="F13" s="77">
        <v>110239</v>
      </c>
      <c r="G13" s="77">
        <v>6590</v>
      </c>
      <c r="H13" s="78"/>
      <c r="I13" s="79">
        <f>'2010C Academic'!I13</f>
        <v>0</v>
      </c>
      <c r="J13" s="79">
        <f>'2010C Academic'!J13</f>
        <v>186243.56629</v>
      </c>
      <c r="K13" s="79">
        <f t="shared" si="1"/>
        <v>186243.56629</v>
      </c>
      <c r="L13" s="79">
        <f>'2010C Academic'!L13</f>
        <v>59840.5843901</v>
      </c>
      <c r="M13" s="79">
        <f>'2010C Academic'!M13</f>
        <v>3577.2226809999993</v>
      </c>
      <c r="N13" s="78"/>
      <c r="O13" s="78">
        <f t="shared" si="2"/>
        <v>0</v>
      </c>
      <c r="P13" s="80">
        <f t="shared" si="2"/>
        <v>156856.43370999995</v>
      </c>
      <c r="Q13" s="78">
        <f t="shared" si="3"/>
        <v>156856.43370999995</v>
      </c>
      <c r="R13" s="78">
        <f t="shared" si="4"/>
        <v>50398.41560990002</v>
      </c>
      <c r="S13" s="78">
        <f t="shared" si="4"/>
        <v>3012.7773190000007</v>
      </c>
      <c r="T13" s="78"/>
      <c r="U13" s="78">
        <f t="shared" si="102"/>
        <v>0</v>
      </c>
      <c r="V13" s="77">
        <f t="shared" si="5"/>
        <v>28039.504399999998</v>
      </c>
      <c r="W13" s="78">
        <f t="shared" si="6"/>
        <v>28039.504399999998</v>
      </c>
      <c r="X13" s="78">
        <f t="shared" si="7"/>
        <v>9009.172036</v>
      </c>
      <c r="Y13" s="77">
        <f t="shared" si="8"/>
        <v>538.5611600000001</v>
      </c>
      <c r="Z13" s="78"/>
      <c r="AA13" s="78">
        <f t="shared" si="103"/>
        <v>0</v>
      </c>
      <c r="AB13" s="78">
        <f t="shared" si="9"/>
        <v>20436.61426</v>
      </c>
      <c r="AC13" s="78">
        <f t="shared" si="10"/>
        <v>20436.61426</v>
      </c>
      <c r="AD13" s="78">
        <f t="shared" si="11"/>
        <v>6566.3419394</v>
      </c>
      <c r="AE13" s="77">
        <f t="shared" si="12"/>
        <v>392.530714</v>
      </c>
      <c r="AF13" s="78"/>
      <c r="AG13" s="78">
        <f t="shared" si="104"/>
        <v>0</v>
      </c>
      <c r="AH13" s="78">
        <f t="shared" si="13"/>
        <v>10835.23524</v>
      </c>
      <c r="AI13" s="78">
        <f t="shared" si="14"/>
        <v>10835.23524</v>
      </c>
      <c r="AJ13" s="78">
        <f t="shared" si="15"/>
        <v>3481.3917156</v>
      </c>
      <c r="AK13" s="77">
        <f t="shared" si="16"/>
        <v>208.114836</v>
      </c>
      <c r="AL13" s="78"/>
      <c r="AM13" s="78">
        <f t="shared" si="105"/>
        <v>0</v>
      </c>
      <c r="AN13" s="78">
        <f t="shared" si="17"/>
        <v>7880.3208</v>
      </c>
      <c r="AO13" s="78">
        <f t="shared" si="18"/>
        <v>7880.3208</v>
      </c>
      <c r="AP13" s="78">
        <f t="shared" si="19"/>
        <v>2531.969352</v>
      </c>
      <c r="AQ13" s="77">
        <f t="shared" si="20"/>
        <v>151.35912</v>
      </c>
      <c r="AR13" s="78"/>
      <c r="AS13" s="78">
        <f t="shared" si="106"/>
        <v>0</v>
      </c>
      <c r="AT13" s="78">
        <f t="shared" si="21"/>
        <v>902.66179</v>
      </c>
      <c r="AU13" s="78">
        <f t="shared" si="22"/>
        <v>902.66179</v>
      </c>
      <c r="AV13" s="78">
        <f t="shared" si="23"/>
        <v>290.02778509999996</v>
      </c>
      <c r="AW13" s="77">
        <f t="shared" si="24"/>
        <v>17.337631</v>
      </c>
      <c r="AX13" s="78"/>
      <c r="AY13" s="78">
        <f t="shared" si="107"/>
        <v>0</v>
      </c>
      <c r="AZ13" s="78">
        <f t="shared" si="25"/>
        <v>14280.816989999998</v>
      </c>
      <c r="BA13" s="78">
        <f t="shared" si="26"/>
        <v>14280.816989999998</v>
      </c>
      <c r="BB13" s="78">
        <f t="shared" si="27"/>
        <v>4588.4668731</v>
      </c>
      <c r="BC13" s="77">
        <f t="shared" si="28"/>
        <v>274.29491099999996</v>
      </c>
      <c r="BD13" s="78"/>
      <c r="BE13" s="78">
        <f t="shared" si="108"/>
        <v>0</v>
      </c>
      <c r="BF13" s="78">
        <f t="shared" si="29"/>
        <v>1548.1015100000002</v>
      </c>
      <c r="BG13" s="78">
        <f t="shared" si="30"/>
        <v>1548.1015100000002</v>
      </c>
      <c r="BH13" s="78">
        <f t="shared" si="31"/>
        <v>497.4093919</v>
      </c>
      <c r="BI13" s="77">
        <f t="shared" si="32"/>
        <v>29.734738999999998</v>
      </c>
      <c r="BJ13" s="78"/>
      <c r="BK13" s="78">
        <f t="shared" si="109"/>
        <v>0</v>
      </c>
      <c r="BL13" s="78">
        <f t="shared" si="33"/>
        <v>4842.75357</v>
      </c>
      <c r="BM13" s="78">
        <f t="shared" si="34"/>
        <v>4842.75357</v>
      </c>
      <c r="BN13" s="78">
        <f t="shared" si="35"/>
        <v>1555.9904133</v>
      </c>
      <c r="BO13" s="77">
        <f t="shared" si="36"/>
        <v>93.015873</v>
      </c>
      <c r="BP13" s="78"/>
      <c r="BQ13" s="78">
        <f t="shared" si="110"/>
        <v>0</v>
      </c>
      <c r="BR13" s="78">
        <f t="shared" si="37"/>
        <v>2455.87549</v>
      </c>
      <c r="BS13" s="78">
        <f t="shared" si="38"/>
        <v>2455.87549</v>
      </c>
      <c r="BT13" s="78">
        <f t="shared" si="39"/>
        <v>789.0797381</v>
      </c>
      <c r="BU13" s="77">
        <f t="shared" si="40"/>
        <v>47.170561</v>
      </c>
      <c r="BV13" s="78"/>
      <c r="BW13" s="78">
        <f t="shared" si="111"/>
        <v>0</v>
      </c>
      <c r="BX13" s="78">
        <f t="shared" si="41"/>
        <v>476.94331</v>
      </c>
      <c r="BY13" s="78">
        <f t="shared" si="42"/>
        <v>476.94331</v>
      </c>
      <c r="BZ13" s="78">
        <f t="shared" si="43"/>
        <v>153.2432339</v>
      </c>
      <c r="CA13" s="77">
        <f t="shared" si="44"/>
        <v>9.160759</v>
      </c>
      <c r="CB13" s="78"/>
      <c r="CC13" s="78">
        <f t="shared" si="112"/>
        <v>0</v>
      </c>
      <c r="CD13" s="78">
        <f t="shared" si="45"/>
        <v>1895.0785400000002</v>
      </c>
      <c r="CE13" s="78">
        <f t="shared" si="46"/>
        <v>1895.0785400000002</v>
      </c>
      <c r="CF13" s="78">
        <f t="shared" si="47"/>
        <v>608.8940926</v>
      </c>
      <c r="CG13" s="77">
        <f t="shared" si="48"/>
        <v>36.399206</v>
      </c>
      <c r="CH13" s="78"/>
      <c r="CI13" s="78">
        <f t="shared" si="113"/>
        <v>0</v>
      </c>
      <c r="CJ13" s="78">
        <f t="shared" si="49"/>
        <v>4622.00303</v>
      </c>
      <c r="CK13" s="78">
        <f t="shared" si="50"/>
        <v>4622.00303</v>
      </c>
      <c r="CL13" s="78">
        <f t="shared" si="51"/>
        <v>1485.0626407</v>
      </c>
      <c r="CM13" s="77">
        <f t="shared" si="52"/>
        <v>88.775867</v>
      </c>
      <c r="CN13" s="78"/>
      <c r="CO13" s="78">
        <f t="shared" si="114"/>
        <v>0</v>
      </c>
      <c r="CP13" s="78">
        <f t="shared" si="53"/>
        <v>10345.288439999998</v>
      </c>
      <c r="CQ13" s="78">
        <f t="shared" si="54"/>
        <v>10345.288439999998</v>
      </c>
      <c r="CR13" s="78">
        <f t="shared" si="55"/>
        <v>3323.9704236</v>
      </c>
      <c r="CS13" s="77">
        <f t="shared" si="56"/>
        <v>198.704316</v>
      </c>
      <c r="CT13" s="78"/>
      <c r="CU13" s="78">
        <f t="shared" si="115"/>
        <v>0</v>
      </c>
      <c r="CV13" s="78">
        <f t="shared" si="57"/>
        <v>1565.18789</v>
      </c>
      <c r="CW13" s="78">
        <f t="shared" si="58"/>
        <v>1565.18789</v>
      </c>
      <c r="CX13" s="78">
        <f t="shared" si="59"/>
        <v>502.89929409999996</v>
      </c>
      <c r="CY13" s="77">
        <f t="shared" si="60"/>
        <v>30.062921</v>
      </c>
      <c r="CZ13" s="78"/>
      <c r="DA13" s="78">
        <f t="shared" si="116"/>
        <v>0</v>
      </c>
      <c r="DB13" s="78">
        <f t="shared" si="61"/>
        <v>4497.320489999999</v>
      </c>
      <c r="DC13" s="78">
        <f t="shared" si="62"/>
        <v>4497.320489999999</v>
      </c>
      <c r="DD13" s="78">
        <f t="shared" si="63"/>
        <v>1445.0017881</v>
      </c>
      <c r="DE13" s="77">
        <f t="shared" si="64"/>
        <v>86.381061</v>
      </c>
      <c r="DF13" s="78"/>
      <c r="DG13" s="78">
        <f t="shared" si="117"/>
        <v>0</v>
      </c>
      <c r="DH13" s="78">
        <f t="shared" si="65"/>
        <v>173.29981</v>
      </c>
      <c r="DI13" s="78">
        <f t="shared" si="66"/>
        <v>173.29981</v>
      </c>
      <c r="DJ13" s="78">
        <f t="shared" si="67"/>
        <v>55.6817189</v>
      </c>
      <c r="DK13" s="77">
        <f t="shared" si="68"/>
        <v>3.3286089999999997</v>
      </c>
      <c r="DL13" s="78"/>
      <c r="DM13" s="90">
        <f t="shared" si="118"/>
        <v>0</v>
      </c>
      <c r="DN13" s="90">
        <f t="shared" si="69"/>
        <v>9487.33258</v>
      </c>
      <c r="DO13" s="90">
        <f t="shared" si="70"/>
        <v>9487.33258</v>
      </c>
      <c r="DP13" s="90">
        <f t="shared" si="71"/>
        <v>3048.3067802</v>
      </c>
      <c r="DQ13" s="94">
        <f t="shared" si="72"/>
        <v>182.22536200000002</v>
      </c>
      <c r="DR13" s="78"/>
      <c r="DS13" s="78">
        <f t="shared" si="119"/>
        <v>0</v>
      </c>
      <c r="DT13" s="78">
        <f t="shared" si="73"/>
        <v>1493.65154</v>
      </c>
      <c r="DU13" s="78">
        <f t="shared" si="74"/>
        <v>1493.65154</v>
      </c>
      <c r="DV13" s="78">
        <f t="shared" si="75"/>
        <v>479.91446260000004</v>
      </c>
      <c r="DW13" s="77">
        <f t="shared" si="76"/>
        <v>28.688906000000003</v>
      </c>
      <c r="DX13" s="78"/>
      <c r="DY13" s="78">
        <f t="shared" si="120"/>
        <v>0</v>
      </c>
      <c r="DZ13" s="78">
        <f t="shared" si="77"/>
        <v>7686.43499</v>
      </c>
      <c r="EA13" s="78">
        <f t="shared" si="78"/>
        <v>7686.43499</v>
      </c>
      <c r="EB13" s="78">
        <f t="shared" si="79"/>
        <v>2469.6732931</v>
      </c>
      <c r="EC13" s="77">
        <f t="shared" si="80"/>
        <v>147.635111</v>
      </c>
      <c r="ED13" s="78"/>
      <c r="EE13" s="78">
        <f t="shared" si="121"/>
        <v>0</v>
      </c>
      <c r="EF13" s="78">
        <f t="shared" si="81"/>
        <v>2194.39898</v>
      </c>
      <c r="EG13" s="78">
        <f t="shared" si="82"/>
        <v>2194.39898</v>
      </c>
      <c r="EH13" s="78">
        <f t="shared" si="83"/>
        <v>705.0665962</v>
      </c>
      <c r="EI13" s="77">
        <f t="shared" si="84"/>
        <v>42.148322</v>
      </c>
      <c r="EJ13" s="78"/>
      <c r="EK13" s="78">
        <f t="shared" si="122"/>
        <v>0</v>
      </c>
      <c r="EL13" s="78">
        <f t="shared" si="85"/>
        <v>22.027020000000004</v>
      </c>
      <c r="EM13" s="78">
        <f t="shared" si="86"/>
        <v>22.027020000000004</v>
      </c>
      <c r="EN13" s="78">
        <f t="shared" si="87"/>
        <v>7.0773438</v>
      </c>
      <c r="EO13" s="77">
        <f t="shared" si="88"/>
        <v>0.423078</v>
      </c>
      <c r="EP13" s="78"/>
      <c r="EQ13" s="78">
        <f t="shared" si="123"/>
        <v>0</v>
      </c>
      <c r="ER13" s="78">
        <f t="shared" si="89"/>
        <v>40.89752</v>
      </c>
      <c r="ES13" s="78">
        <f t="shared" si="90"/>
        <v>40.89752</v>
      </c>
      <c r="ET13" s="78">
        <f t="shared" si="91"/>
        <v>13.1404888</v>
      </c>
      <c r="EU13" s="77">
        <f t="shared" si="92"/>
        <v>0.785528</v>
      </c>
      <c r="EV13" s="78"/>
      <c r="EW13" s="78">
        <f t="shared" si="124"/>
        <v>0</v>
      </c>
      <c r="EX13" s="78">
        <f t="shared" si="93"/>
        <v>7392.981559999999</v>
      </c>
      <c r="EY13" s="78">
        <f t="shared" si="94"/>
        <v>7392.981559999999</v>
      </c>
      <c r="EZ13" s="78">
        <f t="shared" si="95"/>
        <v>2375.3858764</v>
      </c>
      <c r="FA13" s="77">
        <f t="shared" si="96"/>
        <v>141.998684</v>
      </c>
      <c r="FB13" s="78"/>
      <c r="FC13" s="78">
        <f t="shared" si="125"/>
        <v>0</v>
      </c>
      <c r="FD13" s="78">
        <f t="shared" si="97"/>
        <v>13741.703959999999</v>
      </c>
      <c r="FE13" s="78">
        <f t="shared" si="98"/>
        <v>13741.703959999999</v>
      </c>
      <c r="FF13" s="78">
        <f t="shared" si="99"/>
        <v>4415.2483323999995</v>
      </c>
      <c r="FG13" s="77">
        <f t="shared" si="100"/>
        <v>263.940044</v>
      </c>
      <c r="FH13" s="78"/>
      <c r="FI13" s="80"/>
      <c r="FJ13" s="78"/>
      <c r="FK13" s="78"/>
      <c r="FL13" s="78"/>
      <c r="FM13" s="77">
        <f t="shared" si="101"/>
        <v>0</v>
      </c>
    </row>
    <row r="14" spans="1:169" ht="12">
      <c r="A14" s="19">
        <v>43009</v>
      </c>
      <c r="C14" s="36"/>
      <c r="D14" s="36">
        <v>343100</v>
      </c>
      <c r="E14" s="77">
        <f t="shared" si="0"/>
        <v>343100</v>
      </c>
      <c r="F14" s="77">
        <v>110239</v>
      </c>
      <c r="G14" s="77">
        <v>6590</v>
      </c>
      <c r="H14" s="78"/>
      <c r="I14" s="79">
        <f>'2010C Academic'!I14</f>
        <v>0</v>
      </c>
      <c r="J14" s="79">
        <f>'2010C Academic'!J14</f>
        <v>186243.56629</v>
      </c>
      <c r="K14" s="79">
        <f t="shared" si="1"/>
        <v>186243.56629</v>
      </c>
      <c r="L14" s="79">
        <f>'2010C Academic'!L14</f>
        <v>59840.5843901</v>
      </c>
      <c r="M14" s="79">
        <f>'2010C Academic'!M14</f>
        <v>3577.2226809999993</v>
      </c>
      <c r="N14" s="78"/>
      <c r="O14" s="78">
        <f t="shared" si="2"/>
        <v>0</v>
      </c>
      <c r="P14" s="80">
        <f t="shared" si="2"/>
        <v>156856.43370999995</v>
      </c>
      <c r="Q14" s="78">
        <f t="shared" si="3"/>
        <v>156856.43370999995</v>
      </c>
      <c r="R14" s="78">
        <f t="shared" si="4"/>
        <v>50398.41560990002</v>
      </c>
      <c r="S14" s="78">
        <f t="shared" si="4"/>
        <v>3012.7773190000007</v>
      </c>
      <c r="T14" s="78"/>
      <c r="U14" s="78"/>
      <c r="V14" s="77">
        <f t="shared" si="5"/>
        <v>28039.504399999998</v>
      </c>
      <c r="W14" s="78">
        <f t="shared" si="6"/>
        <v>28039.504399999998</v>
      </c>
      <c r="X14" s="78">
        <f t="shared" si="7"/>
        <v>9009.172036</v>
      </c>
      <c r="Y14" s="77">
        <f t="shared" si="8"/>
        <v>538.5611600000001</v>
      </c>
      <c r="Z14" s="78"/>
      <c r="AA14" s="78"/>
      <c r="AB14" s="78">
        <f t="shared" si="9"/>
        <v>20436.61426</v>
      </c>
      <c r="AC14" s="78">
        <f t="shared" si="10"/>
        <v>20436.61426</v>
      </c>
      <c r="AD14" s="78">
        <f t="shared" si="11"/>
        <v>6566.3419394</v>
      </c>
      <c r="AE14" s="77">
        <f t="shared" si="12"/>
        <v>392.530714</v>
      </c>
      <c r="AF14" s="78"/>
      <c r="AG14" s="78"/>
      <c r="AH14" s="78">
        <f t="shared" si="13"/>
        <v>10835.23524</v>
      </c>
      <c r="AI14" s="78">
        <f t="shared" si="14"/>
        <v>10835.23524</v>
      </c>
      <c r="AJ14" s="78">
        <f t="shared" si="15"/>
        <v>3481.3917156</v>
      </c>
      <c r="AK14" s="77">
        <f t="shared" si="16"/>
        <v>208.114836</v>
      </c>
      <c r="AL14" s="78"/>
      <c r="AM14" s="78"/>
      <c r="AN14" s="78">
        <f t="shared" si="17"/>
        <v>7880.3208</v>
      </c>
      <c r="AO14" s="78">
        <f t="shared" si="18"/>
        <v>7880.3208</v>
      </c>
      <c r="AP14" s="78">
        <f t="shared" si="19"/>
        <v>2531.969352</v>
      </c>
      <c r="AQ14" s="77">
        <f t="shared" si="20"/>
        <v>151.35912</v>
      </c>
      <c r="AR14" s="78"/>
      <c r="AS14" s="78"/>
      <c r="AT14" s="78">
        <f t="shared" si="21"/>
        <v>902.66179</v>
      </c>
      <c r="AU14" s="78">
        <f t="shared" si="22"/>
        <v>902.66179</v>
      </c>
      <c r="AV14" s="78">
        <f t="shared" si="23"/>
        <v>290.02778509999996</v>
      </c>
      <c r="AW14" s="77">
        <f t="shared" si="24"/>
        <v>17.337631</v>
      </c>
      <c r="AX14" s="78"/>
      <c r="AY14" s="78"/>
      <c r="AZ14" s="78">
        <f t="shared" si="25"/>
        <v>14280.816989999998</v>
      </c>
      <c r="BA14" s="78">
        <f t="shared" si="26"/>
        <v>14280.816989999998</v>
      </c>
      <c r="BB14" s="78">
        <f t="shared" si="27"/>
        <v>4588.4668731</v>
      </c>
      <c r="BC14" s="77">
        <f t="shared" si="28"/>
        <v>274.29491099999996</v>
      </c>
      <c r="BD14" s="78"/>
      <c r="BE14" s="78"/>
      <c r="BF14" s="78">
        <f t="shared" si="29"/>
        <v>1548.1015100000002</v>
      </c>
      <c r="BG14" s="78">
        <f t="shared" si="30"/>
        <v>1548.1015100000002</v>
      </c>
      <c r="BH14" s="78">
        <f t="shared" si="31"/>
        <v>497.4093919</v>
      </c>
      <c r="BI14" s="77">
        <f t="shared" si="32"/>
        <v>29.734738999999998</v>
      </c>
      <c r="BJ14" s="78"/>
      <c r="BK14" s="78"/>
      <c r="BL14" s="78">
        <f t="shared" si="33"/>
        <v>4842.75357</v>
      </c>
      <c r="BM14" s="78">
        <f t="shared" si="34"/>
        <v>4842.75357</v>
      </c>
      <c r="BN14" s="78">
        <f t="shared" si="35"/>
        <v>1555.9904133</v>
      </c>
      <c r="BO14" s="77">
        <f t="shared" si="36"/>
        <v>93.015873</v>
      </c>
      <c r="BP14" s="78"/>
      <c r="BQ14" s="78"/>
      <c r="BR14" s="78">
        <f t="shared" si="37"/>
        <v>2455.87549</v>
      </c>
      <c r="BS14" s="78">
        <f t="shared" si="38"/>
        <v>2455.87549</v>
      </c>
      <c r="BT14" s="78">
        <f t="shared" si="39"/>
        <v>789.0797381</v>
      </c>
      <c r="BU14" s="77">
        <f t="shared" si="40"/>
        <v>47.170561</v>
      </c>
      <c r="BV14" s="78"/>
      <c r="BW14" s="78"/>
      <c r="BX14" s="78">
        <f t="shared" si="41"/>
        <v>476.94331</v>
      </c>
      <c r="BY14" s="78">
        <f t="shared" si="42"/>
        <v>476.94331</v>
      </c>
      <c r="BZ14" s="78">
        <f t="shared" si="43"/>
        <v>153.2432339</v>
      </c>
      <c r="CA14" s="77">
        <f t="shared" si="44"/>
        <v>9.160759</v>
      </c>
      <c r="CB14" s="78"/>
      <c r="CC14" s="78"/>
      <c r="CD14" s="78">
        <f t="shared" si="45"/>
        <v>1895.0785400000002</v>
      </c>
      <c r="CE14" s="78">
        <f t="shared" si="46"/>
        <v>1895.0785400000002</v>
      </c>
      <c r="CF14" s="78">
        <f t="shared" si="47"/>
        <v>608.8940926</v>
      </c>
      <c r="CG14" s="77">
        <f t="shared" si="48"/>
        <v>36.399206</v>
      </c>
      <c r="CH14" s="78"/>
      <c r="CI14" s="78"/>
      <c r="CJ14" s="78">
        <f t="shared" si="49"/>
        <v>4622.00303</v>
      </c>
      <c r="CK14" s="78">
        <f t="shared" si="50"/>
        <v>4622.00303</v>
      </c>
      <c r="CL14" s="78">
        <f t="shared" si="51"/>
        <v>1485.0626407</v>
      </c>
      <c r="CM14" s="77">
        <f t="shared" si="52"/>
        <v>88.775867</v>
      </c>
      <c r="CN14" s="78"/>
      <c r="CO14" s="78"/>
      <c r="CP14" s="78">
        <f t="shared" si="53"/>
        <v>10345.288439999998</v>
      </c>
      <c r="CQ14" s="78">
        <f t="shared" si="54"/>
        <v>10345.288439999998</v>
      </c>
      <c r="CR14" s="78">
        <f t="shared" si="55"/>
        <v>3323.9704236</v>
      </c>
      <c r="CS14" s="77">
        <f t="shared" si="56"/>
        <v>198.704316</v>
      </c>
      <c r="CT14" s="78"/>
      <c r="CU14" s="78"/>
      <c r="CV14" s="78">
        <f t="shared" si="57"/>
        <v>1565.18789</v>
      </c>
      <c r="CW14" s="78">
        <f t="shared" si="58"/>
        <v>1565.18789</v>
      </c>
      <c r="CX14" s="78">
        <f t="shared" si="59"/>
        <v>502.89929409999996</v>
      </c>
      <c r="CY14" s="77">
        <f t="shared" si="60"/>
        <v>30.062921</v>
      </c>
      <c r="CZ14" s="78"/>
      <c r="DA14" s="78"/>
      <c r="DB14" s="78">
        <f t="shared" si="61"/>
        <v>4497.320489999999</v>
      </c>
      <c r="DC14" s="78">
        <f t="shared" si="62"/>
        <v>4497.320489999999</v>
      </c>
      <c r="DD14" s="78">
        <f t="shared" si="63"/>
        <v>1445.0017881</v>
      </c>
      <c r="DE14" s="77">
        <f t="shared" si="64"/>
        <v>86.381061</v>
      </c>
      <c r="DF14" s="78"/>
      <c r="DG14" s="78"/>
      <c r="DH14" s="78">
        <f t="shared" si="65"/>
        <v>173.29981</v>
      </c>
      <c r="DI14" s="78">
        <f t="shared" si="66"/>
        <v>173.29981</v>
      </c>
      <c r="DJ14" s="78">
        <f t="shared" si="67"/>
        <v>55.6817189</v>
      </c>
      <c r="DK14" s="77">
        <f t="shared" si="68"/>
        <v>3.3286089999999997</v>
      </c>
      <c r="DL14" s="78"/>
      <c r="DM14" s="90"/>
      <c r="DN14" s="90">
        <f t="shared" si="69"/>
        <v>9487.33258</v>
      </c>
      <c r="DO14" s="90">
        <f t="shared" si="70"/>
        <v>9487.33258</v>
      </c>
      <c r="DP14" s="90">
        <f t="shared" si="71"/>
        <v>3048.3067802</v>
      </c>
      <c r="DQ14" s="94">
        <f t="shared" si="72"/>
        <v>182.22536200000002</v>
      </c>
      <c r="DR14" s="78"/>
      <c r="DS14" s="78"/>
      <c r="DT14" s="78">
        <f t="shared" si="73"/>
        <v>1493.65154</v>
      </c>
      <c r="DU14" s="78">
        <f t="shared" si="74"/>
        <v>1493.65154</v>
      </c>
      <c r="DV14" s="78">
        <f t="shared" si="75"/>
        <v>479.91446260000004</v>
      </c>
      <c r="DW14" s="77">
        <f t="shared" si="76"/>
        <v>28.688906000000003</v>
      </c>
      <c r="DX14" s="78"/>
      <c r="DY14" s="78"/>
      <c r="DZ14" s="78">
        <f t="shared" si="77"/>
        <v>7686.43499</v>
      </c>
      <c r="EA14" s="78">
        <f t="shared" si="78"/>
        <v>7686.43499</v>
      </c>
      <c r="EB14" s="78">
        <f t="shared" si="79"/>
        <v>2469.6732931</v>
      </c>
      <c r="EC14" s="77">
        <f t="shared" si="80"/>
        <v>147.635111</v>
      </c>
      <c r="ED14" s="78"/>
      <c r="EE14" s="78"/>
      <c r="EF14" s="78">
        <f t="shared" si="81"/>
        <v>2194.39898</v>
      </c>
      <c r="EG14" s="78">
        <f t="shared" si="82"/>
        <v>2194.39898</v>
      </c>
      <c r="EH14" s="78">
        <f t="shared" si="83"/>
        <v>705.0665962</v>
      </c>
      <c r="EI14" s="77">
        <f t="shared" si="84"/>
        <v>42.148322</v>
      </c>
      <c r="EJ14" s="78"/>
      <c r="EK14" s="78"/>
      <c r="EL14" s="78">
        <f t="shared" si="85"/>
        <v>22.027020000000004</v>
      </c>
      <c r="EM14" s="78">
        <f t="shared" si="86"/>
        <v>22.027020000000004</v>
      </c>
      <c r="EN14" s="78">
        <f t="shared" si="87"/>
        <v>7.0773438</v>
      </c>
      <c r="EO14" s="77">
        <f t="shared" si="88"/>
        <v>0.423078</v>
      </c>
      <c r="EP14" s="78"/>
      <c r="EQ14" s="78"/>
      <c r="ER14" s="78">
        <f t="shared" si="89"/>
        <v>40.89752</v>
      </c>
      <c r="ES14" s="78">
        <f t="shared" si="90"/>
        <v>40.89752</v>
      </c>
      <c r="ET14" s="78">
        <f t="shared" si="91"/>
        <v>13.1404888</v>
      </c>
      <c r="EU14" s="77">
        <f t="shared" si="92"/>
        <v>0.785528</v>
      </c>
      <c r="EV14" s="78"/>
      <c r="EW14" s="78"/>
      <c r="EX14" s="78">
        <f t="shared" si="93"/>
        <v>7392.981559999999</v>
      </c>
      <c r="EY14" s="78">
        <f t="shared" si="94"/>
        <v>7392.981559999999</v>
      </c>
      <c r="EZ14" s="78">
        <f t="shared" si="95"/>
        <v>2375.3858764</v>
      </c>
      <c r="FA14" s="77">
        <f t="shared" si="96"/>
        <v>141.998684</v>
      </c>
      <c r="FB14" s="78"/>
      <c r="FC14" s="78"/>
      <c r="FD14" s="78">
        <f t="shared" si="97"/>
        <v>13741.703959999999</v>
      </c>
      <c r="FE14" s="78">
        <f t="shared" si="98"/>
        <v>13741.703959999999</v>
      </c>
      <c r="FF14" s="78">
        <f t="shared" si="99"/>
        <v>4415.2483323999995</v>
      </c>
      <c r="FG14" s="77">
        <f t="shared" si="100"/>
        <v>263.940044</v>
      </c>
      <c r="FH14" s="78"/>
      <c r="FI14" s="80"/>
      <c r="FJ14" s="78"/>
      <c r="FK14" s="78"/>
      <c r="FL14" s="78"/>
      <c r="FM14" s="77">
        <f t="shared" si="101"/>
        <v>0</v>
      </c>
    </row>
    <row r="15" spans="1:169" s="52" customFormat="1" ht="12">
      <c r="A15" s="51">
        <v>43191</v>
      </c>
      <c r="C15" s="42">
        <v>5315000</v>
      </c>
      <c r="D15" s="42">
        <v>343100</v>
      </c>
      <c r="E15" s="77">
        <f t="shared" si="0"/>
        <v>5658100</v>
      </c>
      <c r="F15" s="77">
        <v>110239</v>
      </c>
      <c r="G15" s="77">
        <v>6590</v>
      </c>
      <c r="H15" s="79"/>
      <c r="I15" s="79">
        <f>'2010C Academic'!I15</f>
        <v>2885119.6584999994</v>
      </c>
      <c r="J15" s="79">
        <f>'2010C Academic'!J15</f>
        <v>186243.56629</v>
      </c>
      <c r="K15" s="79">
        <f t="shared" si="1"/>
        <v>3071363.2247899994</v>
      </c>
      <c r="L15" s="79">
        <f>'2010C Academic'!L15</f>
        <v>59840.5843901</v>
      </c>
      <c r="M15" s="79">
        <f>'2010C Academic'!M15</f>
        <v>3577.2226809999993</v>
      </c>
      <c r="N15" s="79"/>
      <c r="O15" s="78">
        <f t="shared" si="2"/>
        <v>2429880.3415000006</v>
      </c>
      <c r="P15" s="80">
        <f t="shared" si="2"/>
        <v>156856.43370999995</v>
      </c>
      <c r="Q15" s="78">
        <f t="shared" si="3"/>
        <v>2586736.7752100006</v>
      </c>
      <c r="R15" s="78">
        <f t="shared" si="4"/>
        <v>50398.41560990002</v>
      </c>
      <c r="S15" s="78">
        <f t="shared" si="4"/>
        <v>3012.7773190000007</v>
      </c>
      <c r="T15" s="79"/>
      <c r="U15" s="78">
        <f t="shared" si="102"/>
        <v>434363.06</v>
      </c>
      <c r="V15" s="77">
        <f t="shared" si="5"/>
        <v>28039.504399999998</v>
      </c>
      <c r="W15" s="78">
        <f t="shared" si="6"/>
        <v>462402.5644</v>
      </c>
      <c r="X15" s="78">
        <f t="shared" si="7"/>
        <v>9009.172036</v>
      </c>
      <c r="Y15" s="77">
        <f t="shared" si="8"/>
        <v>538.5611600000001</v>
      </c>
      <c r="Z15" s="79"/>
      <c r="AA15" s="78">
        <f t="shared" si="103"/>
        <v>316585.849</v>
      </c>
      <c r="AB15" s="78">
        <f t="shared" si="9"/>
        <v>20436.61426</v>
      </c>
      <c r="AC15" s="78">
        <f t="shared" si="10"/>
        <v>337022.46326</v>
      </c>
      <c r="AD15" s="78">
        <f t="shared" si="11"/>
        <v>6566.3419394</v>
      </c>
      <c r="AE15" s="77">
        <f t="shared" si="12"/>
        <v>392.530714</v>
      </c>
      <c r="AF15" s="79"/>
      <c r="AG15" s="78">
        <f t="shared" si="104"/>
        <v>167849.826</v>
      </c>
      <c r="AH15" s="78">
        <f t="shared" si="13"/>
        <v>10835.23524</v>
      </c>
      <c r="AI15" s="78">
        <f t="shared" si="14"/>
        <v>178685.06124</v>
      </c>
      <c r="AJ15" s="78">
        <f t="shared" si="15"/>
        <v>3481.3917156</v>
      </c>
      <c r="AK15" s="77">
        <f t="shared" si="16"/>
        <v>208.114836</v>
      </c>
      <c r="AL15" s="79"/>
      <c r="AM15" s="78">
        <f t="shared" si="105"/>
        <v>122074.92</v>
      </c>
      <c r="AN15" s="78">
        <f t="shared" si="17"/>
        <v>7880.3208</v>
      </c>
      <c r="AO15" s="78">
        <f t="shared" si="18"/>
        <v>129955.2408</v>
      </c>
      <c r="AP15" s="78">
        <f t="shared" si="19"/>
        <v>2531.969352</v>
      </c>
      <c r="AQ15" s="77">
        <f t="shared" si="20"/>
        <v>151.35912</v>
      </c>
      <c r="AR15" s="79"/>
      <c r="AS15" s="78">
        <f t="shared" si="106"/>
        <v>13983.233499999998</v>
      </c>
      <c r="AT15" s="78">
        <f t="shared" si="21"/>
        <v>902.66179</v>
      </c>
      <c r="AU15" s="78">
        <f t="shared" si="22"/>
        <v>14885.895289999999</v>
      </c>
      <c r="AV15" s="78">
        <f t="shared" si="23"/>
        <v>290.02778509999996</v>
      </c>
      <c r="AW15" s="77">
        <f t="shared" si="24"/>
        <v>17.337631</v>
      </c>
      <c r="AX15" s="79"/>
      <c r="AY15" s="78">
        <f t="shared" si="107"/>
        <v>221225.71349999998</v>
      </c>
      <c r="AZ15" s="78">
        <f t="shared" si="25"/>
        <v>14280.816989999998</v>
      </c>
      <c r="BA15" s="78">
        <f t="shared" si="26"/>
        <v>235506.53048999998</v>
      </c>
      <c r="BB15" s="78">
        <f t="shared" si="27"/>
        <v>4588.4668731</v>
      </c>
      <c r="BC15" s="77">
        <f t="shared" si="28"/>
        <v>274.29491099999996</v>
      </c>
      <c r="BD15" s="79"/>
      <c r="BE15" s="78">
        <f t="shared" si="108"/>
        <v>23981.8115</v>
      </c>
      <c r="BF15" s="78">
        <f t="shared" si="29"/>
        <v>1548.1015100000002</v>
      </c>
      <c r="BG15" s="78">
        <f t="shared" si="30"/>
        <v>25529.91301</v>
      </c>
      <c r="BH15" s="78">
        <f t="shared" si="31"/>
        <v>497.4093919</v>
      </c>
      <c r="BI15" s="77">
        <f t="shared" si="32"/>
        <v>29.734738999999998</v>
      </c>
      <c r="BJ15" s="79"/>
      <c r="BK15" s="78">
        <f t="shared" si="109"/>
        <v>75019.6305</v>
      </c>
      <c r="BL15" s="78">
        <f t="shared" si="33"/>
        <v>4842.75357</v>
      </c>
      <c r="BM15" s="78">
        <f t="shared" si="34"/>
        <v>79862.38407</v>
      </c>
      <c r="BN15" s="78">
        <f t="shared" si="35"/>
        <v>1555.9904133</v>
      </c>
      <c r="BO15" s="77">
        <f t="shared" si="36"/>
        <v>93.015873</v>
      </c>
      <c r="BP15" s="79"/>
      <c r="BQ15" s="78">
        <f t="shared" si="110"/>
        <v>38044.2385</v>
      </c>
      <c r="BR15" s="78">
        <f t="shared" si="37"/>
        <v>2455.87549</v>
      </c>
      <c r="BS15" s="78">
        <f t="shared" si="38"/>
        <v>40500.11399</v>
      </c>
      <c r="BT15" s="78">
        <f t="shared" si="39"/>
        <v>789.0797381</v>
      </c>
      <c r="BU15" s="77">
        <f t="shared" si="40"/>
        <v>47.170561</v>
      </c>
      <c r="BV15" s="79"/>
      <c r="BW15" s="78">
        <f t="shared" si="111"/>
        <v>7388.3815</v>
      </c>
      <c r="BX15" s="78">
        <f t="shared" si="41"/>
        <v>476.94331</v>
      </c>
      <c r="BY15" s="78">
        <f t="shared" si="42"/>
        <v>7865.32481</v>
      </c>
      <c r="BZ15" s="78">
        <f t="shared" si="43"/>
        <v>153.2432339</v>
      </c>
      <c r="CA15" s="77">
        <f t="shared" si="44"/>
        <v>9.160759</v>
      </c>
      <c r="CB15" s="79"/>
      <c r="CC15" s="78">
        <f t="shared" si="112"/>
        <v>29356.871</v>
      </c>
      <c r="CD15" s="78">
        <f t="shared" si="45"/>
        <v>1895.0785400000002</v>
      </c>
      <c r="CE15" s="78">
        <f t="shared" si="46"/>
        <v>31251.949539999998</v>
      </c>
      <c r="CF15" s="78">
        <f t="shared" si="47"/>
        <v>608.8940926</v>
      </c>
      <c r="CG15" s="77">
        <f t="shared" si="48"/>
        <v>36.399206</v>
      </c>
      <c r="CH15" s="79"/>
      <c r="CI15" s="78">
        <f t="shared" si="113"/>
        <v>71599.9595</v>
      </c>
      <c r="CJ15" s="78">
        <f t="shared" si="49"/>
        <v>4622.00303</v>
      </c>
      <c r="CK15" s="78">
        <f t="shared" si="50"/>
        <v>76221.96252999999</v>
      </c>
      <c r="CL15" s="78">
        <f t="shared" si="51"/>
        <v>1485.0626407</v>
      </c>
      <c r="CM15" s="77">
        <f t="shared" si="52"/>
        <v>88.775867</v>
      </c>
      <c r="CN15" s="79"/>
      <c r="CO15" s="78">
        <f t="shared" si="114"/>
        <v>160260.006</v>
      </c>
      <c r="CP15" s="78">
        <f t="shared" si="53"/>
        <v>10345.288439999998</v>
      </c>
      <c r="CQ15" s="78">
        <f t="shared" si="54"/>
        <v>170605.29444</v>
      </c>
      <c r="CR15" s="78">
        <f t="shared" si="55"/>
        <v>3323.9704236</v>
      </c>
      <c r="CS15" s="77">
        <f t="shared" si="56"/>
        <v>198.704316</v>
      </c>
      <c r="CT15" s="79"/>
      <c r="CU15" s="78">
        <f t="shared" si="115"/>
        <v>24246.4985</v>
      </c>
      <c r="CV15" s="78">
        <f t="shared" si="57"/>
        <v>1565.18789</v>
      </c>
      <c r="CW15" s="78">
        <f t="shared" si="58"/>
        <v>25811.686390000003</v>
      </c>
      <c r="CX15" s="78">
        <f t="shared" si="59"/>
        <v>502.89929409999996</v>
      </c>
      <c r="CY15" s="77">
        <f t="shared" si="60"/>
        <v>30.062921</v>
      </c>
      <c r="CZ15" s="79"/>
      <c r="DA15" s="78">
        <f t="shared" si="116"/>
        <v>69668.48849999999</v>
      </c>
      <c r="DB15" s="78">
        <f t="shared" si="61"/>
        <v>4497.320489999999</v>
      </c>
      <c r="DC15" s="78">
        <f t="shared" si="62"/>
        <v>74165.80898999999</v>
      </c>
      <c r="DD15" s="78">
        <f t="shared" si="63"/>
        <v>1445.0017881</v>
      </c>
      <c r="DE15" s="77">
        <f t="shared" si="64"/>
        <v>86.381061</v>
      </c>
      <c r="DF15" s="79"/>
      <c r="DG15" s="78">
        <f t="shared" si="117"/>
        <v>2684.6065000000003</v>
      </c>
      <c r="DH15" s="78">
        <f t="shared" si="65"/>
        <v>173.29981</v>
      </c>
      <c r="DI15" s="78">
        <f t="shared" si="66"/>
        <v>2857.9063100000003</v>
      </c>
      <c r="DJ15" s="78">
        <f t="shared" si="67"/>
        <v>55.6817189</v>
      </c>
      <c r="DK15" s="77">
        <f t="shared" si="68"/>
        <v>3.3286089999999997</v>
      </c>
      <c r="DL15" s="79"/>
      <c r="DM15" s="90">
        <f t="shared" si="118"/>
        <v>146969.31699999998</v>
      </c>
      <c r="DN15" s="90">
        <f t="shared" si="69"/>
        <v>9487.33258</v>
      </c>
      <c r="DO15" s="90">
        <f t="shared" si="70"/>
        <v>156456.64957999997</v>
      </c>
      <c r="DP15" s="90">
        <f t="shared" si="71"/>
        <v>3048.3067802</v>
      </c>
      <c r="DQ15" s="94">
        <f t="shared" si="72"/>
        <v>182.22536200000002</v>
      </c>
      <c r="DR15" s="79"/>
      <c r="DS15" s="78">
        <f t="shared" si="119"/>
        <v>23138.321</v>
      </c>
      <c r="DT15" s="78">
        <f t="shared" si="73"/>
        <v>1493.65154</v>
      </c>
      <c r="DU15" s="78">
        <f t="shared" si="74"/>
        <v>24631.97254</v>
      </c>
      <c r="DV15" s="78">
        <f t="shared" si="75"/>
        <v>479.91446260000004</v>
      </c>
      <c r="DW15" s="77">
        <f t="shared" si="76"/>
        <v>28.688906000000003</v>
      </c>
      <c r="DX15" s="79"/>
      <c r="DY15" s="78">
        <f t="shared" si="120"/>
        <v>119071.4135</v>
      </c>
      <c r="DZ15" s="78">
        <f t="shared" si="77"/>
        <v>7686.43499</v>
      </c>
      <c r="EA15" s="78">
        <f t="shared" si="78"/>
        <v>126757.84848999999</v>
      </c>
      <c r="EB15" s="78">
        <f t="shared" si="79"/>
        <v>2469.6732931</v>
      </c>
      <c r="EC15" s="77">
        <f t="shared" si="80"/>
        <v>147.635111</v>
      </c>
      <c r="ED15" s="79"/>
      <c r="EE15" s="78">
        <f t="shared" si="121"/>
        <v>33993.677</v>
      </c>
      <c r="EF15" s="78">
        <f t="shared" si="81"/>
        <v>2194.39898</v>
      </c>
      <c r="EG15" s="78">
        <f t="shared" si="82"/>
        <v>36188.07598</v>
      </c>
      <c r="EH15" s="78">
        <f t="shared" si="83"/>
        <v>705.0665962</v>
      </c>
      <c r="EI15" s="77">
        <f t="shared" si="84"/>
        <v>42.148322</v>
      </c>
      <c r="EJ15" s="79"/>
      <c r="EK15" s="78">
        <f t="shared" si="122"/>
        <v>341.223</v>
      </c>
      <c r="EL15" s="78">
        <f t="shared" si="85"/>
        <v>22.027020000000004</v>
      </c>
      <c r="EM15" s="78">
        <f t="shared" si="86"/>
        <v>363.25002</v>
      </c>
      <c r="EN15" s="78">
        <f t="shared" si="87"/>
        <v>7.0773438</v>
      </c>
      <c r="EO15" s="77">
        <f t="shared" si="88"/>
        <v>0.423078</v>
      </c>
      <c r="EP15" s="79"/>
      <c r="EQ15" s="78">
        <f t="shared" si="123"/>
        <v>633.548</v>
      </c>
      <c r="ER15" s="78">
        <f t="shared" si="89"/>
        <v>40.89752</v>
      </c>
      <c r="ES15" s="78">
        <f t="shared" si="90"/>
        <v>674.44552</v>
      </c>
      <c r="ET15" s="78">
        <f t="shared" si="91"/>
        <v>13.1404888</v>
      </c>
      <c r="EU15" s="77">
        <f t="shared" si="92"/>
        <v>0.785528</v>
      </c>
      <c r="EV15" s="79"/>
      <c r="EW15" s="78">
        <f t="shared" si="124"/>
        <v>114525.494</v>
      </c>
      <c r="EX15" s="78">
        <f t="shared" si="93"/>
        <v>7392.981559999999</v>
      </c>
      <c r="EY15" s="78">
        <f t="shared" si="94"/>
        <v>121918.47556</v>
      </c>
      <c r="EZ15" s="78">
        <f t="shared" si="95"/>
        <v>2375.3858764</v>
      </c>
      <c r="FA15" s="77">
        <f t="shared" si="96"/>
        <v>141.998684</v>
      </c>
      <c r="FB15" s="79"/>
      <c r="FC15" s="78">
        <f t="shared" si="125"/>
        <v>212874.254</v>
      </c>
      <c r="FD15" s="78">
        <f t="shared" si="97"/>
        <v>13741.703959999999</v>
      </c>
      <c r="FE15" s="78">
        <f t="shared" si="98"/>
        <v>226615.95795999997</v>
      </c>
      <c r="FF15" s="78">
        <f t="shared" si="99"/>
        <v>4415.2483323999995</v>
      </c>
      <c r="FG15" s="77">
        <f t="shared" si="100"/>
        <v>263.940044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">
      <c r="A16" s="51">
        <v>43374</v>
      </c>
      <c r="C16" s="42"/>
      <c r="D16" s="42">
        <v>236800</v>
      </c>
      <c r="E16" s="77">
        <f t="shared" si="0"/>
        <v>236800</v>
      </c>
      <c r="F16" s="77">
        <v>110239</v>
      </c>
      <c r="G16" s="77">
        <v>6590</v>
      </c>
      <c r="H16" s="79"/>
      <c r="I16" s="79">
        <f>'2010C Academic'!I16</f>
        <v>0</v>
      </c>
      <c r="J16" s="79">
        <f>'2010C Academic'!J16</f>
        <v>128541.17312</v>
      </c>
      <c r="K16" s="79">
        <f t="shared" si="1"/>
        <v>128541.17312</v>
      </c>
      <c r="L16" s="79">
        <f>'2010C Academic'!L16</f>
        <v>59840.5843901</v>
      </c>
      <c r="M16" s="79">
        <f>'2010C Academic'!M16</f>
        <v>3577.2226809999993</v>
      </c>
      <c r="N16" s="79"/>
      <c r="O16" s="78">
        <f t="shared" si="2"/>
        <v>0</v>
      </c>
      <c r="P16" s="80">
        <f t="shared" si="2"/>
        <v>108258.82688000001</v>
      </c>
      <c r="Q16" s="78">
        <f t="shared" si="3"/>
        <v>108258.82688000001</v>
      </c>
      <c r="R16" s="78">
        <f t="shared" si="4"/>
        <v>50398.41560990002</v>
      </c>
      <c r="S16" s="78">
        <f t="shared" si="4"/>
        <v>3012.7773190000007</v>
      </c>
      <c r="T16" s="79"/>
      <c r="U16" s="78"/>
      <c r="V16" s="77">
        <f t="shared" si="5"/>
        <v>19352.243199999997</v>
      </c>
      <c r="W16" s="78">
        <f t="shared" si="6"/>
        <v>19352.243199999997</v>
      </c>
      <c r="X16" s="78">
        <f t="shared" si="7"/>
        <v>9009.172036</v>
      </c>
      <c r="Y16" s="77">
        <f t="shared" si="8"/>
        <v>538.5611600000001</v>
      </c>
      <c r="Z16" s="79"/>
      <c r="AA16" s="78"/>
      <c r="AB16" s="78">
        <f t="shared" si="9"/>
        <v>14104.89728</v>
      </c>
      <c r="AC16" s="78">
        <f t="shared" si="10"/>
        <v>14104.89728</v>
      </c>
      <c r="AD16" s="78">
        <f t="shared" si="11"/>
        <v>6566.3419394</v>
      </c>
      <c r="AE16" s="77">
        <f t="shared" si="12"/>
        <v>392.530714</v>
      </c>
      <c r="AF16" s="79"/>
      <c r="AG16" s="78"/>
      <c r="AH16" s="78">
        <f t="shared" si="13"/>
        <v>7478.238720000001</v>
      </c>
      <c r="AI16" s="78">
        <f t="shared" si="14"/>
        <v>7478.238720000001</v>
      </c>
      <c r="AJ16" s="78">
        <f t="shared" si="15"/>
        <v>3481.3917156</v>
      </c>
      <c r="AK16" s="77">
        <f t="shared" si="16"/>
        <v>208.114836</v>
      </c>
      <c r="AL16" s="79"/>
      <c r="AM16" s="78"/>
      <c r="AN16" s="78">
        <f t="shared" si="17"/>
        <v>5438.8224</v>
      </c>
      <c r="AO16" s="78">
        <f t="shared" si="18"/>
        <v>5438.8224</v>
      </c>
      <c r="AP16" s="78">
        <f t="shared" si="19"/>
        <v>2531.969352</v>
      </c>
      <c r="AQ16" s="77">
        <f t="shared" si="20"/>
        <v>151.35912</v>
      </c>
      <c r="AR16" s="79"/>
      <c r="AS16" s="78"/>
      <c r="AT16" s="78">
        <f t="shared" si="21"/>
        <v>622.99712</v>
      </c>
      <c r="AU16" s="78">
        <f t="shared" si="22"/>
        <v>622.99712</v>
      </c>
      <c r="AV16" s="78">
        <f t="shared" si="23"/>
        <v>290.02778509999996</v>
      </c>
      <c r="AW16" s="77">
        <f t="shared" si="24"/>
        <v>17.337631</v>
      </c>
      <c r="AX16" s="79"/>
      <c r="AY16" s="78"/>
      <c r="AZ16" s="78">
        <f t="shared" si="25"/>
        <v>9856.30272</v>
      </c>
      <c r="BA16" s="78">
        <f t="shared" si="26"/>
        <v>9856.30272</v>
      </c>
      <c r="BB16" s="78">
        <f t="shared" si="27"/>
        <v>4588.4668731</v>
      </c>
      <c r="BC16" s="77">
        <f t="shared" si="28"/>
        <v>274.29491099999996</v>
      </c>
      <c r="BD16" s="79"/>
      <c r="BE16" s="78"/>
      <c r="BF16" s="78">
        <f t="shared" si="29"/>
        <v>1068.4652800000001</v>
      </c>
      <c r="BG16" s="78">
        <f t="shared" si="30"/>
        <v>1068.4652800000001</v>
      </c>
      <c r="BH16" s="78">
        <f t="shared" si="31"/>
        <v>497.4093919</v>
      </c>
      <c r="BI16" s="77">
        <f t="shared" si="32"/>
        <v>29.734738999999998</v>
      </c>
      <c r="BJ16" s="79"/>
      <c r="BK16" s="78"/>
      <c r="BL16" s="78">
        <f t="shared" si="33"/>
        <v>3342.36096</v>
      </c>
      <c r="BM16" s="78">
        <f t="shared" si="34"/>
        <v>3342.36096</v>
      </c>
      <c r="BN16" s="78">
        <f t="shared" si="35"/>
        <v>1555.9904133</v>
      </c>
      <c r="BO16" s="77">
        <f t="shared" si="36"/>
        <v>93.015873</v>
      </c>
      <c r="BP16" s="79"/>
      <c r="BQ16" s="78"/>
      <c r="BR16" s="78">
        <f t="shared" si="37"/>
        <v>1694.9907200000002</v>
      </c>
      <c r="BS16" s="78">
        <f t="shared" si="38"/>
        <v>1694.9907200000002</v>
      </c>
      <c r="BT16" s="78">
        <f t="shared" si="39"/>
        <v>789.0797381</v>
      </c>
      <c r="BU16" s="77">
        <f t="shared" si="40"/>
        <v>47.170561</v>
      </c>
      <c r="BV16" s="79"/>
      <c r="BW16" s="78"/>
      <c r="BX16" s="78">
        <f t="shared" si="41"/>
        <v>329.17568</v>
      </c>
      <c r="BY16" s="78">
        <f t="shared" si="42"/>
        <v>329.17568</v>
      </c>
      <c r="BZ16" s="78">
        <f t="shared" si="43"/>
        <v>153.2432339</v>
      </c>
      <c r="CA16" s="77">
        <f t="shared" si="44"/>
        <v>9.160759</v>
      </c>
      <c r="CB16" s="79"/>
      <c r="CC16" s="78"/>
      <c r="CD16" s="78">
        <f t="shared" si="45"/>
        <v>1307.9411200000002</v>
      </c>
      <c r="CE16" s="78">
        <f t="shared" si="46"/>
        <v>1307.9411200000002</v>
      </c>
      <c r="CF16" s="78">
        <f t="shared" si="47"/>
        <v>608.8940926</v>
      </c>
      <c r="CG16" s="77">
        <f t="shared" si="48"/>
        <v>36.399206</v>
      </c>
      <c r="CH16" s="79"/>
      <c r="CI16" s="78"/>
      <c r="CJ16" s="78">
        <f t="shared" si="49"/>
        <v>3190.0038399999994</v>
      </c>
      <c r="CK16" s="78">
        <f t="shared" si="50"/>
        <v>3190.0038399999994</v>
      </c>
      <c r="CL16" s="78">
        <f t="shared" si="51"/>
        <v>1485.0626407</v>
      </c>
      <c r="CM16" s="77">
        <f t="shared" si="52"/>
        <v>88.775867</v>
      </c>
      <c r="CN16" s="79"/>
      <c r="CO16" s="78"/>
      <c r="CP16" s="78">
        <f t="shared" si="53"/>
        <v>7140.088319999999</v>
      </c>
      <c r="CQ16" s="78">
        <f t="shared" si="54"/>
        <v>7140.088319999999</v>
      </c>
      <c r="CR16" s="78">
        <f t="shared" si="55"/>
        <v>3323.9704236</v>
      </c>
      <c r="CS16" s="77">
        <f t="shared" si="56"/>
        <v>198.704316</v>
      </c>
      <c r="CT16" s="79"/>
      <c r="CU16" s="78"/>
      <c r="CV16" s="78">
        <f t="shared" si="57"/>
        <v>1080.25792</v>
      </c>
      <c r="CW16" s="78">
        <f t="shared" si="58"/>
        <v>1080.25792</v>
      </c>
      <c r="CX16" s="78">
        <f t="shared" si="59"/>
        <v>502.89929409999996</v>
      </c>
      <c r="CY16" s="77">
        <f t="shared" si="60"/>
        <v>30.062921</v>
      </c>
      <c r="CZ16" s="79"/>
      <c r="DA16" s="78"/>
      <c r="DB16" s="78">
        <f t="shared" si="61"/>
        <v>3103.95072</v>
      </c>
      <c r="DC16" s="78">
        <f t="shared" si="62"/>
        <v>3103.95072</v>
      </c>
      <c r="DD16" s="78">
        <f t="shared" si="63"/>
        <v>1445.0017881</v>
      </c>
      <c r="DE16" s="77">
        <f t="shared" si="64"/>
        <v>86.381061</v>
      </c>
      <c r="DF16" s="79"/>
      <c r="DG16" s="78"/>
      <c r="DH16" s="78">
        <f t="shared" si="65"/>
        <v>119.60768</v>
      </c>
      <c r="DI16" s="78">
        <f t="shared" si="66"/>
        <v>119.60768</v>
      </c>
      <c r="DJ16" s="78">
        <f t="shared" si="67"/>
        <v>55.6817189</v>
      </c>
      <c r="DK16" s="77">
        <f t="shared" si="68"/>
        <v>3.3286089999999997</v>
      </c>
      <c r="DL16" s="79"/>
      <c r="DM16" s="90"/>
      <c r="DN16" s="90">
        <f t="shared" si="69"/>
        <v>6547.946239999999</v>
      </c>
      <c r="DO16" s="90">
        <f t="shared" si="70"/>
        <v>6547.946239999999</v>
      </c>
      <c r="DP16" s="90">
        <f t="shared" si="71"/>
        <v>3048.3067802</v>
      </c>
      <c r="DQ16" s="94">
        <f t="shared" si="72"/>
        <v>182.22536200000002</v>
      </c>
      <c r="DR16" s="79"/>
      <c r="DS16" s="78"/>
      <c r="DT16" s="78">
        <f t="shared" si="73"/>
        <v>1030.88512</v>
      </c>
      <c r="DU16" s="78">
        <f t="shared" si="74"/>
        <v>1030.88512</v>
      </c>
      <c r="DV16" s="78">
        <f t="shared" si="75"/>
        <v>479.91446260000004</v>
      </c>
      <c r="DW16" s="77">
        <f t="shared" si="76"/>
        <v>28.688906000000003</v>
      </c>
      <c r="DX16" s="79"/>
      <c r="DY16" s="78"/>
      <c r="DZ16" s="78">
        <f t="shared" si="77"/>
        <v>5305.00672</v>
      </c>
      <c r="EA16" s="78">
        <f t="shared" si="78"/>
        <v>5305.00672</v>
      </c>
      <c r="EB16" s="78">
        <f t="shared" si="79"/>
        <v>2469.6732931</v>
      </c>
      <c r="EC16" s="77">
        <f t="shared" si="80"/>
        <v>147.635111</v>
      </c>
      <c r="ED16" s="79"/>
      <c r="EE16" s="78"/>
      <c r="EF16" s="78">
        <f t="shared" si="81"/>
        <v>1514.52544</v>
      </c>
      <c r="EG16" s="78">
        <f t="shared" si="82"/>
        <v>1514.52544</v>
      </c>
      <c r="EH16" s="78">
        <f t="shared" si="83"/>
        <v>705.0665962</v>
      </c>
      <c r="EI16" s="77">
        <f t="shared" si="84"/>
        <v>42.148322</v>
      </c>
      <c r="EJ16" s="79"/>
      <c r="EK16" s="78"/>
      <c r="EL16" s="78">
        <f t="shared" si="85"/>
        <v>15.20256</v>
      </c>
      <c r="EM16" s="78">
        <f t="shared" si="86"/>
        <v>15.20256</v>
      </c>
      <c r="EN16" s="78">
        <f t="shared" si="87"/>
        <v>7.0773438</v>
      </c>
      <c r="EO16" s="77">
        <f t="shared" si="88"/>
        <v>0.423078</v>
      </c>
      <c r="EP16" s="79"/>
      <c r="EQ16" s="78"/>
      <c r="ER16" s="78">
        <f t="shared" si="89"/>
        <v>28.22656</v>
      </c>
      <c r="ES16" s="78">
        <f t="shared" si="90"/>
        <v>28.22656</v>
      </c>
      <c r="ET16" s="78">
        <f t="shared" si="91"/>
        <v>13.1404888</v>
      </c>
      <c r="EU16" s="77">
        <f t="shared" si="92"/>
        <v>0.785528</v>
      </c>
      <c r="EV16" s="79"/>
      <c r="EW16" s="78"/>
      <c r="EX16" s="78">
        <f t="shared" si="93"/>
        <v>5102.47168</v>
      </c>
      <c r="EY16" s="78">
        <f t="shared" si="94"/>
        <v>5102.47168</v>
      </c>
      <c r="EZ16" s="78">
        <f t="shared" si="95"/>
        <v>2375.3858764</v>
      </c>
      <c r="FA16" s="77">
        <f t="shared" si="96"/>
        <v>141.998684</v>
      </c>
      <c r="FB16" s="79"/>
      <c r="FC16" s="78"/>
      <c r="FD16" s="78">
        <f t="shared" si="97"/>
        <v>9484.21888</v>
      </c>
      <c r="FE16" s="78">
        <f t="shared" si="98"/>
        <v>9484.21888</v>
      </c>
      <c r="FF16" s="78">
        <f t="shared" si="99"/>
        <v>4415.2483323999995</v>
      </c>
      <c r="FG16" s="77">
        <f t="shared" si="100"/>
        <v>263.940044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">
      <c r="A17" s="51">
        <v>43556</v>
      </c>
      <c r="C17" s="42"/>
      <c r="D17" s="42">
        <v>236800</v>
      </c>
      <c r="E17" s="77">
        <f t="shared" si="0"/>
        <v>236800</v>
      </c>
      <c r="F17" s="77">
        <v>110239</v>
      </c>
      <c r="G17" s="77">
        <v>6590</v>
      </c>
      <c r="H17" s="79"/>
      <c r="I17" s="79">
        <f>'2010C Academic'!I17</f>
        <v>0</v>
      </c>
      <c r="J17" s="79">
        <f>'2010C Academic'!J17</f>
        <v>128541.17312</v>
      </c>
      <c r="K17" s="79">
        <f t="shared" si="1"/>
        <v>128541.17312</v>
      </c>
      <c r="L17" s="79">
        <f>'2010C Academic'!L17</f>
        <v>59840.5843901</v>
      </c>
      <c r="M17" s="79">
        <f>'2010C Academic'!M17</f>
        <v>3577.2226809999993</v>
      </c>
      <c r="N17" s="79"/>
      <c r="O17" s="78">
        <f t="shared" si="2"/>
        <v>0</v>
      </c>
      <c r="P17" s="80">
        <f t="shared" si="2"/>
        <v>108258.82688000001</v>
      </c>
      <c r="Q17" s="78">
        <f t="shared" si="3"/>
        <v>108258.82688000001</v>
      </c>
      <c r="R17" s="78">
        <f t="shared" si="4"/>
        <v>50398.41560990002</v>
      </c>
      <c r="S17" s="78">
        <f t="shared" si="4"/>
        <v>3012.7773190000007</v>
      </c>
      <c r="T17" s="79"/>
      <c r="U17" s="78">
        <f t="shared" si="102"/>
        <v>0</v>
      </c>
      <c r="V17" s="77">
        <f t="shared" si="5"/>
        <v>19352.243199999997</v>
      </c>
      <c r="W17" s="78">
        <f t="shared" si="6"/>
        <v>19352.243199999997</v>
      </c>
      <c r="X17" s="78">
        <f t="shared" si="7"/>
        <v>9009.172036</v>
      </c>
      <c r="Y17" s="77">
        <f t="shared" si="8"/>
        <v>538.5611600000001</v>
      </c>
      <c r="Z17" s="79"/>
      <c r="AA17" s="78">
        <f t="shared" si="103"/>
        <v>0</v>
      </c>
      <c r="AB17" s="78">
        <f t="shared" si="9"/>
        <v>14104.89728</v>
      </c>
      <c r="AC17" s="78">
        <f t="shared" si="10"/>
        <v>14104.89728</v>
      </c>
      <c r="AD17" s="78">
        <f t="shared" si="11"/>
        <v>6566.3419394</v>
      </c>
      <c r="AE17" s="77">
        <f t="shared" si="12"/>
        <v>392.530714</v>
      </c>
      <c r="AF17" s="79"/>
      <c r="AG17" s="78">
        <f t="shared" si="104"/>
        <v>0</v>
      </c>
      <c r="AH17" s="78">
        <f t="shared" si="13"/>
        <v>7478.238720000001</v>
      </c>
      <c r="AI17" s="78">
        <f t="shared" si="14"/>
        <v>7478.238720000001</v>
      </c>
      <c r="AJ17" s="78">
        <f t="shared" si="15"/>
        <v>3481.3917156</v>
      </c>
      <c r="AK17" s="77">
        <f t="shared" si="16"/>
        <v>208.114836</v>
      </c>
      <c r="AL17" s="79"/>
      <c r="AM17" s="78">
        <f t="shared" si="105"/>
        <v>0</v>
      </c>
      <c r="AN17" s="78">
        <f t="shared" si="17"/>
        <v>5438.8224</v>
      </c>
      <c r="AO17" s="78">
        <f t="shared" si="18"/>
        <v>5438.8224</v>
      </c>
      <c r="AP17" s="78">
        <f t="shared" si="19"/>
        <v>2531.969352</v>
      </c>
      <c r="AQ17" s="77">
        <f t="shared" si="20"/>
        <v>151.35912</v>
      </c>
      <c r="AR17" s="79"/>
      <c r="AS17" s="78">
        <f t="shared" si="106"/>
        <v>0</v>
      </c>
      <c r="AT17" s="78">
        <f t="shared" si="21"/>
        <v>622.99712</v>
      </c>
      <c r="AU17" s="78">
        <f t="shared" si="22"/>
        <v>622.99712</v>
      </c>
      <c r="AV17" s="78">
        <f t="shared" si="23"/>
        <v>290.02778509999996</v>
      </c>
      <c r="AW17" s="77">
        <f t="shared" si="24"/>
        <v>17.337631</v>
      </c>
      <c r="AX17" s="79"/>
      <c r="AY17" s="78">
        <f t="shared" si="107"/>
        <v>0</v>
      </c>
      <c r="AZ17" s="78">
        <f t="shared" si="25"/>
        <v>9856.30272</v>
      </c>
      <c r="BA17" s="78">
        <f t="shared" si="26"/>
        <v>9856.30272</v>
      </c>
      <c r="BB17" s="78">
        <f t="shared" si="27"/>
        <v>4588.4668731</v>
      </c>
      <c r="BC17" s="77">
        <f t="shared" si="28"/>
        <v>274.29491099999996</v>
      </c>
      <c r="BD17" s="79"/>
      <c r="BE17" s="78">
        <f t="shared" si="108"/>
        <v>0</v>
      </c>
      <c r="BF17" s="78">
        <f t="shared" si="29"/>
        <v>1068.4652800000001</v>
      </c>
      <c r="BG17" s="78">
        <f t="shared" si="30"/>
        <v>1068.4652800000001</v>
      </c>
      <c r="BH17" s="78">
        <f t="shared" si="31"/>
        <v>497.4093919</v>
      </c>
      <c r="BI17" s="77">
        <f t="shared" si="32"/>
        <v>29.734738999999998</v>
      </c>
      <c r="BJ17" s="79"/>
      <c r="BK17" s="78">
        <f t="shared" si="109"/>
        <v>0</v>
      </c>
      <c r="BL17" s="78">
        <f t="shared" si="33"/>
        <v>3342.36096</v>
      </c>
      <c r="BM17" s="78">
        <f t="shared" si="34"/>
        <v>3342.36096</v>
      </c>
      <c r="BN17" s="78">
        <f t="shared" si="35"/>
        <v>1555.9904133</v>
      </c>
      <c r="BO17" s="77">
        <f t="shared" si="36"/>
        <v>93.015873</v>
      </c>
      <c r="BP17" s="79"/>
      <c r="BQ17" s="78">
        <f t="shared" si="110"/>
        <v>0</v>
      </c>
      <c r="BR17" s="78">
        <f t="shared" si="37"/>
        <v>1694.9907200000002</v>
      </c>
      <c r="BS17" s="78">
        <f t="shared" si="38"/>
        <v>1694.9907200000002</v>
      </c>
      <c r="BT17" s="78">
        <f t="shared" si="39"/>
        <v>789.0797381</v>
      </c>
      <c r="BU17" s="77">
        <f t="shared" si="40"/>
        <v>47.170561</v>
      </c>
      <c r="BV17" s="79"/>
      <c r="BW17" s="78">
        <f t="shared" si="111"/>
        <v>0</v>
      </c>
      <c r="BX17" s="78">
        <f t="shared" si="41"/>
        <v>329.17568</v>
      </c>
      <c r="BY17" s="78">
        <f t="shared" si="42"/>
        <v>329.17568</v>
      </c>
      <c r="BZ17" s="78">
        <f t="shared" si="43"/>
        <v>153.2432339</v>
      </c>
      <c r="CA17" s="77">
        <f t="shared" si="44"/>
        <v>9.160759</v>
      </c>
      <c r="CB17" s="79"/>
      <c r="CC17" s="78">
        <f t="shared" si="112"/>
        <v>0</v>
      </c>
      <c r="CD17" s="78">
        <f t="shared" si="45"/>
        <v>1307.9411200000002</v>
      </c>
      <c r="CE17" s="78">
        <f t="shared" si="46"/>
        <v>1307.9411200000002</v>
      </c>
      <c r="CF17" s="78">
        <f t="shared" si="47"/>
        <v>608.8940926</v>
      </c>
      <c r="CG17" s="77">
        <f t="shared" si="48"/>
        <v>36.399206</v>
      </c>
      <c r="CH17" s="79"/>
      <c r="CI17" s="78">
        <f t="shared" si="113"/>
        <v>0</v>
      </c>
      <c r="CJ17" s="78">
        <f t="shared" si="49"/>
        <v>3190.0038399999994</v>
      </c>
      <c r="CK17" s="78">
        <f t="shared" si="50"/>
        <v>3190.0038399999994</v>
      </c>
      <c r="CL17" s="78">
        <f t="shared" si="51"/>
        <v>1485.0626407</v>
      </c>
      <c r="CM17" s="77">
        <f t="shared" si="52"/>
        <v>88.775867</v>
      </c>
      <c r="CN17" s="79"/>
      <c r="CO17" s="78">
        <f t="shared" si="114"/>
        <v>0</v>
      </c>
      <c r="CP17" s="78">
        <f t="shared" si="53"/>
        <v>7140.088319999999</v>
      </c>
      <c r="CQ17" s="78">
        <f t="shared" si="54"/>
        <v>7140.088319999999</v>
      </c>
      <c r="CR17" s="78">
        <f t="shared" si="55"/>
        <v>3323.9704236</v>
      </c>
      <c r="CS17" s="77">
        <f t="shared" si="56"/>
        <v>198.704316</v>
      </c>
      <c r="CT17" s="79"/>
      <c r="CU17" s="78">
        <f t="shared" si="115"/>
        <v>0</v>
      </c>
      <c r="CV17" s="78">
        <f t="shared" si="57"/>
        <v>1080.25792</v>
      </c>
      <c r="CW17" s="78">
        <f t="shared" si="58"/>
        <v>1080.25792</v>
      </c>
      <c r="CX17" s="78">
        <f t="shared" si="59"/>
        <v>502.89929409999996</v>
      </c>
      <c r="CY17" s="77">
        <f t="shared" si="60"/>
        <v>30.062921</v>
      </c>
      <c r="CZ17" s="79"/>
      <c r="DA17" s="78">
        <f t="shared" si="116"/>
        <v>0</v>
      </c>
      <c r="DB17" s="78">
        <f t="shared" si="61"/>
        <v>3103.95072</v>
      </c>
      <c r="DC17" s="78">
        <f t="shared" si="62"/>
        <v>3103.95072</v>
      </c>
      <c r="DD17" s="78">
        <f t="shared" si="63"/>
        <v>1445.0017881</v>
      </c>
      <c r="DE17" s="77">
        <f t="shared" si="64"/>
        <v>86.381061</v>
      </c>
      <c r="DF17" s="79"/>
      <c r="DG17" s="78">
        <f t="shared" si="117"/>
        <v>0</v>
      </c>
      <c r="DH17" s="78">
        <f t="shared" si="65"/>
        <v>119.60768</v>
      </c>
      <c r="DI17" s="78">
        <f t="shared" si="66"/>
        <v>119.60768</v>
      </c>
      <c r="DJ17" s="78">
        <f t="shared" si="67"/>
        <v>55.6817189</v>
      </c>
      <c r="DK17" s="77">
        <f t="shared" si="68"/>
        <v>3.3286089999999997</v>
      </c>
      <c r="DL17" s="79"/>
      <c r="DM17" s="90">
        <f t="shared" si="118"/>
        <v>0</v>
      </c>
      <c r="DN17" s="90">
        <f t="shared" si="69"/>
        <v>6547.946239999999</v>
      </c>
      <c r="DO17" s="90">
        <f t="shared" si="70"/>
        <v>6547.946239999999</v>
      </c>
      <c r="DP17" s="90">
        <f t="shared" si="71"/>
        <v>3048.3067802</v>
      </c>
      <c r="DQ17" s="94">
        <f t="shared" si="72"/>
        <v>182.22536200000002</v>
      </c>
      <c r="DR17" s="79"/>
      <c r="DS17" s="78">
        <f t="shared" si="119"/>
        <v>0</v>
      </c>
      <c r="DT17" s="78">
        <f t="shared" si="73"/>
        <v>1030.88512</v>
      </c>
      <c r="DU17" s="78">
        <f t="shared" si="74"/>
        <v>1030.88512</v>
      </c>
      <c r="DV17" s="78">
        <f t="shared" si="75"/>
        <v>479.91446260000004</v>
      </c>
      <c r="DW17" s="77">
        <f t="shared" si="76"/>
        <v>28.688906000000003</v>
      </c>
      <c r="DX17" s="79"/>
      <c r="DY17" s="78">
        <f t="shared" si="120"/>
        <v>0</v>
      </c>
      <c r="DZ17" s="78">
        <f t="shared" si="77"/>
        <v>5305.00672</v>
      </c>
      <c r="EA17" s="78">
        <f t="shared" si="78"/>
        <v>5305.00672</v>
      </c>
      <c r="EB17" s="78">
        <f t="shared" si="79"/>
        <v>2469.6732931</v>
      </c>
      <c r="EC17" s="77">
        <f t="shared" si="80"/>
        <v>147.635111</v>
      </c>
      <c r="ED17" s="79"/>
      <c r="EE17" s="78">
        <f t="shared" si="121"/>
        <v>0</v>
      </c>
      <c r="EF17" s="78">
        <f t="shared" si="81"/>
        <v>1514.52544</v>
      </c>
      <c r="EG17" s="78">
        <f t="shared" si="82"/>
        <v>1514.52544</v>
      </c>
      <c r="EH17" s="78">
        <f t="shared" si="83"/>
        <v>705.0665962</v>
      </c>
      <c r="EI17" s="77">
        <f t="shared" si="84"/>
        <v>42.148322</v>
      </c>
      <c r="EJ17" s="79"/>
      <c r="EK17" s="78">
        <f t="shared" si="122"/>
        <v>0</v>
      </c>
      <c r="EL17" s="78">
        <f t="shared" si="85"/>
        <v>15.20256</v>
      </c>
      <c r="EM17" s="78">
        <f t="shared" si="86"/>
        <v>15.20256</v>
      </c>
      <c r="EN17" s="78">
        <f t="shared" si="87"/>
        <v>7.0773438</v>
      </c>
      <c r="EO17" s="77">
        <f t="shared" si="88"/>
        <v>0.423078</v>
      </c>
      <c r="EP17" s="79"/>
      <c r="EQ17" s="78">
        <f t="shared" si="123"/>
        <v>0</v>
      </c>
      <c r="ER17" s="78">
        <f t="shared" si="89"/>
        <v>28.22656</v>
      </c>
      <c r="ES17" s="78">
        <f t="shared" si="90"/>
        <v>28.22656</v>
      </c>
      <c r="ET17" s="78">
        <f t="shared" si="91"/>
        <v>13.1404888</v>
      </c>
      <c r="EU17" s="77">
        <f t="shared" si="92"/>
        <v>0.785528</v>
      </c>
      <c r="EV17" s="79"/>
      <c r="EW17" s="78">
        <f t="shared" si="124"/>
        <v>0</v>
      </c>
      <c r="EX17" s="78">
        <f t="shared" si="93"/>
        <v>5102.47168</v>
      </c>
      <c r="EY17" s="78">
        <f t="shared" si="94"/>
        <v>5102.47168</v>
      </c>
      <c r="EZ17" s="78">
        <f t="shared" si="95"/>
        <v>2375.3858764</v>
      </c>
      <c r="FA17" s="77">
        <f t="shared" si="96"/>
        <v>141.998684</v>
      </c>
      <c r="FB17" s="79"/>
      <c r="FC17" s="78">
        <f t="shared" si="125"/>
        <v>0</v>
      </c>
      <c r="FD17" s="78">
        <f t="shared" si="97"/>
        <v>9484.21888</v>
      </c>
      <c r="FE17" s="78">
        <f t="shared" si="98"/>
        <v>9484.21888</v>
      </c>
      <c r="FF17" s="78">
        <f t="shared" si="99"/>
        <v>4415.2483323999995</v>
      </c>
      <c r="FG17" s="77">
        <f t="shared" si="100"/>
        <v>263.940044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">
      <c r="A18" s="51">
        <v>43739</v>
      </c>
      <c r="C18" s="42"/>
      <c r="D18" s="42">
        <v>236800</v>
      </c>
      <c r="E18" s="77">
        <f t="shared" si="0"/>
        <v>236800</v>
      </c>
      <c r="F18" s="77">
        <v>110239</v>
      </c>
      <c r="G18" s="77">
        <v>6590</v>
      </c>
      <c r="H18" s="79"/>
      <c r="I18" s="79">
        <f>'2010C Academic'!I18</f>
        <v>0</v>
      </c>
      <c r="J18" s="79">
        <f>'2010C Academic'!J18</f>
        <v>128541.17312</v>
      </c>
      <c r="K18" s="79">
        <f t="shared" si="1"/>
        <v>128541.17312</v>
      </c>
      <c r="L18" s="79">
        <f>'2010C Academic'!L18</f>
        <v>59840.5843901</v>
      </c>
      <c r="M18" s="79">
        <f>'2010C Academic'!M18</f>
        <v>3577.2226809999993</v>
      </c>
      <c r="N18" s="79"/>
      <c r="O18" s="78">
        <f t="shared" si="2"/>
        <v>0</v>
      </c>
      <c r="P18" s="80">
        <f t="shared" si="2"/>
        <v>108258.82688000001</v>
      </c>
      <c r="Q18" s="78">
        <f t="shared" si="3"/>
        <v>108258.82688000001</v>
      </c>
      <c r="R18" s="78">
        <f t="shared" si="4"/>
        <v>50398.41560990002</v>
      </c>
      <c r="S18" s="78">
        <f t="shared" si="4"/>
        <v>3012.7773190000007</v>
      </c>
      <c r="T18" s="79"/>
      <c r="U18" s="78"/>
      <c r="V18" s="77">
        <f t="shared" si="5"/>
        <v>19352.243199999997</v>
      </c>
      <c r="W18" s="78">
        <f t="shared" si="6"/>
        <v>19352.243199999997</v>
      </c>
      <c r="X18" s="78">
        <f t="shared" si="7"/>
        <v>9009.172036</v>
      </c>
      <c r="Y18" s="77">
        <f t="shared" si="8"/>
        <v>538.5611600000001</v>
      </c>
      <c r="Z18" s="79"/>
      <c r="AA18" s="78"/>
      <c r="AB18" s="78">
        <f t="shared" si="9"/>
        <v>14104.89728</v>
      </c>
      <c r="AC18" s="78">
        <f t="shared" si="10"/>
        <v>14104.89728</v>
      </c>
      <c r="AD18" s="78">
        <f t="shared" si="11"/>
        <v>6566.3419394</v>
      </c>
      <c r="AE18" s="77">
        <f t="shared" si="12"/>
        <v>392.530714</v>
      </c>
      <c r="AF18" s="79"/>
      <c r="AG18" s="78"/>
      <c r="AH18" s="78">
        <f t="shared" si="13"/>
        <v>7478.238720000001</v>
      </c>
      <c r="AI18" s="78">
        <f t="shared" si="14"/>
        <v>7478.238720000001</v>
      </c>
      <c r="AJ18" s="78">
        <f t="shared" si="15"/>
        <v>3481.3917156</v>
      </c>
      <c r="AK18" s="77">
        <f t="shared" si="16"/>
        <v>208.114836</v>
      </c>
      <c r="AL18" s="79"/>
      <c r="AM18" s="78"/>
      <c r="AN18" s="78">
        <f t="shared" si="17"/>
        <v>5438.8224</v>
      </c>
      <c r="AO18" s="78">
        <f t="shared" si="18"/>
        <v>5438.8224</v>
      </c>
      <c r="AP18" s="78">
        <f t="shared" si="19"/>
        <v>2531.969352</v>
      </c>
      <c r="AQ18" s="77">
        <f t="shared" si="20"/>
        <v>151.35912</v>
      </c>
      <c r="AR18" s="79"/>
      <c r="AS18" s="78"/>
      <c r="AT18" s="78">
        <f t="shared" si="21"/>
        <v>622.99712</v>
      </c>
      <c r="AU18" s="78">
        <f t="shared" si="22"/>
        <v>622.99712</v>
      </c>
      <c r="AV18" s="78">
        <f t="shared" si="23"/>
        <v>290.02778509999996</v>
      </c>
      <c r="AW18" s="77">
        <f t="shared" si="24"/>
        <v>17.337631</v>
      </c>
      <c r="AX18" s="79"/>
      <c r="AY18" s="78"/>
      <c r="AZ18" s="78">
        <f t="shared" si="25"/>
        <v>9856.30272</v>
      </c>
      <c r="BA18" s="78">
        <f t="shared" si="26"/>
        <v>9856.30272</v>
      </c>
      <c r="BB18" s="78">
        <f t="shared" si="27"/>
        <v>4588.4668731</v>
      </c>
      <c r="BC18" s="77">
        <f t="shared" si="28"/>
        <v>274.29491099999996</v>
      </c>
      <c r="BD18" s="79"/>
      <c r="BE18" s="78"/>
      <c r="BF18" s="78">
        <f t="shared" si="29"/>
        <v>1068.4652800000001</v>
      </c>
      <c r="BG18" s="78">
        <f t="shared" si="30"/>
        <v>1068.4652800000001</v>
      </c>
      <c r="BH18" s="78">
        <f t="shared" si="31"/>
        <v>497.4093919</v>
      </c>
      <c r="BI18" s="77">
        <f t="shared" si="32"/>
        <v>29.734738999999998</v>
      </c>
      <c r="BJ18" s="79"/>
      <c r="BK18" s="78"/>
      <c r="BL18" s="78">
        <f t="shared" si="33"/>
        <v>3342.36096</v>
      </c>
      <c r="BM18" s="78">
        <f t="shared" si="34"/>
        <v>3342.36096</v>
      </c>
      <c r="BN18" s="78">
        <f t="shared" si="35"/>
        <v>1555.9904133</v>
      </c>
      <c r="BO18" s="77">
        <f t="shared" si="36"/>
        <v>93.015873</v>
      </c>
      <c r="BP18" s="79"/>
      <c r="BQ18" s="78"/>
      <c r="BR18" s="78">
        <f t="shared" si="37"/>
        <v>1694.9907200000002</v>
      </c>
      <c r="BS18" s="78">
        <f t="shared" si="38"/>
        <v>1694.9907200000002</v>
      </c>
      <c r="BT18" s="78">
        <f t="shared" si="39"/>
        <v>789.0797381</v>
      </c>
      <c r="BU18" s="77">
        <f t="shared" si="40"/>
        <v>47.170561</v>
      </c>
      <c r="BV18" s="79"/>
      <c r="BW18" s="78"/>
      <c r="BX18" s="78">
        <f t="shared" si="41"/>
        <v>329.17568</v>
      </c>
      <c r="BY18" s="78">
        <f t="shared" si="42"/>
        <v>329.17568</v>
      </c>
      <c r="BZ18" s="78">
        <f t="shared" si="43"/>
        <v>153.2432339</v>
      </c>
      <c r="CA18" s="77">
        <f t="shared" si="44"/>
        <v>9.160759</v>
      </c>
      <c r="CB18" s="79"/>
      <c r="CC18" s="78"/>
      <c r="CD18" s="78">
        <f t="shared" si="45"/>
        <v>1307.9411200000002</v>
      </c>
      <c r="CE18" s="78">
        <f t="shared" si="46"/>
        <v>1307.9411200000002</v>
      </c>
      <c r="CF18" s="78">
        <f t="shared" si="47"/>
        <v>608.8940926</v>
      </c>
      <c r="CG18" s="77">
        <f t="shared" si="48"/>
        <v>36.399206</v>
      </c>
      <c r="CH18" s="79"/>
      <c r="CI18" s="78"/>
      <c r="CJ18" s="78">
        <f t="shared" si="49"/>
        <v>3190.0038399999994</v>
      </c>
      <c r="CK18" s="78">
        <f t="shared" si="50"/>
        <v>3190.0038399999994</v>
      </c>
      <c r="CL18" s="78">
        <f t="shared" si="51"/>
        <v>1485.0626407</v>
      </c>
      <c r="CM18" s="77">
        <f t="shared" si="52"/>
        <v>88.775867</v>
      </c>
      <c r="CN18" s="79"/>
      <c r="CO18" s="78"/>
      <c r="CP18" s="78">
        <f t="shared" si="53"/>
        <v>7140.088319999999</v>
      </c>
      <c r="CQ18" s="78">
        <f t="shared" si="54"/>
        <v>7140.088319999999</v>
      </c>
      <c r="CR18" s="78">
        <f t="shared" si="55"/>
        <v>3323.9704236</v>
      </c>
      <c r="CS18" s="77">
        <f t="shared" si="56"/>
        <v>198.704316</v>
      </c>
      <c r="CT18" s="79"/>
      <c r="CU18" s="78"/>
      <c r="CV18" s="78">
        <f t="shared" si="57"/>
        <v>1080.25792</v>
      </c>
      <c r="CW18" s="78">
        <f t="shared" si="58"/>
        <v>1080.25792</v>
      </c>
      <c r="CX18" s="78">
        <f t="shared" si="59"/>
        <v>502.89929409999996</v>
      </c>
      <c r="CY18" s="77">
        <f t="shared" si="60"/>
        <v>30.062921</v>
      </c>
      <c r="CZ18" s="79"/>
      <c r="DA18" s="78"/>
      <c r="DB18" s="78">
        <f t="shared" si="61"/>
        <v>3103.95072</v>
      </c>
      <c r="DC18" s="78">
        <f t="shared" si="62"/>
        <v>3103.95072</v>
      </c>
      <c r="DD18" s="78">
        <f t="shared" si="63"/>
        <v>1445.0017881</v>
      </c>
      <c r="DE18" s="77">
        <f t="shared" si="64"/>
        <v>86.381061</v>
      </c>
      <c r="DF18" s="79"/>
      <c r="DG18" s="78"/>
      <c r="DH18" s="78">
        <f t="shared" si="65"/>
        <v>119.60768</v>
      </c>
      <c r="DI18" s="78">
        <f t="shared" si="66"/>
        <v>119.60768</v>
      </c>
      <c r="DJ18" s="78">
        <f t="shared" si="67"/>
        <v>55.6817189</v>
      </c>
      <c r="DK18" s="77">
        <f t="shared" si="68"/>
        <v>3.3286089999999997</v>
      </c>
      <c r="DL18" s="79"/>
      <c r="DM18" s="90"/>
      <c r="DN18" s="90">
        <f t="shared" si="69"/>
        <v>6547.946239999999</v>
      </c>
      <c r="DO18" s="90">
        <f t="shared" si="70"/>
        <v>6547.946239999999</v>
      </c>
      <c r="DP18" s="90">
        <f t="shared" si="71"/>
        <v>3048.3067802</v>
      </c>
      <c r="DQ18" s="94">
        <f t="shared" si="72"/>
        <v>182.22536200000002</v>
      </c>
      <c r="DR18" s="79"/>
      <c r="DS18" s="78"/>
      <c r="DT18" s="78">
        <f t="shared" si="73"/>
        <v>1030.88512</v>
      </c>
      <c r="DU18" s="78">
        <f t="shared" si="74"/>
        <v>1030.88512</v>
      </c>
      <c r="DV18" s="78">
        <f t="shared" si="75"/>
        <v>479.91446260000004</v>
      </c>
      <c r="DW18" s="77">
        <f t="shared" si="76"/>
        <v>28.688906000000003</v>
      </c>
      <c r="DX18" s="79"/>
      <c r="DY18" s="78"/>
      <c r="DZ18" s="78">
        <f t="shared" si="77"/>
        <v>5305.00672</v>
      </c>
      <c r="EA18" s="78">
        <f t="shared" si="78"/>
        <v>5305.00672</v>
      </c>
      <c r="EB18" s="78">
        <f t="shared" si="79"/>
        <v>2469.6732931</v>
      </c>
      <c r="EC18" s="77">
        <f t="shared" si="80"/>
        <v>147.635111</v>
      </c>
      <c r="ED18" s="79"/>
      <c r="EE18" s="78"/>
      <c r="EF18" s="78">
        <f t="shared" si="81"/>
        <v>1514.52544</v>
      </c>
      <c r="EG18" s="78">
        <f t="shared" si="82"/>
        <v>1514.52544</v>
      </c>
      <c r="EH18" s="78">
        <f t="shared" si="83"/>
        <v>705.0665962</v>
      </c>
      <c r="EI18" s="77">
        <f t="shared" si="84"/>
        <v>42.148322</v>
      </c>
      <c r="EJ18" s="79"/>
      <c r="EK18" s="78"/>
      <c r="EL18" s="78">
        <f t="shared" si="85"/>
        <v>15.20256</v>
      </c>
      <c r="EM18" s="78">
        <f t="shared" si="86"/>
        <v>15.20256</v>
      </c>
      <c r="EN18" s="78">
        <f t="shared" si="87"/>
        <v>7.0773438</v>
      </c>
      <c r="EO18" s="77">
        <f t="shared" si="88"/>
        <v>0.423078</v>
      </c>
      <c r="EP18" s="79"/>
      <c r="EQ18" s="78"/>
      <c r="ER18" s="78">
        <f t="shared" si="89"/>
        <v>28.22656</v>
      </c>
      <c r="ES18" s="78">
        <f t="shared" si="90"/>
        <v>28.22656</v>
      </c>
      <c r="ET18" s="78">
        <f t="shared" si="91"/>
        <v>13.1404888</v>
      </c>
      <c r="EU18" s="77">
        <f t="shared" si="92"/>
        <v>0.785528</v>
      </c>
      <c r="EV18" s="79"/>
      <c r="EW18" s="78"/>
      <c r="EX18" s="78">
        <f t="shared" si="93"/>
        <v>5102.47168</v>
      </c>
      <c r="EY18" s="78">
        <f t="shared" si="94"/>
        <v>5102.47168</v>
      </c>
      <c r="EZ18" s="78">
        <f t="shared" si="95"/>
        <v>2375.3858764</v>
      </c>
      <c r="FA18" s="77">
        <f t="shared" si="96"/>
        <v>141.998684</v>
      </c>
      <c r="FB18" s="79"/>
      <c r="FC18" s="78"/>
      <c r="FD18" s="78">
        <f t="shared" si="97"/>
        <v>9484.21888</v>
      </c>
      <c r="FE18" s="78">
        <f t="shared" si="98"/>
        <v>9484.21888</v>
      </c>
      <c r="FF18" s="78">
        <f t="shared" si="99"/>
        <v>4415.2483323999995</v>
      </c>
      <c r="FG18" s="77">
        <f t="shared" si="100"/>
        <v>263.940044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">
      <c r="A19" s="51">
        <v>43922</v>
      </c>
      <c r="C19" s="42">
        <v>5805000</v>
      </c>
      <c r="D19" s="42">
        <v>236800</v>
      </c>
      <c r="E19" s="77">
        <f t="shared" si="0"/>
        <v>6041800</v>
      </c>
      <c r="F19" s="77">
        <v>110239</v>
      </c>
      <c r="G19" s="77">
        <v>6590</v>
      </c>
      <c r="H19" s="79"/>
      <c r="I19" s="79">
        <f>'2010C Academic'!I19</f>
        <v>3151104.3494999995</v>
      </c>
      <c r="J19" s="79">
        <f>'2010C Academic'!J19</f>
        <v>128541.17312</v>
      </c>
      <c r="K19" s="79">
        <f t="shared" si="1"/>
        <v>3279645.5226199995</v>
      </c>
      <c r="L19" s="79">
        <f>'2010C Academic'!L19</f>
        <v>59840.5843901</v>
      </c>
      <c r="M19" s="79">
        <f>'2010C Academic'!M19</f>
        <v>3577.2226809999993</v>
      </c>
      <c r="N19" s="79"/>
      <c r="O19" s="78">
        <f t="shared" si="2"/>
        <v>2653895.6505</v>
      </c>
      <c r="P19" s="80">
        <f t="shared" si="2"/>
        <v>108258.82688000001</v>
      </c>
      <c r="Q19" s="78">
        <f t="shared" si="3"/>
        <v>2762154.47738</v>
      </c>
      <c r="R19" s="78">
        <f t="shared" si="4"/>
        <v>50398.41560990002</v>
      </c>
      <c r="S19" s="78">
        <f t="shared" si="4"/>
        <v>3012.7773190000007</v>
      </c>
      <c r="T19" s="79"/>
      <c r="U19" s="78">
        <f t="shared" si="102"/>
        <v>474407.82</v>
      </c>
      <c r="V19" s="77">
        <f t="shared" si="5"/>
        <v>19352.243199999997</v>
      </c>
      <c r="W19" s="78">
        <f t="shared" si="6"/>
        <v>493760.0632</v>
      </c>
      <c r="X19" s="78">
        <f t="shared" si="7"/>
        <v>9009.172036</v>
      </c>
      <c r="Y19" s="77">
        <f t="shared" si="8"/>
        <v>538.5611600000001</v>
      </c>
      <c r="Z19" s="79"/>
      <c r="AA19" s="78">
        <f t="shared" si="103"/>
        <v>345772.50299999997</v>
      </c>
      <c r="AB19" s="78">
        <f t="shared" si="9"/>
        <v>14104.89728</v>
      </c>
      <c r="AC19" s="78">
        <f t="shared" si="10"/>
        <v>359877.40027999994</v>
      </c>
      <c r="AD19" s="78">
        <f t="shared" si="11"/>
        <v>6566.3419394</v>
      </c>
      <c r="AE19" s="77">
        <f t="shared" si="12"/>
        <v>392.530714</v>
      </c>
      <c r="AF19" s="79"/>
      <c r="AG19" s="78">
        <f t="shared" si="104"/>
        <v>183324.22199999998</v>
      </c>
      <c r="AH19" s="78">
        <f t="shared" si="13"/>
        <v>7478.238720000001</v>
      </c>
      <c r="AI19" s="78">
        <f t="shared" si="14"/>
        <v>190802.46071999997</v>
      </c>
      <c r="AJ19" s="78">
        <f t="shared" si="15"/>
        <v>3481.3917156</v>
      </c>
      <c r="AK19" s="77">
        <f t="shared" si="16"/>
        <v>208.114836</v>
      </c>
      <c r="AL19" s="79"/>
      <c r="AM19" s="78">
        <f t="shared" si="105"/>
        <v>133329.24000000002</v>
      </c>
      <c r="AN19" s="78">
        <f t="shared" si="17"/>
        <v>5438.8224</v>
      </c>
      <c r="AO19" s="78">
        <f t="shared" si="18"/>
        <v>138768.06240000002</v>
      </c>
      <c r="AP19" s="78">
        <f t="shared" si="19"/>
        <v>2531.969352</v>
      </c>
      <c r="AQ19" s="77">
        <f t="shared" si="20"/>
        <v>151.35912</v>
      </c>
      <c r="AR19" s="79"/>
      <c r="AS19" s="78">
        <f t="shared" si="106"/>
        <v>15272.3745</v>
      </c>
      <c r="AT19" s="78">
        <f t="shared" si="21"/>
        <v>622.99712</v>
      </c>
      <c r="AU19" s="78">
        <f t="shared" si="22"/>
        <v>15895.37162</v>
      </c>
      <c r="AV19" s="78">
        <f t="shared" si="23"/>
        <v>290.02778509999996</v>
      </c>
      <c r="AW19" s="77">
        <f t="shared" si="24"/>
        <v>17.337631</v>
      </c>
      <c r="AX19" s="79"/>
      <c r="AY19" s="78">
        <f t="shared" si="107"/>
        <v>241620.9345</v>
      </c>
      <c r="AZ19" s="78">
        <f t="shared" si="25"/>
        <v>9856.30272</v>
      </c>
      <c r="BA19" s="78">
        <f t="shared" si="26"/>
        <v>251477.23722</v>
      </c>
      <c r="BB19" s="78">
        <f t="shared" si="27"/>
        <v>4588.4668731</v>
      </c>
      <c r="BC19" s="77">
        <f t="shared" si="28"/>
        <v>274.29491099999996</v>
      </c>
      <c r="BD19" s="79"/>
      <c r="BE19" s="78">
        <f t="shared" si="108"/>
        <v>26192.7405</v>
      </c>
      <c r="BF19" s="78">
        <f t="shared" si="29"/>
        <v>1068.4652800000001</v>
      </c>
      <c r="BG19" s="78">
        <f t="shared" si="30"/>
        <v>27261.20578</v>
      </c>
      <c r="BH19" s="78">
        <f t="shared" si="31"/>
        <v>497.4093919</v>
      </c>
      <c r="BI19" s="77">
        <f t="shared" si="32"/>
        <v>29.734738999999998</v>
      </c>
      <c r="BJ19" s="79"/>
      <c r="BK19" s="78">
        <f t="shared" si="109"/>
        <v>81935.8335</v>
      </c>
      <c r="BL19" s="78">
        <f t="shared" si="33"/>
        <v>3342.36096</v>
      </c>
      <c r="BM19" s="78">
        <f t="shared" si="34"/>
        <v>85278.19446</v>
      </c>
      <c r="BN19" s="78">
        <f t="shared" si="35"/>
        <v>1555.9904133</v>
      </c>
      <c r="BO19" s="77">
        <f t="shared" si="36"/>
        <v>93.015873</v>
      </c>
      <c r="BP19" s="79"/>
      <c r="BQ19" s="78">
        <f t="shared" si="110"/>
        <v>41551.6095</v>
      </c>
      <c r="BR19" s="78">
        <f t="shared" si="37"/>
        <v>1694.9907200000002</v>
      </c>
      <c r="BS19" s="78">
        <f t="shared" si="38"/>
        <v>43246.60022</v>
      </c>
      <c r="BT19" s="78">
        <f t="shared" si="39"/>
        <v>789.0797381</v>
      </c>
      <c r="BU19" s="77">
        <f t="shared" si="40"/>
        <v>47.170561</v>
      </c>
      <c r="BV19" s="79"/>
      <c r="BW19" s="78">
        <f t="shared" si="111"/>
        <v>8069.530499999999</v>
      </c>
      <c r="BX19" s="78">
        <f t="shared" si="41"/>
        <v>329.17568</v>
      </c>
      <c r="BY19" s="78">
        <f t="shared" si="42"/>
        <v>8398.70618</v>
      </c>
      <c r="BZ19" s="78">
        <f t="shared" si="43"/>
        <v>153.2432339</v>
      </c>
      <c r="CA19" s="77">
        <f t="shared" si="44"/>
        <v>9.160759</v>
      </c>
      <c r="CB19" s="79"/>
      <c r="CC19" s="78">
        <f t="shared" si="112"/>
        <v>32063.337000000003</v>
      </c>
      <c r="CD19" s="78">
        <f t="shared" si="45"/>
        <v>1307.9411200000002</v>
      </c>
      <c r="CE19" s="78">
        <f t="shared" si="46"/>
        <v>33371.27812</v>
      </c>
      <c r="CF19" s="78">
        <f t="shared" si="47"/>
        <v>608.8940926</v>
      </c>
      <c r="CG19" s="77">
        <f t="shared" si="48"/>
        <v>36.399206</v>
      </c>
      <c r="CH19" s="79"/>
      <c r="CI19" s="78">
        <f t="shared" si="113"/>
        <v>78200.89649999999</v>
      </c>
      <c r="CJ19" s="78">
        <f t="shared" si="49"/>
        <v>3190.0038399999994</v>
      </c>
      <c r="CK19" s="78">
        <f t="shared" si="50"/>
        <v>81390.90034</v>
      </c>
      <c r="CL19" s="78">
        <f t="shared" si="51"/>
        <v>1485.0626407</v>
      </c>
      <c r="CM19" s="77">
        <f t="shared" si="52"/>
        <v>88.775867</v>
      </c>
      <c r="CN19" s="79"/>
      <c r="CO19" s="78">
        <f t="shared" si="114"/>
        <v>175034.682</v>
      </c>
      <c r="CP19" s="78">
        <f t="shared" si="53"/>
        <v>7140.088319999999</v>
      </c>
      <c r="CQ19" s="78">
        <f t="shared" si="54"/>
        <v>182174.77032</v>
      </c>
      <c r="CR19" s="78">
        <f t="shared" si="55"/>
        <v>3323.9704236</v>
      </c>
      <c r="CS19" s="77">
        <f t="shared" si="56"/>
        <v>198.704316</v>
      </c>
      <c r="CT19" s="79"/>
      <c r="CU19" s="78">
        <f t="shared" si="115"/>
        <v>26481.829499999996</v>
      </c>
      <c r="CV19" s="78">
        <f t="shared" si="57"/>
        <v>1080.25792</v>
      </c>
      <c r="CW19" s="78">
        <f t="shared" si="58"/>
        <v>27562.087419999996</v>
      </c>
      <c r="CX19" s="78">
        <f t="shared" si="59"/>
        <v>502.89929409999996</v>
      </c>
      <c r="CY19" s="77">
        <f t="shared" si="60"/>
        <v>30.062921</v>
      </c>
      <c r="CZ19" s="79"/>
      <c r="DA19" s="78">
        <f t="shared" si="116"/>
        <v>76091.35949999999</v>
      </c>
      <c r="DB19" s="78">
        <f t="shared" si="61"/>
        <v>3103.95072</v>
      </c>
      <c r="DC19" s="78">
        <f t="shared" si="62"/>
        <v>79195.31021999998</v>
      </c>
      <c r="DD19" s="78">
        <f t="shared" si="63"/>
        <v>1445.0017881</v>
      </c>
      <c r="DE19" s="77">
        <f t="shared" si="64"/>
        <v>86.381061</v>
      </c>
      <c r="DF19" s="79"/>
      <c r="DG19" s="78">
        <f t="shared" si="117"/>
        <v>2932.1054999999997</v>
      </c>
      <c r="DH19" s="78">
        <f t="shared" si="65"/>
        <v>119.60768</v>
      </c>
      <c r="DI19" s="78">
        <f t="shared" si="66"/>
        <v>3051.7131799999997</v>
      </c>
      <c r="DJ19" s="78">
        <f t="shared" si="67"/>
        <v>55.6817189</v>
      </c>
      <c r="DK19" s="77">
        <f t="shared" si="68"/>
        <v>3.3286089999999997</v>
      </c>
      <c r="DL19" s="79"/>
      <c r="DM19" s="90">
        <f t="shared" si="118"/>
        <v>160518.699</v>
      </c>
      <c r="DN19" s="90">
        <f t="shared" si="69"/>
        <v>6547.946239999999</v>
      </c>
      <c r="DO19" s="90">
        <f t="shared" si="70"/>
        <v>167066.64523999998</v>
      </c>
      <c r="DP19" s="90">
        <f t="shared" si="71"/>
        <v>3048.3067802</v>
      </c>
      <c r="DQ19" s="94">
        <f t="shared" si="72"/>
        <v>182.22536200000002</v>
      </c>
      <c r="DR19" s="79"/>
      <c r="DS19" s="78">
        <f t="shared" si="119"/>
        <v>25271.487</v>
      </c>
      <c r="DT19" s="78">
        <f t="shared" si="73"/>
        <v>1030.88512</v>
      </c>
      <c r="DU19" s="78">
        <f t="shared" si="74"/>
        <v>26302.37212</v>
      </c>
      <c r="DV19" s="78">
        <f t="shared" si="75"/>
        <v>479.91446260000004</v>
      </c>
      <c r="DW19" s="77">
        <f t="shared" si="76"/>
        <v>28.688906000000003</v>
      </c>
      <c r="DX19" s="79"/>
      <c r="DY19" s="78">
        <f t="shared" si="120"/>
        <v>130048.8345</v>
      </c>
      <c r="DZ19" s="78">
        <f t="shared" si="77"/>
        <v>5305.00672</v>
      </c>
      <c r="EA19" s="78">
        <f t="shared" si="78"/>
        <v>135353.84122</v>
      </c>
      <c r="EB19" s="78">
        <f t="shared" si="79"/>
        <v>2469.6732931</v>
      </c>
      <c r="EC19" s="77">
        <f t="shared" si="80"/>
        <v>147.635111</v>
      </c>
      <c r="ED19" s="79"/>
      <c r="EE19" s="78">
        <f t="shared" si="121"/>
        <v>37127.619000000006</v>
      </c>
      <c r="EF19" s="78">
        <f t="shared" si="81"/>
        <v>1514.52544</v>
      </c>
      <c r="EG19" s="78">
        <f t="shared" si="82"/>
        <v>38642.144440000004</v>
      </c>
      <c r="EH19" s="78">
        <f t="shared" si="83"/>
        <v>705.0665962</v>
      </c>
      <c r="EI19" s="77">
        <f t="shared" si="84"/>
        <v>42.148322</v>
      </c>
      <c r="EJ19" s="79"/>
      <c r="EK19" s="78">
        <f t="shared" si="122"/>
        <v>372.681</v>
      </c>
      <c r="EL19" s="78">
        <f t="shared" si="85"/>
        <v>15.20256</v>
      </c>
      <c r="EM19" s="78">
        <f t="shared" si="86"/>
        <v>387.88356</v>
      </c>
      <c r="EN19" s="78">
        <f t="shared" si="87"/>
        <v>7.0773438</v>
      </c>
      <c r="EO19" s="77">
        <f t="shared" si="88"/>
        <v>0.423078</v>
      </c>
      <c r="EP19" s="79"/>
      <c r="EQ19" s="78">
        <f t="shared" si="123"/>
        <v>691.956</v>
      </c>
      <c r="ER19" s="78">
        <f t="shared" si="89"/>
        <v>28.22656</v>
      </c>
      <c r="ES19" s="78">
        <f t="shared" si="90"/>
        <v>720.18256</v>
      </c>
      <c r="ET19" s="78">
        <f t="shared" si="91"/>
        <v>13.1404888</v>
      </c>
      <c r="EU19" s="77">
        <f t="shared" si="92"/>
        <v>0.785528</v>
      </c>
      <c r="EV19" s="79"/>
      <c r="EW19" s="78">
        <f t="shared" si="124"/>
        <v>125083.81800000001</v>
      </c>
      <c r="EX19" s="78">
        <f t="shared" si="93"/>
        <v>5102.47168</v>
      </c>
      <c r="EY19" s="78">
        <f t="shared" si="94"/>
        <v>130186.28968000002</v>
      </c>
      <c r="EZ19" s="78">
        <f t="shared" si="95"/>
        <v>2375.3858764</v>
      </c>
      <c r="FA19" s="77">
        <f t="shared" si="96"/>
        <v>141.998684</v>
      </c>
      <c r="FB19" s="79"/>
      <c r="FC19" s="78">
        <f t="shared" si="125"/>
        <v>232499.538</v>
      </c>
      <c r="FD19" s="78">
        <f t="shared" si="97"/>
        <v>9484.21888</v>
      </c>
      <c r="FE19" s="78">
        <f t="shared" si="98"/>
        <v>241983.75688</v>
      </c>
      <c r="FF19" s="78">
        <f t="shared" si="99"/>
        <v>4415.2483323999995</v>
      </c>
      <c r="FG19" s="77">
        <f t="shared" si="100"/>
        <v>263.940044</v>
      </c>
      <c r="FH19" s="79"/>
      <c r="FI19" s="80"/>
      <c r="FJ19" s="78"/>
      <c r="FK19" s="78"/>
      <c r="FL19" s="78"/>
      <c r="FM19" s="77">
        <f t="shared" si="101"/>
        <v>0</v>
      </c>
    </row>
    <row r="20" spans="1:169" s="52" customFormat="1" ht="12">
      <c r="A20" s="51">
        <v>44105</v>
      </c>
      <c r="C20" s="42"/>
      <c r="D20" s="42">
        <v>120700</v>
      </c>
      <c r="E20" s="77">
        <f t="shared" si="0"/>
        <v>120700</v>
      </c>
      <c r="F20" s="77">
        <v>110239</v>
      </c>
      <c r="G20" s="77">
        <v>6590</v>
      </c>
      <c r="H20" s="79"/>
      <c r="I20" s="79">
        <f>'2010C Academic'!I20</f>
        <v>0</v>
      </c>
      <c r="J20" s="79">
        <f>'2010C Academic'!J20</f>
        <v>65519.086129999996</v>
      </c>
      <c r="K20" s="79">
        <f t="shared" si="1"/>
        <v>65519.086129999996</v>
      </c>
      <c r="L20" s="79">
        <f>'2010C Academic'!L20</f>
        <v>59840.5843901</v>
      </c>
      <c r="M20" s="79">
        <f>'2010C Academic'!M20</f>
        <v>3577.2226809999993</v>
      </c>
      <c r="N20" s="79"/>
      <c r="O20" s="78">
        <f t="shared" si="2"/>
        <v>0</v>
      </c>
      <c r="P20" s="80">
        <f t="shared" si="2"/>
        <v>55180.91387</v>
      </c>
      <c r="Q20" s="78">
        <f t="shared" si="3"/>
        <v>55180.91387</v>
      </c>
      <c r="R20" s="78">
        <f t="shared" si="4"/>
        <v>50398.41560990002</v>
      </c>
      <c r="S20" s="78">
        <f t="shared" si="4"/>
        <v>3012.7773190000007</v>
      </c>
      <c r="T20" s="79"/>
      <c r="U20" s="78"/>
      <c r="V20" s="77">
        <f t="shared" si="5"/>
        <v>9864.0868</v>
      </c>
      <c r="W20" s="78">
        <f t="shared" si="6"/>
        <v>9864.0868</v>
      </c>
      <c r="X20" s="78">
        <f t="shared" si="7"/>
        <v>9009.172036</v>
      </c>
      <c r="Y20" s="77">
        <f t="shared" si="8"/>
        <v>538.5611600000001</v>
      </c>
      <c r="Z20" s="79"/>
      <c r="AA20" s="78"/>
      <c r="AB20" s="78">
        <f t="shared" si="9"/>
        <v>7189.447219999999</v>
      </c>
      <c r="AC20" s="78">
        <f t="shared" si="10"/>
        <v>7189.447219999999</v>
      </c>
      <c r="AD20" s="78">
        <f t="shared" si="11"/>
        <v>6566.3419394</v>
      </c>
      <c r="AE20" s="77">
        <f t="shared" si="12"/>
        <v>392.530714</v>
      </c>
      <c r="AF20" s="79"/>
      <c r="AG20" s="78"/>
      <c r="AH20" s="78">
        <f t="shared" si="13"/>
        <v>3811.75428</v>
      </c>
      <c r="AI20" s="78">
        <f t="shared" si="14"/>
        <v>3811.75428</v>
      </c>
      <c r="AJ20" s="78">
        <f t="shared" si="15"/>
        <v>3481.3917156</v>
      </c>
      <c r="AK20" s="77">
        <f t="shared" si="16"/>
        <v>208.114836</v>
      </c>
      <c r="AL20" s="79"/>
      <c r="AM20" s="78"/>
      <c r="AN20" s="78">
        <f t="shared" si="17"/>
        <v>2772.2376</v>
      </c>
      <c r="AO20" s="78">
        <f t="shared" si="18"/>
        <v>2772.2376</v>
      </c>
      <c r="AP20" s="78">
        <f t="shared" si="19"/>
        <v>2531.969352</v>
      </c>
      <c r="AQ20" s="77">
        <f t="shared" si="20"/>
        <v>151.35912</v>
      </c>
      <c r="AR20" s="79"/>
      <c r="AS20" s="78"/>
      <c r="AT20" s="78">
        <f t="shared" si="21"/>
        <v>317.54963</v>
      </c>
      <c r="AU20" s="78">
        <f t="shared" si="22"/>
        <v>317.54963</v>
      </c>
      <c r="AV20" s="78">
        <f t="shared" si="23"/>
        <v>290.02778509999996</v>
      </c>
      <c r="AW20" s="77">
        <f t="shared" si="24"/>
        <v>17.337631</v>
      </c>
      <c r="AX20" s="79"/>
      <c r="AY20" s="78"/>
      <c r="AZ20" s="78">
        <f t="shared" si="25"/>
        <v>5023.884029999999</v>
      </c>
      <c r="BA20" s="78">
        <f t="shared" si="26"/>
        <v>5023.884029999999</v>
      </c>
      <c r="BB20" s="78">
        <f t="shared" si="27"/>
        <v>4588.4668731</v>
      </c>
      <c r="BC20" s="77">
        <f t="shared" si="28"/>
        <v>274.29491099999996</v>
      </c>
      <c r="BD20" s="79"/>
      <c r="BE20" s="78"/>
      <c r="BF20" s="78">
        <f t="shared" si="29"/>
        <v>544.61047</v>
      </c>
      <c r="BG20" s="78">
        <f t="shared" si="30"/>
        <v>544.61047</v>
      </c>
      <c r="BH20" s="78">
        <f t="shared" si="31"/>
        <v>497.4093919</v>
      </c>
      <c r="BI20" s="77">
        <f t="shared" si="32"/>
        <v>29.734738999999998</v>
      </c>
      <c r="BJ20" s="79"/>
      <c r="BK20" s="78"/>
      <c r="BL20" s="78">
        <f t="shared" si="33"/>
        <v>1703.64429</v>
      </c>
      <c r="BM20" s="78">
        <f t="shared" si="34"/>
        <v>1703.64429</v>
      </c>
      <c r="BN20" s="78">
        <f t="shared" si="35"/>
        <v>1555.9904133</v>
      </c>
      <c r="BO20" s="77">
        <f t="shared" si="36"/>
        <v>93.015873</v>
      </c>
      <c r="BP20" s="79"/>
      <c r="BQ20" s="78"/>
      <c r="BR20" s="78">
        <f t="shared" si="37"/>
        <v>863.95853</v>
      </c>
      <c r="BS20" s="78">
        <f t="shared" si="38"/>
        <v>863.95853</v>
      </c>
      <c r="BT20" s="78">
        <f t="shared" si="39"/>
        <v>789.0797381</v>
      </c>
      <c r="BU20" s="77">
        <f t="shared" si="40"/>
        <v>47.170561</v>
      </c>
      <c r="BV20" s="79"/>
      <c r="BW20" s="78"/>
      <c r="BX20" s="78">
        <f t="shared" si="41"/>
        <v>167.78507</v>
      </c>
      <c r="BY20" s="78">
        <f t="shared" si="42"/>
        <v>167.78507</v>
      </c>
      <c r="BZ20" s="78">
        <f t="shared" si="43"/>
        <v>153.2432339</v>
      </c>
      <c r="CA20" s="77">
        <f t="shared" si="44"/>
        <v>9.160759</v>
      </c>
      <c r="CB20" s="79"/>
      <c r="CC20" s="78"/>
      <c r="CD20" s="78">
        <f t="shared" si="45"/>
        <v>666.67438</v>
      </c>
      <c r="CE20" s="78">
        <f t="shared" si="46"/>
        <v>666.67438</v>
      </c>
      <c r="CF20" s="78">
        <f t="shared" si="47"/>
        <v>608.8940926</v>
      </c>
      <c r="CG20" s="77">
        <f t="shared" si="48"/>
        <v>36.399206</v>
      </c>
      <c r="CH20" s="79"/>
      <c r="CI20" s="78"/>
      <c r="CJ20" s="78">
        <f t="shared" si="49"/>
        <v>1625.9859099999999</v>
      </c>
      <c r="CK20" s="78">
        <f t="shared" si="50"/>
        <v>1625.9859099999999</v>
      </c>
      <c r="CL20" s="78">
        <f t="shared" si="51"/>
        <v>1485.0626407</v>
      </c>
      <c r="CM20" s="77">
        <f t="shared" si="52"/>
        <v>88.775867</v>
      </c>
      <c r="CN20" s="79"/>
      <c r="CO20" s="78"/>
      <c r="CP20" s="78">
        <f t="shared" si="53"/>
        <v>3639.39468</v>
      </c>
      <c r="CQ20" s="78">
        <f t="shared" si="54"/>
        <v>3639.39468</v>
      </c>
      <c r="CR20" s="78">
        <f t="shared" si="55"/>
        <v>3323.9704236</v>
      </c>
      <c r="CS20" s="77">
        <f t="shared" si="56"/>
        <v>198.704316</v>
      </c>
      <c r="CT20" s="79"/>
      <c r="CU20" s="78"/>
      <c r="CV20" s="78">
        <f t="shared" si="57"/>
        <v>550.6213300000001</v>
      </c>
      <c r="CW20" s="78">
        <f t="shared" si="58"/>
        <v>550.6213300000001</v>
      </c>
      <c r="CX20" s="78">
        <f t="shared" si="59"/>
        <v>502.89929409999996</v>
      </c>
      <c r="CY20" s="77">
        <f t="shared" si="60"/>
        <v>30.062921</v>
      </c>
      <c r="CZ20" s="79"/>
      <c r="DA20" s="78"/>
      <c r="DB20" s="78">
        <f t="shared" si="61"/>
        <v>1582.1235299999998</v>
      </c>
      <c r="DC20" s="78">
        <f t="shared" si="62"/>
        <v>1582.1235299999998</v>
      </c>
      <c r="DD20" s="78">
        <f t="shared" si="63"/>
        <v>1445.0017881</v>
      </c>
      <c r="DE20" s="77">
        <f t="shared" si="64"/>
        <v>86.381061</v>
      </c>
      <c r="DF20" s="79"/>
      <c r="DG20" s="78"/>
      <c r="DH20" s="78">
        <f t="shared" si="65"/>
        <v>60.96557</v>
      </c>
      <c r="DI20" s="78">
        <f t="shared" si="66"/>
        <v>60.96557</v>
      </c>
      <c r="DJ20" s="78">
        <f t="shared" si="67"/>
        <v>55.6817189</v>
      </c>
      <c r="DK20" s="77">
        <f t="shared" si="68"/>
        <v>3.3286089999999997</v>
      </c>
      <c r="DL20" s="79"/>
      <c r="DM20" s="90"/>
      <c r="DN20" s="90">
        <f t="shared" si="69"/>
        <v>3337.5722600000004</v>
      </c>
      <c r="DO20" s="90">
        <f t="shared" si="70"/>
        <v>3337.5722600000004</v>
      </c>
      <c r="DP20" s="90">
        <f t="shared" si="71"/>
        <v>3048.3067802</v>
      </c>
      <c r="DQ20" s="94">
        <f t="shared" si="72"/>
        <v>182.22536200000002</v>
      </c>
      <c r="DR20" s="79"/>
      <c r="DS20" s="78"/>
      <c r="DT20" s="78">
        <f t="shared" si="73"/>
        <v>525.45538</v>
      </c>
      <c r="DU20" s="78">
        <f t="shared" si="74"/>
        <v>525.45538</v>
      </c>
      <c r="DV20" s="78">
        <f t="shared" si="75"/>
        <v>479.91446260000004</v>
      </c>
      <c r="DW20" s="77">
        <f t="shared" si="76"/>
        <v>28.688906000000003</v>
      </c>
      <c r="DX20" s="79"/>
      <c r="DY20" s="78"/>
      <c r="DZ20" s="78">
        <f t="shared" si="77"/>
        <v>2704.03003</v>
      </c>
      <c r="EA20" s="78">
        <f t="shared" si="78"/>
        <v>2704.03003</v>
      </c>
      <c r="EB20" s="78">
        <f t="shared" si="79"/>
        <v>2469.6732931</v>
      </c>
      <c r="EC20" s="77">
        <f t="shared" si="80"/>
        <v>147.635111</v>
      </c>
      <c r="ED20" s="79"/>
      <c r="EE20" s="78"/>
      <c r="EF20" s="78">
        <f t="shared" si="81"/>
        <v>771.9730600000001</v>
      </c>
      <c r="EG20" s="78">
        <f t="shared" si="82"/>
        <v>771.9730600000001</v>
      </c>
      <c r="EH20" s="78">
        <f t="shared" si="83"/>
        <v>705.0665962</v>
      </c>
      <c r="EI20" s="77">
        <f t="shared" si="84"/>
        <v>42.148322</v>
      </c>
      <c r="EJ20" s="79"/>
      <c r="EK20" s="78"/>
      <c r="EL20" s="78">
        <f t="shared" si="85"/>
        <v>7.74894</v>
      </c>
      <c r="EM20" s="78">
        <f t="shared" si="86"/>
        <v>7.74894</v>
      </c>
      <c r="EN20" s="78">
        <f t="shared" si="87"/>
        <v>7.0773438</v>
      </c>
      <c r="EO20" s="77">
        <f t="shared" si="88"/>
        <v>0.423078</v>
      </c>
      <c r="EP20" s="79"/>
      <c r="EQ20" s="78"/>
      <c r="ER20" s="78">
        <f t="shared" si="89"/>
        <v>14.38744</v>
      </c>
      <c r="ES20" s="78">
        <f t="shared" si="90"/>
        <v>14.38744</v>
      </c>
      <c r="ET20" s="78">
        <f t="shared" si="91"/>
        <v>13.1404888</v>
      </c>
      <c r="EU20" s="77">
        <f t="shared" si="92"/>
        <v>0.785528</v>
      </c>
      <c r="EV20" s="79"/>
      <c r="EW20" s="78"/>
      <c r="EX20" s="78">
        <f t="shared" si="93"/>
        <v>2600.79532</v>
      </c>
      <c r="EY20" s="78">
        <f t="shared" si="94"/>
        <v>2600.79532</v>
      </c>
      <c r="EZ20" s="78">
        <f t="shared" si="95"/>
        <v>2375.3858764</v>
      </c>
      <c r="FA20" s="77">
        <f t="shared" si="96"/>
        <v>141.998684</v>
      </c>
      <c r="FB20" s="79"/>
      <c r="FC20" s="78"/>
      <c r="FD20" s="78">
        <f t="shared" si="97"/>
        <v>4834.228120000001</v>
      </c>
      <c r="FE20" s="78">
        <f t="shared" si="98"/>
        <v>4834.228120000001</v>
      </c>
      <c r="FF20" s="78">
        <f t="shared" si="99"/>
        <v>4415.2483323999995</v>
      </c>
      <c r="FG20" s="77">
        <f t="shared" si="100"/>
        <v>263.940044</v>
      </c>
      <c r="FH20" s="79"/>
      <c r="FI20" s="80"/>
      <c r="FJ20" s="78"/>
      <c r="FK20" s="78"/>
      <c r="FL20" s="78"/>
      <c r="FM20" s="77">
        <f t="shared" si="101"/>
        <v>0</v>
      </c>
    </row>
    <row r="21" spans="1:169" s="52" customFormat="1" ht="12">
      <c r="A21" s="51">
        <v>44287</v>
      </c>
      <c r="C21" s="42">
        <v>6035000</v>
      </c>
      <c r="D21" s="42">
        <v>120700</v>
      </c>
      <c r="E21" s="77">
        <f t="shared" si="0"/>
        <v>6155700</v>
      </c>
      <c r="F21" s="77">
        <v>110238</v>
      </c>
      <c r="G21" s="77">
        <v>6587</v>
      </c>
      <c r="H21" s="79"/>
      <c r="I21" s="79">
        <f>'2010C Academic'!I21</f>
        <v>3275954.3065000004</v>
      </c>
      <c r="J21" s="79">
        <f>'2010C Academic'!J21</f>
        <v>65519.086129999996</v>
      </c>
      <c r="K21" s="79">
        <f t="shared" si="1"/>
        <v>3341473.3926300006</v>
      </c>
      <c r="L21" s="79">
        <f>'2010C Academic'!L21</f>
        <v>59840.04156420001</v>
      </c>
      <c r="M21" s="79">
        <f>'2010C Academic'!M21</f>
        <v>3575.5942032999997</v>
      </c>
      <c r="N21" s="79"/>
      <c r="O21" s="78">
        <f t="shared" si="2"/>
        <v>2759045.6934999996</v>
      </c>
      <c r="P21" s="80">
        <f t="shared" si="2"/>
        <v>55180.91387</v>
      </c>
      <c r="Q21" s="78">
        <f t="shared" si="3"/>
        <v>2814226.6073699994</v>
      </c>
      <c r="R21" s="78">
        <f t="shared" si="4"/>
        <v>50397.9584358</v>
      </c>
      <c r="S21" s="78">
        <f t="shared" si="4"/>
        <v>3011.4057966999994</v>
      </c>
      <c r="T21" s="79"/>
      <c r="U21" s="78">
        <f t="shared" si="102"/>
        <v>493204.34</v>
      </c>
      <c r="V21" s="77">
        <f t="shared" si="5"/>
        <v>9864.0868</v>
      </c>
      <c r="W21" s="78">
        <f t="shared" si="6"/>
        <v>503068.4268</v>
      </c>
      <c r="X21" s="78">
        <f t="shared" si="7"/>
        <v>9009.090312</v>
      </c>
      <c r="Y21" s="77">
        <f t="shared" si="8"/>
        <v>538.3159880000001</v>
      </c>
      <c r="Z21" s="79"/>
      <c r="AA21" s="78">
        <f t="shared" si="103"/>
        <v>359472.36100000003</v>
      </c>
      <c r="AB21" s="78">
        <f t="shared" si="9"/>
        <v>7189.447219999999</v>
      </c>
      <c r="AC21" s="78">
        <f t="shared" si="10"/>
        <v>366661.80822</v>
      </c>
      <c r="AD21" s="78">
        <f t="shared" si="11"/>
        <v>6566.2823748</v>
      </c>
      <c r="AE21" s="77">
        <f t="shared" si="12"/>
        <v>392.3520202</v>
      </c>
      <c r="AF21" s="79"/>
      <c r="AG21" s="78">
        <f t="shared" si="104"/>
        <v>190587.71400000004</v>
      </c>
      <c r="AH21" s="78">
        <f t="shared" si="13"/>
        <v>3811.75428</v>
      </c>
      <c r="AI21" s="78">
        <f t="shared" si="14"/>
        <v>194399.46828000003</v>
      </c>
      <c r="AJ21" s="78">
        <f t="shared" si="15"/>
        <v>3481.3601352</v>
      </c>
      <c r="AK21" s="77">
        <f t="shared" si="16"/>
        <v>208.0200948</v>
      </c>
      <c r="AL21" s="79"/>
      <c r="AM21" s="78">
        <f t="shared" si="105"/>
        <v>138611.88</v>
      </c>
      <c r="AN21" s="78">
        <f t="shared" si="17"/>
        <v>2772.2376</v>
      </c>
      <c r="AO21" s="78">
        <f t="shared" si="18"/>
        <v>141384.1176</v>
      </c>
      <c r="AP21" s="78">
        <f t="shared" si="19"/>
        <v>2531.946384</v>
      </c>
      <c r="AQ21" s="77">
        <f t="shared" si="20"/>
        <v>151.290216</v>
      </c>
      <c r="AR21" s="79"/>
      <c r="AS21" s="78">
        <f t="shared" si="106"/>
        <v>15877.4815</v>
      </c>
      <c r="AT21" s="78">
        <f t="shared" si="21"/>
        <v>317.54963</v>
      </c>
      <c r="AU21" s="78">
        <f t="shared" si="22"/>
        <v>16195.03113</v>
      </c>
      <c r="AV21" s="78">
        <f t="shared" si="23"/>
        <v>290.0251542</v>
      </c>
      <c r="AW21" s="77">
        <f t="shared" si="24"/>
        <v>17.3297383</v>
      </c>
      <c r="AX21" s="79"/>
      <c r="AY21" s="78">
        <f t="shared" si="107"/>
        <v>251194.2015</v>
      </c>
      <c r="AZ21" s="78">
        <f t="shared" si="25"/>
        <v>5023.884029999999</v>
      </c>
      <c r="BA21" s="78">
        <f t="shared" si="26"/>
        <v>256218.08552999998</v>
      </c>
      <c r="BB21" s="78">
        <f t="shared" si="27"/>
        <v>4588.4252502</v>
      </c>
      <c r="BC21" s="77">
        <f t="shared" si="28"/>
        <v>274.1700423</v>
      </c>
      <c r="BD21" s="79"/>
      <c r="BE21" s="78">
        <f t="shared" si="108"/>
        <v>27230.5235</v>
      </c>
      <c r="BF21" s="78">
        <f t="shared" si="29"/>
        <v>544.61047</v>
      </c>
      <c r="BG21" s="78">
        <f t="shared" si="30"/>
        <v>27775.13397</v>
      </c>
      <c r="BH21" s="78">
        <f t="shared" si="31"/>
        <v>497.4048798</v>
      </c>
      <c r="BI21" s="77">
        <f t="shared" si="32"/>
        <v>29.7212027</v>
      </c>
      <c r="BJ21" s="79"/>
      <c r="BK21" s="78">
        <f t="shared" si="109"/>
        <v>85182.21449999999</v>
      </c>
      <c r="BL21" s="78">
        <f t="shared" si="33"/>
        <v>1703.64429</v>
      </c>
      <c r="BM21" s="78">
        <f t="shared" si="34"/>
        <v>86885.85878999998</v>
      </c>
      <c r="BN21" s="78">
        <f t="shared" si="35"/>
        <v>1555.9762986</v>
      </c>
      <c r="BO21" s="77">
        <f t="shared" si="36"/>
        <v>92.9735289</v>
      </c>
      <c r="BP21" s="79"/>
      <c r="BQ21" s="78">
        <f t="shared" si="110"/>
        <v>43197.9265</v>
      </c>
      <c r="BR21" s="78">
        <f t="shared" si="37"/>
        <v>863.95853</v>
      </c>
      <c r="BS21" s="78">
        <f t="shared" si="38"/>
        <v>44061.885030000005</v>
      </c>
      <c r="BT21" s="78">
        <f t="shared" si="39"/>
        <v>789.0725802</v>
      </c>
      <c r="BU21" s="77">
        <f t="shared" si="40"/>
        <v>47.1490873</v>
      </c>
      <c r="BV21" s="79"/>
      <c r="BW21" s="78">
        <f t="shared" si="111"/>
        <v>8389.253499999999</v>
      </c>
      <c r="BX21" s="78">
        <f t="shared" si="41"/>
        <v>167.78507</v>
      </c>
      <c r="BY21" s="78">
        <f t="shared" si="42"/>
        <v>8557.038569999999</v>
      </c>
      <c r="BZ21" s="78">
        <f t="shared" si="43"/>
        <v>153.2418438</v>
      </c>
      <c r="CA21" s="77">
        <f t="shared" si="44"/>
        <v>9.1565887</v>
      </c>
      <c r="CB21" s="79"/>
      <c r="CC21" s="78">
        <f t="shared" si="112"/>
        <v>33333.719000000005</v>
      </c>
      <c r="CD21" s="78">
        <f t="shared" si="45"/>
        <v>666.67438</v>
      </c>
      <c r="CE21" s="78">
        <f t="shared" si="46"/>
        <v>34000.39338</v>
      </c>
      <c r="CF21" s="78">
        <f t="shared" si="47"/>
        <v>608.8885692</v>
      </c>
      <c r="CG21" s="77">
        <f t="shared" si="48"/>
        <v>36.3826358</v>
      </c>
      <c r="CH21" s="79"/>
      <c r="CI21" s="78">
        <f t="shared" si="113"/>
        <v>81299.2955</v>
      </c>
      <c r="CJ21" s="78">
        <f t="shared" si="49"/>
        <v>1625.9859099999999</v>
      </c>
      <c r="CK21" s="78">
        <f t="shared" si="50"/>
        <v>82925.28141</v>
      </c>
      <c r="CL21" s="78">
        <f t="shared" si="51"/>
        <v>1485.0491694</v>
      </c>
      <c r="CM21" s="77">
        <f t="shared" si="52"/>
        <v>88.7354531</v>
      </c>
      <c r="CN21" s="79"/>
      <c r="CO21" s="78">
        <f t="shared" si="114"/>
        <v>181969.734</v>
      </c>
      <c r="CP21" s="78">
        <f t="shared" si="53"/>
        <v>3639.39468</v>
      </c>
      <c r="CQ21" s="78">
        <f t="shared" si="54"/>
        <v>185609.12868</v>
      </c>
      <c r="CR21" s="78">
        <f t="shared" si="55"/>
        <v>3323.9402712</v>
      </c>
      <c r="CS21" s="77">
        <f t="shared" si="56"/>
        <v>198.6138588</v>
      </c>
      <c r="CT21" s="79"/>
      <c r="CU21" s="78">
        <f t="shared" si="115"/>
        <v>27531.0665</v>
      </c>
      <c r="CV21" s="78">
        <f t="shared" si="57"/>
        <v>550.6213300000001</v>
      </c>
      <c r="CW21" s="78">
        <f t="shared" si="58"/>
        <v>28081.687830000003</v>
      </c>
      <c r="CX21" s="78">
        <f t="shared" si="59"/>
        <v>502.89473219999996</v>
      </c>
      <c r="CY21" s="77">
        <f t="shared" si="60"/>
        <v>30.0492353</v>
      </c>
      <c r="CZ21" s="79"/>
      <c r="DA21" s="78">
        <f t="shared" si="116"/>
        <v>79106.1765</v>
      </c>
      <c r="DB21" s="78">
        <f t="shared" si="61"/>
        <v>1582.1235299999998</v>
      </c>
      <c r="DC21" s="78">
        <f t="shared" si="62"/>
        <v>80688.30003</v>
      </c>
      <c r="DD21" s="78">
        <f t="shared" si="63"/>
        <v>1444.9886802</v>
      </c>
      <c r="DE21" s="77">
        <f t="shared" si="64"/>
        <v>86.3417373</v>
      </c>
      <c r="DF21" s="79"/>
      <c r="DG21" s="78">
        <f t="shared" si="117"/>
        <v>3048.2785</v>
      </c>
      <c r="DH21" s="78">
        <f t="shared" si="65"/>
        <v>60.96557</v>
      </c>
      <c r="DI21" s="78">
        <f t="shared" si="66"/>
        <v>3109.2440699999997</v>
      </c>
      <c r="DJ21" s="78">
        <f t="shared" si="67"/>
        <v>55.681213799999995</v>
      </c>
      <c r="DK21" s="77">
        <f t="shared" si="68"/>
        <v>3.3270937</v>
      </c>
      <c r="DL21" s="79"/>
      <c r="DM21" s="90">
        <f t="shared" si="118"/>
        <v>166878.613</v>
      </c>
      <c r="DN21" s="90">
        <f t="shared" si="69"/>
        <v>3337.5722600000004</v>
      </c>
      <c r="DO21" s="90">
        <f t="shared" si="70"/>
        <v>170216.18526</v>
      </c>
      <c r="DP21" s="90">
        <f t="shared" si="71"/>
        <v>3048.2791284</v>
      </c>
      <c r="DQ21" s="94">
        <f t="shared" si="72"/>
        <v>182.14240660000002</v>
      </c>
      <c r="DR21" s="79"/>
      <c r="DS21" s="78">
        <f t="shared" si="119"/>
        <v>26272.769</v>
      </c>
      <c r="DT21" s="78">
        <f t="shared" si="73"/>
        <v>525.45538</v>
      </c>
      <c r="DU21" s="78">
        <f t="shared" si="74"/>
        <v>26798.22438</v>
      </c>
      <c r="DV21" s="78">
        <f t="shared" si="75"/>
        <v>479.9101092</v>
      </c>
      <c r="DW21" s="77">
        <f t="shared" si="76"/>
        <v>28.6758458</v>
      </c>
      <c r="DX21" s="79"/>
      <c r="DY21" s="78">
        <f t="shared" si="120"/>
        <v>135201.50149999998</v>
      </c>
      <c r="DZ21" s="78">
        <f t="shared" si="77"/>
        <v>2704.03003</v>
      </c>
      <c r="EA21" s="78">
        <f t="shared" si="78"/>
        <v>137905.53152999998</v>
      </c>
      <c r="EB21" s="78">
        <f t="shared" si="79"/>
        <v>2469.6508902</v>
      </c>
      <c r="EC21" s="77">
        <f t="shared" si="80"/>
        <v>147.5679023</v>
      </c>
      <c r="ED21" s="79"/>
      <c r="EE21" s="78">
        <f t="shared" si="121"/>
        <v>38598.653000000006</v>
      </c>
      <c r="EF21" s="78">
        <f t="shared" si="81"/>
        <v>771.9730600000001</v>
      </c>
      <c r="EG21" s="78">
        <f t="shared" si="82"/>
        <v>39370.62606</v>
      </c>
      <c r="EH21" s="78">
        <f t="shared" si="83"/>
        <v>705.0602004</v>
      </c>
      <c r="EI21" s="77">
        <f t="shared" si="84"/>
        <v>42.1291346</v>
      </c>
      <c r="EJ21" s="79"/>
      <c r="EK21" s="78">
        <f t="shared" si="122"/>
        <v>387.44700000000006</v>
      </c>
      <c r="EL21" s="78">
        <f t="shared" si="85"/>
        <v>7.74894</v>
      </c>
      <c r="EM21" s="78">
        <f t="shared" si="86"/>
        <v>395.19594000000006</v>
      </c>
      <c r="EN21" s="78">
        <f t="shared" si="87"/>
        <v>7.0772796</v>
      </c>
      <c r="EO21" s="77">
        <f t="shared" si="88"/>
        <v>0.4228854</v>
      </c>
      <c r="EP21" s="79"/>
      <c r="EQ21" s="78">
        <f t="shared" si="123"/>
        <v>719.372</v>
      </c>
      <c r="ER21" s="78">
        <f t="shared" si="89"/>
        <v>14.38744</v>
      </c>
      <c r="ES21" s="78">
        <f t="shared" si="90"/>
        <v>733.7594399999999</v>
      </c>
      <c r="ET21" s="78">
        <f t="shared" si="91"/>
        <v>13.1403696</v>
      </c>
      <c r="EU21" s="77">
        <f t="shared" si="92"/>
        <v>0.7851703999999999</v>
      </c>
      <c r="EV21" s="79"/>
      <c r="EW21" s="78">
        <f t="shared" si="124"/>
        <v>130039.766</v>
      </c>
      <c r="EX21" s="78">
        <f t="shared" si="93"/>
        <v>2600.79532</v>
      </c>
      <c r="EY21" s="78">
        <f t="shared" si="94"/>
        <v>132640.56132</v>
      </c>
      <c r="EZ21" s="78">
        <f t="shared" si="95"/>
        <v>2375.3643288</v>
      </c>
      <c r="FA21" s="77">
        <f t="shared" si="96"/>
        <v>141.9340412</v>
      </c>
      <c r="FB21" s="79"/>
      <c r="FC21" s="78">
        <f t="shared" si="125"/>
        <v>241711.40600000002</v>
      </c>
      <c r="FD21" s="78">
        <f t="shared" si="97"/>
        <v>4834.228120000001</v>
      </c>
      <c r="FE21" s="78">
        <f t="shared" si="98"/>
        <v>246545.63412000003</v>
      </c>
      <c r="FF21" s="78">
        <f t="shared" si="99"/>
        <v>4415.2082808</v>
      </c>
      <c r="FG21" s="77">
        <f t="shared" si="100"/>
        <v>263.8198892</v>
      </c>
      <c r="FH21" s="79"/>
      <c r="FI21" s="80"/>
      <c r="FJ21" s="78"/>
      <c r="FK21" s="78"/>
      <c r="FL21" s="78"/>
      <c r="FM21" s="77">
        <f t="shared" si="101"/>
        <v>0</v>
      </c>
    </row>
    <row r="22" spans="1:169" s="52" customFormat="1" ht="12" hidden="1">
      <c r="A22" s="51">
        <v>44470</v>
      </c>
      <c r="C22" s="77"/>
      <c r="D22" s="77"/>
      <c r="E22" s="77">
        <f t="shared" si="0"/>
        <v>0</v>
      </c>
      <c r="F22" s="77"/>
      <c r="G22" s="77"/>
      <c r="H22" s="79"/>
      <c r="I22" s="79">
        <f>'2010C Academic'!I22</f>
        <v>0</v>
      </c>
      <c r="J22" s="79">
        <f>'2010C Academic'!J22</f>
        <v>0</v>
      </c>
      <c r="K22" s="79">
        <f t="shared" si="1"/>
        <v>0</v>
      </c>
      <c r="L22" s="79">
        <f>'2010C Academic'!L22</f>
        <v>0</v>
      </c>
      <c r="M22" s="79">
        <f>'2010C Academic'!M22</f>
        <v>0</v>
      </c>
      <c r="N22" s="79"/>
      <c r="O22" s="78">
        <f t="shared" si="2"/>
        <v>0</v>
      </c>
      <c r="P22" s="80">
        <f t="shared" si="2"/>
        <v>0</v>
      </c>
      <c r="Q22" s="78">
        <f t="shared" si="3"/>
        <v>0</v>
      </c>
      <c r="R22" s="78">
        <f t="shared" si="4"/>
        <v>0</v>
      </c>
      <c r="S22" s="78">
        <f t="shared" si="4"/>
        <v>0</v>
      </c>
      <c r="T22" s="79"/>
      <c r="U22" s="78"/>
      <c r="V22" s="77">
        <f t="shared" si="5"/>
        <v>0</v>
      </c>
      <c r="W22" s="78">
        <f t="shared" si="6"/>
        <v>0</v>
      </c>
      <c r="X22" s="78">
        <f t="shared" si="7"/>
        <v>0</v>
      </c>
      <c r="Y22" s="77">
        <f t="shared" si="8"/>
        <v>0</v>
      </c>
      <c r="Z22" s="79"/>
      <c r="AA22" s="78"/>
      <c r="AB22" s="78">
        <f t="shared" si="9"/>
        <v>0</v>
      </c>
      <c r="AC22" s="78">
        <f t="shared" si="10"/>
        <v>0</v>
      </c>
      <c r="AD22" s="78">
        <f t="shared" si="11"/>
        <v>0</v>
      </c>
      <c r="AE22" s="77">
        <f t="shared" si="12"/>
        <v>0</v>
      </c>
      <c r="AF22" s="79"/>
      <c r="AG22" s="78"/>
      <c r="AH22" s="78">
        <f t="shared" si="13"/>
        <v>0</v>
      </c>
      <c r="AI22" s="78">
        <f t="shared" si="14"/>
        <v>0</v>
      </c>
      <c r="AJ22" s="78">
        <f t="shared" si="15"/>
        <v>0</v>
      </c>
      <c r="AK22" s="77">
        <f t="shared" si="16"/>
        <v>0</v>
      </c>
      <c r="AL22" s="79"/>
      <c r="AM22" s="78"/>
      <c r="AN22" s="78">
        <f t="shared" si="17"/>
        <v>0</v>
      </c>
      <c r="AO22" s="78">
        <f t="shared" si="18"/>
        <v>0</v>
      </c>
      <c r="AP22" s="78">
        <f t="shared" si="19"/>
        <v>0</v>
      </c>
      <c r="AQ22" s="77">
        <f t="shared" si="20"/>
        <v>0</v>
      </c>
      <c r="AR22" s="79"/>
      <c r="AS22" s="78"/>
      <c r="AT22" s="78">
        <f t="shared" si="21"/>
        <v>0</v>
      </c>
      <c r="AU22" s="78">
        <f t="shared" si="22"/>
        <v>0</v>
      </c>
      <c r="AV22" s="78">
        <f t="shared" si="23"/>
        <v>0</v>
      </c>
      <c r="AW22" s="77">
        <f t="shared" si="24"/>
        <v>0</v>
      </c>
      <c r="AX22" s="79"/>
      <c r="AY22" s="78"/>
      <c r="AZ22" s="78">
        <f t="shared" si="25"/>
        <v>0</v>
      </c>
      <c r="BA22" s="78">
        <f t="shared" si="26"/>
        <v>0</v>
      </c>
      <c r="BB22" s="78">
        <f t="shared" si="27"/>
        <v>0</v>
      </c>
      <c r="BC22" s="77">
        <f t="shared" si="28"/>
        <v>0</v>
      </c>
      <c r="BD22" s="79"/>
      <c r="BE22" s="78"/>
      <c r="BF22" s="78">
        <f t="shared" si="29"/>
        <v>0</v>
      </c>
      <c r="BG22" s="78">
        <f t="shared" si="30"/>
        <v>0</v>
      </c>
      <c r="BH22" s="78">
        <f t="shared" si="31"/>
        <v>0</v>
      </c>
      <c r="BI22" s="77">
        <f t="shared" si="32"/>
        <v>0</v>
      </c>
      <c r="BJ22" s="79"/>
      <c r="BK22" s="78"/>
      <c r="BL22" s="78">
        <f t="shared" si="33"/>
        <v>0</v>
      </c>
      <c r="BM22" s="78">
        <f t="shared" si="34"/>
        <v>0</v>
      </c>
      <c r="BN22" s="78">
        <f t="shared" si="35"/>
        <v>0</v>
      </c>
      <c r="BO22" s="77">
        <f t="shared" si="36"/>
        <v>0</v>
      </c>
      <c r="BP22" s="79"/>
      <c r="BQ22" s="78"/>
      <c r="BR22" s="78">
        <f t="shared" si="37"/>
        <v>0</v>
      </c>
      <c r="BS22" s="78">
        <f t="shared" si="38"/>
        <v>0</v>
      </c>
      <c r="BT22" s="78">
        <f t="shared" si="39"/>
        <v>0</v>
      </c>
      <c r="BU22" s="77">
        <f t="shared" si="40"/>
        <v>0</v>
      </c>
      <c r="BV22" s="79"/>
      <c r="BW22" s="78"/>
      <c r="BX22" s="78">
        <f t="shared" si="41"/>
        <v>0</v>
      </c>
      <c r="BY22" s="78">
        <f t="shared" si="42"/>
        <v>0</v>
      </c>
      <c r="BZ22" s="78">
        <f t="shared" si="43"/>
        <v>0</v>
      </c>
      <c r="CA22" s="77">
        <f t="shared" si="44"/>
        <v>0</v>
      </c>
      <c r="CB22" s="79"/>
      <c r="CC22" s="78"/>
      <c r="CD22" s="78">
        <f t="shared" si="45"/>
        <v>0</v>
      </c>
      <c r="CE22" s="78">
        <f t="shared" si="46"/>
        <v>0</v>
      </c>
      <c r="CF22" s="78">
        <f t="shared" si="47"/>
        <v>0</v>
      </c>
      <c r="CG22" s="77">
        <f t="shared" si="48"/>
        <v>0</v>
      </c>
      <c r="CH22" s="79"/>
      <c r="CI22" s="78"/>
      <c r="CJ22" s="78">
        <f t="shared" si="49"/>
        <v>0</v>
      </c>
      <c r="CK22" s="78">
        <f t="shared" si="50"/>
        <v>0</v>
      </c>
      <c r="CL22" s="78">
        <f t="shared" si="51"/>
        <v>0</v>
      </c>
      <c r="CM22" s="77">
        <f t="shared" si="52"/>
        <v>0</v>
      </c>
      <c r="CN22" s="79"/>
      <c r="CO22" s="78"/>
      <c r="CP22" s="78">
        <f t="shared" si="53"/>
        <v>0</v>
      </c>
      <c r="CQ22" s="78">
        <f t="shared" si="54"/>
        <v>0</v>
      </c>
      <c r="CR22" s="78">
        <f t="shared" si="55"/>
        <v>0</v>
      </c>
      <c r="CS22" s="77">
        <f t="shared" si="56"/>
        <v>0</v>
      </c>
      <c r="CT22" s="79"/>
      <c r="CU22" s="78"/>
      <c r="CV22" s="78">
        <f t="shared" si="57"/>
        <v>0</v>
      </c>
      <c r="CW22" s="78">
        <f t="shared" si="58"/>
        <v>0</v>
      </c>
      <c r="CX22" s="78">
        <f t="shared" si="59"/>
        <v>0</v>
      </c>
      <c r="CY22" s="77">
        <f t="shared" si="60"/>
        <v>0</v>
      </c>
      <c r="CZ22" s="79"/>
      <c r="DA22" s="78"/>
      <c r="DB22" s="78">
        <f t="shared" si="61"/>
        <v>0</v>
      </c>
      <c r="DC22" s="78">
        <f t="shared" si="62"/>
        <v>0</v>
      </c>
      <c r="DD22" s="78">
        <f t="shared" si="63"/>
        <v>0</v>
      </c>
      <c r="DE22" s="77">
        <f t="shared" si="64"/>
        <v>0</v>
      </c>
      <c r="DF22" s="79"/>
      <c r="DG22" s="78"/>
      <c r="DH22" s="78">
        <f t="shared" si="65"/>
        <v>0</v>
      </c>
      <c r="DI22" s="78">
        <f t="shared" si="66"/>
        <v>0</v>
      </c>
      <c r="DJ22" s="78">
        <f t="shared" si="67"/>
        <v>0</v>
      </c>
      <c r="DK22" s="77">
        <f t="shared" si="68"/>
        <v>0</v>
      </c>
      <c r="DL22" s="79"/>
      <c r="DM22" s="90"/>
      <c r="DN22" s="90">
        <f t="shared" si="69"/>
        <v>0</v>
      </c>
      <c r="DO22" s="90">
        <f t="shared" si="70"/>
        <v>0</v>
      </c>
      <c r="DP22" s="90">
        <f t="shared" si="71"/>
        <v>0</v>
      </c>
      <c r="DQ22" s="94">
        <f t="shared" si="72"/>
        <v>0</v>
      </c>
      <c r="DR22" s="79"/>
      <c r="DS22" s="78"/>
      <c r="DT22" s="78">
        <f t="shared" si="73"/>
        <v>0</v>
      </c>
      <c r="DU22" s="78">
        <f t="shared" si="74"/>
        <v>0</v>
      </c>
      <c r="DV22" s="78">
        <f t="shared" si="75"/>
        <v>0</v>
      </c>
      <c r="DW22" s="77">
        <f t="shared" si="76"/>
        <v>0</v>
      </c>
      <c r="DX22" s="79"/>
      <c r="DY22" s="78"/>
      <c r="DZ22" s="78">
        <f t="shared" si="77"/>
        <v>0</v>
      </c>
      <c r="EA22" s="78">
        <f t="shared" si="78"/>
        <v>0</v>
      </c>
      <c r="EB22" s="78">
        <f t="shared" si="79"/>
        <v>0</v>
      </c>
      <c r="EC22" s="77">
        <f t="shared" si="80"/>
        <v>0</v>
      </c>
      <c r="ED22" s="79"/>
      <c r="EE22" s="78"/>
      <c r="EF22" s="78">
        <f t="shared" si="81"/>
        <v>0</v>
      </c>
      <c r="EG22" s="78">
        <f t="shared" si="82"/>
        <v>0</v>
      </c>
      <c r="EH22" s="78">
        <f t="shared" si="83"/>
        <v>0</v>
      </c>
      <c r="EI22" s="77">
        <f t="shared" si="84"/>
        <v>0</v>
      </c>
      <c r="EJ22" s="79"/>
      <c r="EK22" s="78"/>
      <c r="EL22" s="78">
        <f t="shared" si="85"/>
        <v>0</v>
      </c>
      <c r="EM22" s="78">
        <f t="shared" si="86"/>
        <v>0</v>
      </c>
      <c r="EN22" s="78">
        <f t="shared" si="87"/>
        <v>0</v>
      </c>
      <c r="EO22" s="77">
        <f t="shared" si="88"/>
        <v>0</v>
      </c>
      <c r="EP22" s="79"/>
      <c r="EQ22" s="78"/>
      <c r="ER22" s="78">
        <f t="shared" si="89"/>
        <v>0</v>
      </c>
      <c r="ES22" s="78">
        <f t="shared" si="90"/>
        <v>0</v>
      </c>
      <c r="ET22" s="78">
        <f t="shared" si="91"/>
        <v>0</v>
      </c>
      <c r="EU22" s="77">
        <f t="shared" si="92"/>
        <v>0</v>
      </c>
      <c r="EV22" s="79"/>
      <c r="EW22" s="78"/>
      <c r="EX22" s="78">
        <f t="shared" si="93"/>
        <v>0</v>
      </c>
      <c r="EY22" s="78">
        <f t="shared" si="94"/>
        <v>0</v>
      </c>
      <c r="EZ22" s="78">
        <f t="shared" si="95"/>
        <v>0</v>
      </c>
      <c r="FA22" s="77">
        <f t="shared" si="96"/>
        <v>0</v>
      </c>
      <c r="FB22" s="79"/>
      <c r="FC22" s="78"/>
      <c r="FD22" s="78">
        <f t="shared" si="97"/>
        <v>0</v>
      </c>
      <c r="FE22" s="78">
        <f t="shared" si="98"/>
        <v>0</v>
      </c>
      <c r="FF22" s="78">
        <f t="shared" si="99"/>
        <v>0</v>
      </c>
      <c r="FG22" s="77">
        <f t="shared" si="100"/>
        <v>0</v>
      </c>
      <c r="FH22" s="79"/>
      <c r="FI22" s="80"/>
      <c r="FJ22" s="78"/>
      <c r="FK22" s="78"/>
      <c r="FL22" s="78"/>
      <c r="FM22" s="77">
        <f t="shared" si="101"/>
        <v>0</v>
      </c>
    </row>
    <row r="23" spans="1:169" s="52" customFormat="1" ht="12" hidden="1">
      <c r="A23" s="51">
        <v>44652</v>
      </c>
      <c r="C23" s="77"/>
      <c r="D23" s="77"/>
      <c r="E23" s="77">
        <f t="shared" si="0"/>
        <v>0</v>
      </c>
      <c r="F23" s="77"/>
      <c r="G23" s="77"/>
      <c r="H23" s="79"/>
      <c r="I23" s="79">
        <f>'2010C Academic'!I23</f>
        <v>0</v>
      </c>
      <c r="J23" s="79">
        <f>'2010C Academic'!J23</f>
        <v>0</v>
      </c>
      <c r="K23" s="79">
        <f t="shared" si="1"/>
        <v>0</v>
      </c>
      <c r="L23" s="79">
        <f>'2010C Academic'!L23</f>
        <v>0</v>
      </c>
      <c r="M23" s="79">
        <f>'2010C Academic'!M23</f>
        <v>0</v>
      </c>
      <c r="N23" s="79"/>
      <c r="O23" s="78">
        <f t="shared" si="2"/>
        <v>0</v>
      </c>
      <c r="P23" s="80">
        <f t="shared" si="2"/>
        <v>0</v>
      </c>
      <c r="Q23" s="78">
        <f t="shared" si="3"/>
        <v>0</v>
      </c>
      <c r="R23" s="78">
        <f t="shared" si="4"/>
        <v>0</v>
      </c>
      <c r="S23" s="78">
        <f t="shared" si="4"/>
        <v>0</v>
      </c>
      <c r="T23" s="79"/>
      <c r="U23" s="78">
        <f t="shared" si="102"/>
        <v>0</v>
      </c>
      <c r="V23" s="77">
        <f t="shared" si="5"/>
        <v>0</v>
      </c>
      <c r="W23" s="78">
        <f t="shared" si="6"/>
        <v>0</v>
      </c>
      <c r="X23" s="78">
        <f t="shared" si="7"/>
        <v>0</v>
      </c>
      <c r="Y23" s="77">
        <f t="shared" si="8"/>
        <v>0</v>
      </c>
      <c r="Z23" s="79"/>
      <c r="AA23" s="78">
        <f t="shared" si="103"/>
        <v>0</v>
      </c>
      <c r="AB23" s="78">
        <f t="shared" si="9"/>
        <v>0</v>
      </c>
      <c r="AC23" s="78">
        <f t="shared" si="10"/>
        <v>0</v>
      </c>
      <c r="AD23" s="78">
        <f t="shared" si="11"/>
        <v>0</v>
      </c>
      <c r="AE23" s="77">
        <f t="shared" si="12"/>
        <v>0</v>
      </c>
      <c r="AF23" s="79"/>
      <c r="AG23" s="78">
        <f t="shared" si="104"/>
        <v>0</v>
      </c>
      <c r="AH23" s="78">
        <f t="shared" si="13"/>
        <v>0</v>
      </c>
      <c r="AI23" s="78">
        <f t="shared" si="14"/>
        <v>0</v>
      </c>
      <c r="AJ23" s="78">
        <f t="shared" si="15"/>
        <v>0</v>
      </c>
      <c r="AK23" s="77">
        <f t="shared" si="16"/>
        <v>0</v>
      </c>
      <c r="AL23" s="79"/>
      <c r="AM23" s="78">
        <f t="shared" si="105"/>
        <v>0</v>
      </c>
      <c r="AN23" s="78">
        <f t="shared" si="17"/>
        <v>0</v>
      </c>
      <c r="AO23" s="78">
        <f t="shared" si="18"/>
        <v>0</v>
      </c>
      <c r="AP23" s="78">
        <f t="shared" si="19"/>
        <v>0</v>
      </c>
      <c r="AQ23" s="77">
        <f t="shared" si="20"/>
        <v>0</v>
      </c>
      <c r="AR23" s="79"/>
      <c r="AS23" s="78">
        <f t="shared" si="106"/>
        <v>0</v>
      </c>
      <c r="AT23" s="78">
        <f t="shared" si="21"/>
        <v>0</v>
      </c>
      <c r="AU23" s="78">
        <f t="shared" si="22"/>
        <v>0</v>
      </c>
      <c r="AV23" s="78">
        <f t="shared" si="23"/>
        <v>0</v>
      </c>
      <c r="AW23" s="77">
        <f t="shared" si="24"/>
        <v>0</v>
      </c>
      <c r="AX23" s="79"/>
      <c r="AY23" s="78">
        <f t="shared" si="107"/>
        <v>0</v>
      </c>
      <c r="AZ23" s="78">
        <f t="shared" si="25"/>
        <v>0</v>
      </c>
      <c r="BA23" s="78">
        <f t="shared" si="26"/>
        <v>0</v>
      </c>
      <c r="BB23" s="78">
        <f t="shared" si="27"/>
        <v>0</v>
      </c>
      <c r="BC23" s="77">
        <f t="shared" si="28"/>
        <v>0</v>
      </c>
      <c r="BD23" s="79"/>
      <c r="BE23" s="78">
        <f t="shared" si="108"/>
        <v>0</v>
      </c>
      <c r="BF23" s="78">
        <f t="shared" si="29"/>
        <v>0</v>
      </c>
      <c r="BG23" s="78">
        <f t="shared" si="30"/>
        <v>0</v>
      </c>
      <c r="BH23" s="78">
        <f t="shared" si="31"/>
        <v>0</v>
      </c>
      <c r="BI23" s="77">
        <f t="shared" si="32"/>
        <v>0</v>
      </c>
      <c r="BJ23" s="79"/>
      <c r="BK23" s="78">
        <f t="shared" si="109"/>
        <v>0</v>
      </c>
      <c r="BL23" s="78">
        <f t="shared" si="33"/>
        <v>0</v>
      </c>
      <c r="BM23" s="78">
        <f t="shared" si="34"/>
        <v>0</v>
      </c>
      <c r="BN23" s="78">
        <f t="shared" si="35"/>
        <v>0</v>
      </c>
      <c r="BO23" s="77">
        <f t="shared" si="36"/>
        <v>0</v>
      </c>
      <c r="BP23" s="79"/>
      <c r="BQ23" s="78">
        <f t="shared" si="110"/>
        <v>0</v>
      </c>
      <c r="BR23" s="78">
        <f t="shared" si="37"/>
        <v>0</v>
      </c>
      <c r="BS23" s="78">
        <f t="shared" si="38"/>
        <v>0</v>
      </c>
      <c r="BT23" s="78">
        <f t="shared" si="39"/>
        <v>0</v>
      </c>
      <c r="BU23" s="77">
        <f t="shared" si="40"/>
        <v>0</v>
      </c>
      <c r="BV23" s="79"/>
      <c r="BW23" s="78">
        <f t="shared" si="111"/>
        <v>0</v>
      </c>
      <c r="BX23" s="78">
        <f t="shared" si="41"/>
        <v>0</v>
      </c>
      <c r="BY23" s="78">
        <f t="shared" si="42"/>
        <v>0</v>
      </c>
      <c r="BZ23" s="78">
        <f t="shared" si="43"/>
        <v>0</v>
      </c>
      <c r="CA23" s="77">
        <f t="shared" si="44"/>
        <v>0</v>
      </c>
      <c r="CB23" s="79"/>
      <c r="CC23" s="78">
        <f t="shared" si="112"/>
        <v>0</v>
      </c>
      <c r="CD23" s="78">
        <f t="shared" si="45"/>
        <v>0</v>
      </c>
      <c r="CE23" s="78">
        <f t="shared" si="46"/>
        <v>0</v>
      </c>
      <c r="CF23" s="78">
        <f t="shared" si="47"/>
        <v>0</v>
      </c>
      <c r="CG23" s="77">
        <f t="shared" si="48"/>
        <v>0</v>
      </c>
      <c r="CH23" s="79"/>
      <c r="CI23" s="78">
        <f t="shared" si="113"/>
        <v>0</v>
      </c>
      <c r="CJ23" s="78">
        <f t="shared" si="49"/>
        <v>0</v>
      </c>
      <c r="CK23" s="78">
        <f t="shared" si="50"/>
        <v>0</v>
      </c>
      <c r="CL23" s="78">
        <f t="shared" si="51"/>
        <v>0</v>
      </c>
      <c r="CM23" s="77">
        <f t="shared" si="52"/>
        <v>0</v>
      </c>
      <c r="CN23" s="79"/>
      <c r="CO23" s="78">
        <f t="shared" si="114"/>
        <v>0</v>
      </c>
      <c r="CP23" s="78">
        <f t="shared" si="53"/>
        <v>0</v>
      </c>
      <c r="CQ23" s="78">
        <f t="shared" si="54"/>
        <v>0</v>
      </c>
      <c r="CR23" s="78">
        <f t="shared" si="55"/>
        <v>0</v>
      </c>
      <c r="CS23" s="77">
        <f t="shared" si="56"/>
        <v>0</v>
      </c>
      <c r="CT23" s="79"/>
      <c r="CU23" s="78">
        <f t="shared" si="115"/>
        <v>0</v>
      </c>
      <c r="CV23" s="78">
        <f t="shared" si="57"/>
        <v>0</v>
      </c>
      <c r="CW23" s="78">
        <f t="shared" si="58"/>
        <v>0</v>
      </c>
      <c r="CX23" s="78">
        <f t="shared" si="59"/>
        <v>0</v>
      </c>
      <c r="CY23" s="77">
        <f t="shared" si="60"/>
        <v>0</v>
      </c>
      <c r="CZ23" s="79"/>
      <c r="DA23" s="78">
        <f t="shared" si="116"/>
        <v>0</v>
      </c>
      <c r="DB23" s="78">
        <f t="shared" si="61"/>
        <v>0</v>
      </c>
      <c r="DC23" s="78">
        <f t="shared" si="62"/>
        <v>0</v>
      </c>
      <c r="DD23" s="78">
        <f t="shared" si="63"/>
        <v>0</v>
      </c>
      <c r="DE23" s="77">
        <f t="shared" si="64"/>
        <v>0</v>
      </c>
      <c r="DF23" s="79"/>
      <c r="DG23" s="78">
        <f t="shared" si="117"/>
        <v>0</v>
      </c>
      <c r="DH23" s="78">
        <f t="shared" si="65"/>
        <v>0</v>
      </c>
      <c r="DI23" s="78">
        <f t="shared" si="66"/>
        <v>0</v>
      </c>
      <c r="DJ23" s="78">
        <f t="shared" si="67"/>
        <v>0</v>
      </c>
      <c r="DK23" s="77">
        <f t="shared" si="68"/>
        <v>0</v>
      </c>
      <c r="DL23" s="79"/>
      <c r="DM23" s="90">
        <f t="shared" si="118"/>
        <v>0</v>
      </c>
      <c r="DN23" s="90">
        <f t="shared" si="69"/>
        <v>0</v>
      </c>
      <c r="DO23" s="90">
        <f t="shared" si="70"/>
        <v>0</v>
      </c>
      <c r="DP23" s="90">
        <f t="shared" si="71"/>
        <v>0</v>
      </c>
      <c r="DQ23" s="94">
        <f t="shared" si="72"/>
        <v>0</v>
      </c>
      <c r="DR23" s="79"/>
      <c r="DS23" s="78">
        <f t="shared" si="119"/>
        <v>0</v>
      </c>
      <c r="DT23" s="78">
        <f t="shared" si="73"/>
        <v>0</v>
      </c>
      <c r="DU23" s="78">
        <f t="shared" si="74"/>
        <v>0</v>
      </c>
      <c r="DV23" s="78">
        <f t="shared" si="75"/>
        <v>0</v>
      </c>
      <c r="DW23" s="77">
        <f t="shared" si="76"/>
        <v>0</v>
      </c>
      <c r="DX23" s="79"/>
      <c r="DY23" s="78">
        <f t="shared" si="120"/>
        <v>0</v>
      </c>
      <c r="DZ23" s="78">
        <f t="shared" si="77"/>
        <v>0</v>
      </c>
      <c r="EA23" s="78">
        <f t="shared" si="78"/>
        <v>0</v>
      </c>
      <c r="EB23" s="78">
        <f t="shared" si="79"/>
        <v>0</v>
      </c>
      <c r="EC23" s="77">
        <f t="shared" si="80"/>
        <v>0</v>
      </c>
      <c r="ED23" s="79"/>
      <c r="EE23" s="78">
        <f t="shared" si="121"/>
        <v>0</v>
      </c>
      <c r="EF23" s="78">
        <f t="shared" si="81"/>
        <v>0</v>
      </c>
      <c r="EG23" s="78">
        <f t="shared" si="82"/>
        <v>0</v>
      </c>
      <c r="EH23" s="78">
        <f t="shared" si="83"/>
        <v>0</v>
      </c>
      <c r="EI23" s="77">
        <f t="shared" si="84"/>
        <v>0</v>
      </c>
      <c r="EJ23" s="79"/>
      <c r="EK23" s="78">
        <f t="shared" si="122"/>
        <v>0</v>
      </c>
      <c r="EL23" s="78">
        <f t="shared" si="85"/>
        <v>0</v>
      </c>
      <c r="EM23" s="78">
        <f t="shared" si="86"/>
        <v>0</v>
      </c>
      <c r="EN23" s="78">
        <f t="shared" si="87"/>
        <v>0</v>
      </c>
      <c r="EO23" s="77">
        <f t="shared" si="88"/>
        <v>0</v>
      </c>
      <c r="EP23" s="79"/>
      <c r="EQ23" s="78">
        <f t="shared" si="123"/>
        <v>0</v>
      </c>
      <c r="ER23" s="78">
        <f t="shared" si="89"/>
        <v>0</v>
      </c>
      <c r="ES23" s="78">
        <f t="shared" si="90"/>
        <v>0</v>
      </c>
      <c r="ET23" s="78">
        <f t="shared" si="91"/>
        <v>0</v>
      </c>
      <c r="EU23" s="77">
        <f t="shared" si="92"/>
        <v>0</v>
      </c>
      <c r="EV23" s="79"/>
      <c r="EW23" s="78">
        <f t="shared" si="124"/>
        <v>0</v>
      </c>
      <c r="EX23" s="78">
        <f t="shared" si="93"/>
        <v>0</v>
      </c>
      <c r="EY23" s="78">
        <f t="shared" si="94"/>
        <v>0</v>
      </c>
      <c r="EZ23" s="78">
        <f t="shared" si="95"/>
        <v>0</v>
      </c>
      <c r="FA23" s="77">
        <f t="shared" si="96"/>
        <v>0</v>
      </c>
      <c r="FB23" s="79"/>
      <c r="FC23" s="78">
        <f t="shared" si="125"/>
        <v>0</v>
      </c>
      <c r="FD23" s="78">
        <f t="shared" si="97"/>
        <v>0</v>
      </c>
      <c r="FE23" s="78">
        <f t="shared" si="98"/>
        <v>0</v>
      </c>
      <c r="FF23" s="78">
        <f t="shared" si="99"/>
        <v>0</v>
      </c>
      <c r="FG23" s="77">
        <f t="shared" si="100"/>
        <v>0</v>
      </c>
      <c r="FH23" s="79"/>
      <c r="FI23" s="80"/>
      <c r="FJ23" s="78"/>
      <c r="FK23" s="78"/>
      <c r="FL23" s="78"/>
      <c r="FM23" s="77">
        <f t="shared" si="101"/>
        <v>0</v>
      </c>
    </row>
    <row r="24" spans="1:169" s="52" customFormat="1" ht="12" hidden="1">
      <c r="A24" s="51">
        <v>44835</v>
      </c>
      <c r="C24" s="77"/>
      <c r="D24" s="77"/>
      <c r="E24" s="77">
        <f t="shared" si="0"/>
        <v>0</v>
      </c>
      <c r="F24" s="77"/>
      <c r="G24" s="77"/>
      <c r="H24" s="79"/>
      <c r="I24" s="79">
        <f>'2010C Academic'!I24</f>
        <v>0</v>
      </c>
      <c r="J24" s="79">
        <f>'2010C Academic'!J24</f>
        <v>0</v>
      </c>
      <c r="K24" s="79">
        <f t="shared" si="1"/>
        <v>0</v>
      </c>
      <c r="L24" s="79">
        <f>'2010C Academic'!L24</f>
        <v>0</v>
      </c>
      <c r="M24" s="79">
        <f>'2010C Academic'!M24</f>
        <v>0</v>
      </c>
      <c r="N24" s="79"/>
      <c r="O24" s="78">
        <f t="shared" si="2"/>
        <v>0</v>
      </c>
      <c r="P24" s="80">
        <f t="shared" si="2"/>
        <v>0</v>
      </c>
      <c r="Q24" s="78">
        <f t="shared" si="3"/>
        <v>0</v>
      </c>
      <c r="R24" s="78">
        <f t="shared" si="4"/>
        <v>0</v>
      </c>
      <c r="S24" s="78">
        <f t="shared" si="4"/>
        <v>0</v>
      </c>
      <c r="T24" s="79"/>
      <c r="U24" s="78"/>
      <c r="V24" s="77">
        <f t="shared" si="5"/>
        <v>0</v>
      </c>
      <c r="W24" s="78">
        <f t="shared" si="6"/>
        <v>0</v>
      </c>
      <c r="X24" s="78">
        <f t="shared" si="7"/>
        <v>0</v>
      </c>
      <c r="Y24" s="77">
        <f t="shared" si="8"/>
        <v>0</v>
      </c>
      <c r="Z24" s="79"/>
      <c r="AA24" s="78"/>
      <c r="AB24" s="78">
        <f t="shared" si="9"/>
        <v>0</v>
      </c>
      <c r="AC24" s="78">
        <f t="shared" si="10"/>
        <v>0</v>
      </c>
      <c r="AD24" s="78">
        <f t="shared" si="11"/>
        <v>0</v>
      </c>
      <c r="AE24" s="77">
        <f t="shared" si="12"/>
        <v>0</v>
      </c>
      <c r="AF24" s="79"/>
      <c r="AG24" s="78"/>
      <c r="AH24" s="78">
        <f t="shared" si="13"/>
        <v>0</v>
      </c>
      <c r="AI24" s="78">
        <f t="shared" si="14"/>
        <v>0</v>
      </c>
      <c r="AJ24" s="78">
        <f t="shared" si="15"/>
        <v>0</v>
      </c>
      <c r="AK24" s="77">
        <f t="shared" si="16"/>
        <v>0</v>
      </c>
      <c r="AL24" s="79"/>
      <c r="AM24" s="78"/>
      <c r="AN24" s="78">
        <f t="shared" si="17"/>
        <v>0</v>
      </c>
      <c r="AO24" s="78">
        <f t="shared" si="18"/>
        <v>0</v>
      </c>
      <c r="AP24" s="78">
        <f t="shared" si="19"/>
        <v>0</v>
      </c>
      <c r="AQ24" s="77">
        <f t="shared" si="20"/>
        <v>0</v>
      </c>
      <c r="AR24" s="79"/>
      <c r="AS24" s="78"/>
      <c r="AT24" s="78">
        <f t="shared" si="21"/>
        <v>0</v>
      </c>
      <c r="AU24" s="78">
        <f t="shared" si="22"/>
        <v>0</v>
      </c>
      <c r="AV24" s="78">
        <f t="shared" si="23"/>
        <v>0</v>
      </c>
      <c r="AW24" s="77">
        <f t="shared" si="24"/>
        <v>0</v>
      </c>
      <c r="AX24" s="79"/>
      <c r="AY24" s="78"/>
      <c r="AZ24" s="78">
        <f t="shared" si="25"/>
        <v>0</v>
      </c>
      <c r="BA24" s="78">
        <f t="shared" si="26"/>
        <v>0</v>
      </c>
      <c r="BB24" s="78">
        <f t="shared" si="27"/>
        <v>0</v>
      </c>
      <c r="BC24" s="77">
        <f t="shared" si="28"/>
        <v>0</v>
      </c>
      <c r="BD24" s="79"/>
      <c r="BE24" s="78"/>
      <c r="BF24" s="78">
        <f t="shared" si="29"/>
        <v>0</v>
      </c>
      <c r="BG24" s="78">
        <f t="shared" si="30"/>
        <v>0</v>
      </c>
      <c r="BH24" s="78">
        <f t="shared" si="31"/>
        <v>0</v>
      </c>
      <c r="BI24" s="77">
        <f t="shared" si="32"/>
        <v>0</v>
      </c>
      <c r="BJ24" s="79"/>
      <c r="BK24" s="78"/>
      <c r="BL24" s="78">
        <f t="shared" si="33"/>
        <v>0</v>
      </c>
      <c r="BM24" s="78">
        <f t="shared" si="34"/>
        <v>0</v>
      </c>
      <c r="BN24" s="78">
        <f t="shared" si="35"/>
        <v>0</v>
      </c>
      <c r="BO24" s="77">
        <f t="shared" si="36"/>
        <v>0</v>
      </c>
      <c r="BP24" s="79"/>
      <c r="BQ24" s="78"/>
      <c r="BR24" s="78">
        <f t="shared" si="37"/>
        <v>0</v>
      </c>
      <c r="BS24" s="78">
        <f t="shared" si="38"/>
        <v>0</v>
      </c>
      <c r="BT24" s="78">
        <f t="shared" si="39"/>
        <v>0</v>
      </c>
      <c r="BU24" s="77">
        <f t="shared" si="40"/>
        <v>0</v>
      </c>
      <c r="BV24" s="79"/>
      <c r="BW24" s="78"/>
      <c r="BX24" s="78">
        <f t="shared" si="41"/>
        <v>0</v>
      </c>
      <c r="BY24" s="78">
        <f t="shared" si="42"/>
        <v>0</v>
      </c>
      <c r="BZ24" s="78">
        <f t="shared" si="43"/>
        <v>0</v>
      </c>
      <c r="CA24" s="77">
        <f t="shared" si="44"/>
        <v>0</v>
      </c>
      <c r="CB24" s="79"/>
      <c r="CC24" s="78"/>
      <c r="CD24" s="78">
        <f t="shared" si="45"/>
        <v>0</v>
      </c>
      <c r="CE24" s="78">
        <f t="shared" si="46"/>
        <v>0</v>
      </c>
      <c r="CF24" s="78">
        <f t="shared" si="47"/>
        <v>0</v>
      </c>
      <c r="CG24" s="77">
        <f t="shared" si="48"/>
        <v>0</v>
      </c>
      <c r="CH24" s="79"/>
      <c r="CI24" s="78"/>
      <c r="CJ24" s="78">
        <f t="shared" si="49"/>
        <v>0</v>
      </c>
      <c r="CK24" s="78">
        <f t="shared" si="50"/>
        <v>0</v>
      </c>
      <c r="CL24" s="78">
        <f t="shared" si="51"/>
        <v>0</v>
      </c>
      <c r="CM24" s="77">
        <f t="shared" si="52"/>
        <v>0</v>
      </c>
      <c r="CN24" s="79"/>
      <c r="CO24" s="78"/>
      <c r="CP24" s="78">
        <f t="shared" si="53"/>
        <v>0</v>
      </c>
      <c r="CQ24" s="78">
        <f t="shared" si="54"/>
        <v>0</v>
      </c>
      <c r="CR24" s="78">
        <f t="shared" si="55"/>
        <v>0</v>
      </c>
      <c r="CS24" s="77">
        <f t="shared" si="56"/>
        <v>0</v>
      </c>
      <c r="CT24" s="79"/>
      <c r="CU24" s="78"/>
      <c r="CV24" s="78">
        <f t="shared" si="57"/>
        <v>0</v>
      </c>
      <c r="CW24" s="78">
        <f t="shared" si="58"/>
        <v>0</v>
      </c>
      <c r="CX24" s="78">
        <f t="shared" si="59"/>
        <v>0</v>
      </c>
      <c r="CY24" s="77">
        <f t="shared" si="60"/>
        <v>0</v>
      </c>
      <c r="CZ24" s="79"/>
      <c r="DA24" s="78"/>
      <c r="DB24" s="78">
        <f t="shared" si="61"/>
        <v>0</v>
      </c>
      <c r="DC24" s="78">
        <f t="shared" si="62"/>
        <v>0</v>
      </c>
      <c r="DD24" s="78">
        <f t="shared" si="63"/>
        <v>0</v>
      </c>
      <c r="DE24" s="77">
        <f t="shared" si="64"/>
        <v>0</v>
      </c>
      <c r="DF24" s="79"/>
      <c r="DG24" s="78"/>
      <c r="DH24" s="78">
        <f t="shared" si="65"/>
        <v>0</v>
      </c>
      <c r="DI24" s="78">
        <f t="shared" si="66"/>
        <v>0</v>
      </c>
      <c r="DJ24" s="78">
        <f t="shared" si="67"/>
        <v>0</v>
      </c>
      <c r="DK24" s="77">
        <f t="shared" si="68"/>
        <v>0</v>
      </c>
      <c r="DL24" s="79"/>
      <c r="DM24" s="90"/>
      <c r="DN24" s="90">
        <f t="shared" si="69"/>
        <v>0</v>
      </c>
      <c r="DO24" s="90">
        <f t="shared" si="70"/>
        <v>0</v>
      </c>
      <c r="DP24" s="90">
        <f t="shared" si="71"/>
        <v>0</v>
      </c>
      <c r="DQ24" s="94">
        <f t="shared" si="72"/>
        <v>0</v>
      </c>
      <c r="DR24" s="79"/>
      <c r="DS24" s="78"/>
      <c r="DT24" s="78">
        <f t="shared" si="73"/>
        <v>0</v>
      </c>
      <c r="DU24" s="78">
        <f t="shared" si="74"/>
        <v>0</v>
      </c>
      <c r="DV24" s="78">
        <f t="shared" si="75"/>
        <v>0</v>
      </c>
      <c r="DW24" s="77">
        <f t="shared" si="76"/>
        <v>0</v>
      </c>
      <c r="DX24" s="79"/>
      <c r="DY24" s="78"/>
      <c r="DZ24" s="78">
        <f t="shared" si="77"/>
        <v>0</v>
      </c>
      <c r="EA24" s="78">
        <f t="shared" si="78"/>
        <v>0</v>
      </c>
      <c r="EB24" s="78">
        <f t="shared" si="79"/>
        <v>0</v>
      </c>
      <c r="EC24" s="77">
        <f t="shared" si="80"/>
        <v>0</v>
      </c>
      <c r="ED24" s="79"/>
      <c r="EE24" s="78"/>
      <c r="EF24" s="78">
        <f t="shared" si="81"/>
        <v>0</v>
      </c>
      <c r="EG24" s="78">
        <f t="shared" si="82"/>
        <v>0</v>
      </c>
      <c r="EH24" s="78">
        <f t="shared" si="83"/>
        <v>0</v>
      </c>
      <c r="EI24" s="77">
        <f t="shared" si="84"/>
        <v>0</v>
      </c>
      <c r="EJ24" s="79"/>
      <c r="EK24" s="78"/>
      <c r="EL24" s="78">
        <f t="shared" si="85"/>
        <v>0</v>
      </c>
      <c r="EM24" s="78">
        <f t="shared" si="86"/>
        <v>0</v>
      </c>
      <c r="EN24" s="78">
        <f t="shared" si="87"/>
        <v>0</v>
      </c>
      <c r="EO24" s="77">
        <f t="shared" si="88"/>
        <v>0</v>
      </c>
      <c r="EP24" s="79"/>
      <c r="EQ24" s="78"/>
      <c r="ER24" s="78">
        <f t="shared" si="89"/>
        <v>0</v>
      </c>
      <c r="ES24" s="78">
        <f t="shared" si="90"/>
        <v>0</v>
      </c>
      <c r="ET24" s="78">
        <f t="shared" si="91"/>
        <v>0</v>
      </c>
      <c r="EU24" s="77">
        <f t="shared" si="92"/>
        <v>0</v>
      </c>
      <c r="EV24" s="79"/>
      <c r="EW24" s="78"/>
      <c r="EX24" s="78">
        <f t="shared" si="93"/>
        <v>0</v>
      </c>
      <c r="EY24" s="78">
        <f t="shared" si="94"/>
        <v>0</v>
      </c>
      <c r="EZ24" s="78">
        <f t="shared" si="95"/>
        <v>0</v>
      </c>
      <c r="FA24" s="77">
        <f t="shared" si="96"/>
        <v>0</v>
      </c>
      <c r="FB24" s="79"/>
      <c r="FC24" s="78"/>
      <c r="FD24" s="78">
        <f t="shared" si="97"/>
        <v>0</v>
      </c>
      <c r="FE24" s="78">
        <f t="shared" si="98"/>
        <v>0</v>
      </c>
      <c r="FF24" s="78">
        <f t="shared" si="99"/>
        <v>0</v>
      </c>
      <c r="FG24" s="77">
        <f t="shared" si="100"/>
        <v>0</v>
      </c>
      <c r="FH24" s="79"/>
      <c r="FI24" s="80"/>
      <c r="FJ24" s="78"/>
      <c r="FK24" s="78"/>
      <c r="FL24" s="78"/>
      <c r="FM24" s="77">
        <f t="shared" si="101"/>
        <v>0</v>
      </c>
    </row>
    <row r="25" spans="1:169" s="52" customFormat="1" ht="12" hidden="1">
      <c r="A25" s="51">
        <v>45017</v>
      </c>
      <c r="C25" s="77"/>
      <c r="D25" s="77"/>
      <c r="E25" s="77">
        <f t="shared" si="0"/>
        <v>0</v>
      </c>
      <c r="F25" s="77"/>
      <c r="G25" s="77"/>
      <c r="H25" s="79"/>
      <c r="I25" s="79">
        <f>'2010C Academic'!I25</f>
        <v>0</v>
      </c>
      <c r="J25" s="79">
        <f>'2010C Academic'!J25</f>
        <v>0</v>
      </c>
      <c r="K25" s="79">
        <f t="shared" si="1"/>
        <v>0</v>
      </c>
      <c r="L25" s="79">
        <f>'2010C Academic'!L25</f>
        <v>0</v>
      </c>
      <c r="M25" s="79">
        <f>'2010C Academic'!M25</f>
        <v>0</v>
      </c>
      <c r="N25" s="79"/>
      <c r="O25" s="78">
        <f t="shared" si="2"/>
        <v>0</v>
      </c>
      <c r="P25" s="80">
        <f t="shared" si="2"/>
        <v>0</v>
      </c>
      <c r="Q25" s="78">
        <f t="shared" si="3"/>
        <v>0</v>
      </c>
      <c r="R25" s="78">
        <f t="shared" si="4"/>
        <v>0</v>
      </c>
      <c r="S25" s="78">
        <f t="shared" si="4"/>
        <v>0</v>
      </c>
      <c r="T25" s="79"/>
      <c r="U25" s="78">
        <f t="shared" si="102"/>
        <v>0</v>
      </c>
      <c r="V25" s="77">
        <f t="shared" si="5"/>
        <v>0</v>
      </c>
      <c r="W25" s="78">
        <f t="shared" si="6"/>
        <v>0</v>
      </c>
      <c r="X25" s="78">
        <f t="shared" si="7"/>
        <v>0</v>
      </c>
      <c r="Y25" s="77">
        <f t="shared" si="8"/>
        <v>0</v>
      </c>
      <c r="Z25" s="79"/>
      <c r="AA25" s="78">
        <f t="shared" si="103"/>
        <v>0</v>
      </c>
      <c r="AB25" s="78">
        <f t="shared" si="9"/>
        <v>0</v>
      </c>
      <c r="AC25" s="78">
        <f t="shared" si="10"/>
        <v>0</v>
      </c>
      <c r="AD25" s="78">
        <f t="shared" si="11"/>
        <v>0</v>
      </c>
      <c r="AE25" s="77">
        <f t="shared" si="12"/>
        <v>0</v>
      </c>
      <c r="AF25" s="79"/>
      <c r="AG25" s="78">
        <f t="shared" si="104"/>
        <v>0</v>
      </c>
      <c r="AH25" s="78">
        <f t="shared" si="13"/>
        <v>0</v>
      </c>
      <c r="AI25" s="78">
        <f t="shared" si="14"/>
        <v>0</v>
      </c>
      <c r="AJ25" s="78">
        <f t="shared" si="15"/>
        <v>0</v>
      </c>
      <c r="AK25" s="77">
        <f t="shared" si="16"/>
        <v>0</v>
      </c>
      <c r="AL25" s="79"/>
      <c r="AM25" s="78">
        <f t="shared" si="105"/>
        <v>0</v>
      </c>
      <c r="AN25" s="78">
        <f t="shared" si="17"/>
        <v>0</v>
      </c>
      <c r="AO25" s="78">
        <f t="shared" si="18"/>
        <v>0</v>
      </c>
      <c r="AP25" s="78">
        <f t="shared" si="19"/>
        <v>0</v>
      </c>
      <c r="AQ25" s="77">
        <f t="shared" si="20"/>
        <v>0</v>
      </c>
      <c r="AR25" s="79"/>
      <c r="AS25" s="78">
        <f t="shared" si="106"/>
        <v>0</v>
      </c>
      <c r="AT25" s="78">
        <f t="shared" si="21"/>
        <v>0</v>
      </c>
      <c r="AU25" s="78">
        <f t="shared" si="22"/>
        <v>0</v>
      </c>
      <c r="AV25" s="78">
        <f t="shared" si="23"/>
        <v>0</v>
      </c>
      <c r="AW25" s="77">
        <f t="shared" si="24"/>
        <v>0</v>
      </c>
      <c r="AX25" s="79"/>
      <c r="AY25" s="78">
        <f t="shared" si="107"/>
        <v>0</v>
      </c>
      <c r="AZ25" s="78">
        <f t="shared" si="25"/>
        <v>0</v>
      </c>
      <c r="BA25" s="78">
        <f t="shared" si="26"/>
        <v>0</v>
      </c>
      <c r="BB25" s="78">
        <f t="shared" si="27"/>
        <v>0</v>
      </c>
      <c r="BC25" s="77">
        <f t="shared" si="28"/>
        <v>0</v>
      </c>
      <c r="BD25" s="79"/>
      <c r="BE25" s="78">
        <f t="shared" si="108"/>
        <v>0</v>
      </c>
      <c r="BF25" s="78">
        <f t="shared" si="29"/>
        <v>0</v>
      </c>
      <c r="BG25" s="78">
        <f t="shared" si="30"/>
        <v>0</v>
      </c>
      <c r="BH25" s="78">
        <f t="shared" si="31"/>
        <v>0</v>
      </c>
      <c r="BI25" s="77">
        <f t="shared" si="32"/>
        <v>0</v>
      </c>
      <c r="BJ25" s="79"/>
      <c r="BK25" s="78">
        <f t="shared" si="109"/>
        <v>0</v>
      </c>
      <c r="BL25" s="78">
        <f t="shared" si="33"/>
        <v>0</v>
      </c>
      <c r="BM25" s="78">
        <f t="shared" si="34"/>
        <v>0</v>
      </c>
      <c r="BN25" s="78">
        <f t="shared" si="35"/>
        <v>0</v>
      </c>
      <c r="BO25" s="77">
        <f t="shared" si="36"/>
        <v>0</v>
      </c>
      <c r="BP25" s="79"/>
      <c r="BQ25" s="78">
        <f t="shared" si="110"/>
        <v>0</v>
      </c>
      <c r="BR25" s="78">
        <f t="shared" si="37"/>
        <v>0</v>
      </c>
      <c r="BS25" s="78">
        <f t="shared" si="38"/>
        <v>0</v>
      </c>
      <c r="BT25" s="78">
        <f t="shared" si="39"/>
        <v>0</v>
      </c>
      <c r="BU25" s="77">
        <f t="shared" si="40"/>
        <v>0</v>
      </c>
      <c r="BV25" s="79"/>
      <c r="BW25" s="78">
        <f t="shared" si="111"/>
        <v>0</v>
      </c>
      <c r="BX25" s="78">
        <f t="shared" si="41"/>
        <v>0</v>
      </c>
      <c r="BY25" s="78">
        <f t="shared" si="42"/>
        <v>0</v>
      </c>
      <c r="BZ25" s="78">
        <f t="shared" si="43"/>
        <v>0</v>
      </c>
      <c r="CA25" s="77">
        <f t="shared" si="44"/>
        <v>0</v>
      </c>
      <c r="CB25" s="79"/>
      <c r="CC25" s="78">
        <f t="shared" si="112"/>
        <v>0</v>
      </c>
      <c r="CD25" s="78">
        <f t="shared" si="45"/>
        <v>0</v>
      </c>
      <c r="CE25" s="78">
        <f t="shared" si="46"/>
        <v>0</v>
      </c>
      <c r="CF25" s="78">
        <f t="shared" si="47"/>
        <v>0</v>
      </c>
      <c r="CG25" s="77">
        <f t="shared" si="48"/>
        <v>0</v>
      </c>
      <c r="CH25" s="79"/>
      <c r="CI25" s="78">
        <f t="shared" si="113"/>
        <v>0</v>
      </c>
      <c r="CJ25" s="78">
        <f t="shared" si="49"/>
        <v>0</v>
      </c>
      <c r="CK25" s="78">
        <f t="shared" si="50"/>
        <v>0</v>
      </c>
      <c r="CL25" s="78">
        <f t="shared" si="51"/>
        <v>0</v>
      </c>
      <c r="CM25" s="77">
        <f t="shared" si="52"/>
        <v>0</v>
      </c>
      <c r="CN25" s="79"/>
      <c r="CO25" s="78">
        <f t="shared" si="114"/>
        <v>0</v>
      </c>
      <c r="CP25" s="78">
        <f t="shared" si="53"/>
        <v>0</v>
      </c>
      <c r="CQ25" s="78">
        <f t="shared" si="54"/>
        <v>0</v>
      </c>
      <c r="CR25" s="78">
        <f t="shared" si="55"/>
        <v>0</v>
      </c>
      <c r="CS25" s="77">
        <f t="shared" si="56"/>
        <v>0</v>
      </c>
      <c r="CT25" s="79"/>
      <c r="CU25" s="78">
        <f t="shared" si="115"/>
        <v>0</v>
      </c>
      <c r="CV25" s="78">
        <f t="shared" si="57"/>
        <v>0</v>
      </c>
      <c r="CW25" s="78">
        <f t="shared" si="58"/>
        <v>0</v>
      </c>
      <c r="CX25" s="78">
        <f t="shared" si="59"/>
        <v>0</v>
      </c>
      <c r="CY25" s="77">
        <f t="shared" si="60"/>
        <v>0</v>
      </c>
      <c r="CZ25" s="79"/>
      <c r="DA25" s="78">
        <f t="shared" si="116"/>
        <v>0</v>
      </c>
      <c r="DB25" s="78">
        <f t="shared" si="61"/>
        <v>0</v>
      </c>
      <c r="DC25" s="78">
        <f t="shared" si="62"/>
        <v>0</v>
      </c>
      <c r="DD25" s="78">
        <f t="shared" si="63"/>
        <v>0</v>
      </c>
      <c r="DE25" s="77">
        <f t="shared" si="64"/>
        <v>0</v>
      </c>
      <c r="DF25" s="79"/>
      <c r="DG25" s="78">
        <f t="shared" si="117"/>
        <v>0</v>
      </c>
      <c r="DH25" s="78">
        <f t="shared" si="65"/>
        <v>0</v>
      </c>
      <c r="DI25" s="78">
        <f t="shared" si="66"/>
        <v>0</v>
      </c>
      <c r="DJ25" s="78">
        <f t="shared" si="67"/>
        <v>0</v>
      </c>
      <c r="DK25" s="77">
        <f t="shared" si="68"/>
        <v>0</v>
      </c>
      <c r="DL25" s="79"/>
      <c r="DM25" s="90">
        <f t="shared" si="118"/>
        <v>0</v>
      </c>
      <c r="DN25" s="90">
        <f t="shared" si="69"/>
        <v>0</v>
      </c>
      <c r="DO25" s="90">
        <f t="shared" si="70"/>
        <v>0</v>
      </c>
      <c r="DP25" s="90">
        <f t="shared" si="71"/>
        <v>0</v>
      </c>
      <c r="DQ25" s="94">
        <f t="shared" si="72"/>
        <v>0</v>
      </c>
      <c r="DR25" s="79"/>
      <c r="DS25" s="78">
        <f t="shared" si="119"/>
        <v>0</v>
      </c>
      <c r="DT25" s="78">
        <f t="shared" si="73"/>
        <v>0</v>
      </c>
      <c r="DU25" s="78">
        <f t="shared" si="74"/>
        <v>0</v>
      </c>
      <c r="DV25" s="78">
        <f t="shared" si="75"/>
        <v>0</v>
      </c>
      <c r="DW25" s="77">
        <f t="shared" si="76"/>
        <v>0</v>
      </c>
      <c r="DX25" s="79"/>
      <c r="DY25" s="78">
        <f t="shared" si="120"/>
        <v>0</v>
      </c>
      <c r="DZ25" s="78">
        <f t="shared" si="77"/>
        <v>0</v>
      </c>
      <c r="EA25" s="78">
        <f t="shared" si="78"/>
        <v>0</v>
      </c>
      <c r="EB25" s="78">
        <f t="shared" si="79"/>
        <v>0</v>
      </c>
      <c r="EC25" s="77">
        <f t="shared" si="80"/>
        <v>0</v>
      </c>
      <c r="ED25" s="79"/>
      <c r="EE25" s="78">
        <f t="shared" si="121"/>
        <v>0</v>
      </c>
      <c r="EF25" s="78">
        <f t="shared" si="81"/>
        <v>0</v>
      </c>
      <c r="EG25" s="78">
        <f t="shared" si="82"/>
        <v>0</v>
      </c>
      <c r="EH25" s="78">
        <f t="shared" si="83"/>
        <v>0</v>
      </c>
      <c r="EI25" s="77">
        <f t="shared" si="84"/>
        <v>0</v>
      </c>
      <c r="EJ25" s="79"/>
      <c r="EK25" s="78">
        <f t="shared" si="122"/>
        <v>0</v>
      </c>
      <c r="EL25" s="78">
        <f t="shared" si="85"/>
        <v>0</v>
      </c>
      <c r="EM25" s="78">
        <f t="shared" si="86"/>
        <v>0</v>
      </c>
      <c r="EN25" s="78">
        <f t="shared" si="87"/>
        <v>0</v>
      </c>
      <c r="EO25" s="77">
        <f t="shared" si="88"/>
        <v>0</v>
      </c>
      <c r="EP25" s="79"/>
      <c r="EQ25" s="78">
        <f t="shared" si="123"/>
        <v>0</v>
      </c>
      <c r="ER25" s="78">
        <f t="shared" si="89"/>
        <v>0</v>
      </c>
      <c r="ES25" s="78">
        <f t="shared" si="90"/>
        <v>0</v>
      </c>
      <c r="ET25" s="78">
        <f t="shared" si="91"/>
        <v>0</v>
      </c>
      <c r="EU25" s="77">
        <f t="shared" si="92"/>
        <v>0</v>
      </c>
      <c r="EV25" s="79"/>
      <c r="EW25" s="78">
        <f t="shared" si="124"/>
        <v>0</v>
      </c>
      <c r="EX25" s="78">
        <f t="shared" si="93"/>
        <v>0</v>
      </c>
      <c r="EY25" s="78">
        <f t="shared" si="94"/>
        <v>0</v>
      </c>
      <c r="EZ25" s="78">
        <f t="shared" si="95"/>
        <v>0</v>
      </c>
      <c r="FA25" s="77">
        <f t="shared" si="96"/>
        <v>0</v>
      </c>
      <c r="FB25" s="79"/>
      <c r="FC25" s="78">
        <f t="shared" si="125"/>
        <v>0</v>
      </c>
      <c r="FD25" s="78">
        <f t="shared" si="97"/>
        <v>0</v>
      </c>
      <c r="FE25" s="78">
        <f t="shared" si="98"/>
        <v>0</v>
      </c>
      <c r="FF25" s="78">
        <f t="shared" si="99"/>
        <v>0</v>
      </c>
      <c r="FG25" s="77">
        <f t="shared" si="100"/>
        <v>0</v>
      </c>
      <c r="FH25" s="79"/>
      <c r="FI25" s="80"/>
      <c r="FJ25" s="78"/>
      <c r="FK25" s="78"/>
      <c r="FL25" s="78"/>
      <c r="FM25" s="77">
        <f t="shared" si="101"/>
        <v>0</v>
      </c>
    </row>
    <row r="26" spans="1:169" s="52" customFormat="1" ht="12" hidden="1">
      <c r="A26" s="51">
        <v>45200</v>
      </c>
      <c r="C26" s="77"/>
      <c r="D26" s="77"/>
      <c r="E26" s="77">
        <f t="shared" si="0"/>
        <v>0</v>
      </c>
      <c r="F26" s="77"/>
      <c r="G26" s="77"/>
      <c r="H26" s="79"/>
      <c r="I26" s="79">
        <f>'2010C Academic'!I26</f>
        <v>0</v>
      </c>
      <c r="J26" s="79">
        <f>'2010C Academic'!J26</f>
        <v>0</v>
      </c>
      <c r="K26" s="79">
        <f t="shared" si="1"/>
        <v>0</v>
      </c>
      <c r="L26" s="79">
        <f>'2010C Academic'!L26</f>
        <v>0</v>
      </c>
      <c r="M26" s="79">
        <f>'2010C Academic'!M26</f>
        <v>0</v>
      </c>
      <c r="N26" s="79"/>
      <c r="O26" s="78">
        <f t="shared" si="2"/>
        <v>0</v>
      </c>
      <c r="P26" s="80">
        <f t="shared" si="2"/>
        <v>0</v>
      </c>
      <c r="Q26" s="78">
        <f t="shared" si="3"/>
        <v>0</v>
      </c>
      <c r="R26" s="78">
        <f t="shared" si="4"/>
        <v>0</v>
      </c>
      <c r="S26" s="78">
        <f t="shared" si="4"/>
        <v>0</v>
      </c>
      <c r="T26" s="79"/>
      <c r="U26" s="78"/>
      <c r="V26" s="77">
        <f t="shared" si="5"/>
        <v>0</v>
      </c>
      <c r="W26" s="78">
        <f t="shared" si="6"/>
        <v>0</v>
      </c>
      <c r="X26" s="78">
        <f t="shared" si="7"/>
        <v>0</v>
      </c>
      <c r="Y26" s="77">
        <f t="shared" si="8"/>
        <v>0</v>
      </c>
      <c r="Z26" s="79"/>
      <c r="AA26" s="78"/>
      <c r="AB26" s="78">
        <f t="shared" si="9"/>
        <v>0</v>
      </c>
      <c r="AC26" s="78">
        <f t="shared" si="10"/>
        <v>0</v>
      </c>
      <c r="AD26" s="78">
        <f t="shared" si="11"/>
        <v>0</v>
      </c>
      <c r="AE26" s="77">
        <f t="shared" si="12"/>
        <v>0</v>
      </c>
      <c r="AF26" s="79"/>
      <c r="AG26" s="78"/>
      <c r="AH26" s="78">
        <f t="shared" si="13"/>
        <v>0</v>
      </c>
      <c r="AI26" s="78">
        <f t="shared" si="14"/>
        <v>0</v>
      </c>
      <c r="AJ26" s="78">
        <f t="shared" si="15"/>
        <v>0</v>
      </c>
      <c r="AK26" s="77">
        <f t="shared" si="16"/>
        <v>0</v>
      </c>
      <c r="AL26" s="79"/>
      <c r="AM26" s="78"/>
      <c r="AN26" s="78">
        <f t="shared" si="17"/>
        <v>0</v>
      </c>
      <c r="AO26" s="78">
        <f t="shared" si="18"/>
        <v>0</v>
      </c>
      <c r="AP26" s="78">
        <f t="shared" si="19"/>
        <v>0</v>
      </c>
      <c r="AQ26" s="77">
        <f t="shared" si="20"/>
        <v>0</v>
      </c>
      <c r="AR26" s="79"/>
      <c r="AS26" s="78"/>
      <c r="AT26" s="78">
        <f t="shared" si="21"/>
        <v>0</v>
      </c>
      <c r="AU26" s="78">
        <f t="shared" si="22"/>
        <v>0</v>
      </c>
      <c r="AV26" s="78">
        <f t="shared" si="23"/>
        <v>0</v>
      </c>
      <c r="AW26" s="77">
        <f t="shared" si="24"/>
        <v>0</v>
      </c>
      <c r="AX26" s="79"/>
      <c r="AY26" s="78"/>
      <c r="AZ26" s="78">
        <f t="shared" si="25"/>
        <v>0</v>
      </c>
      <c r="BA26" s="78">
        <f t="shared" si="26"/>
        <v>0</v>
      </c>
      <c r="BB26" s="78">
        <f t="shared" si="27"/>
        <v>0</v>
      </c>
      <c r="BC26" s="77">
        <f t="shared" si="28"/>
        <v>0</v>
      </c>
      <c r="BD26" s="79"/>
      <c r="BE26" s="78"/>
      <c r="BF26" s="78">
        <f t="shared" si="29"/>
        <v>0</v>
      </c>
      <c r="BG26" s="78">
        <f t="shared" si="30"/>
        <v>0</v>
      </c>
      <c r="BH26" s="78">
        <f t="shared" si="31"/>
        <v>0</v>
      </c>
      <c r="BI26" s="77">
        <f t="shared" si="32"/>
        <v>0</v>
      </c>
      <c r="BJ26" s="79"/>
      <c r="BK26" s="78"/>
      <c r="BL26" s="78">
        <f t="shared" si="33"/>
        <v>0</v>
      </c>
      <c r="BM26" s="78">
        <f t="shared" si="34"/>
        <v>0</v>
      </c>
      <c r="BN26" s="78">
        <f t="shared" si="35"/>
        <v>0</v>
      </c>
      <c r="BO26" s="77">
        <f t="shared" si="36"/>
        <v>0</v>
      </c>
      <c r="BP26" s="79"/>
      <c r="BQ26" s="78"/>
      <c r="BR26" s="78">
        <f t="shared" si="37"/>
        <v>0</v>
      </c>
      <c r="BS26" s="78">
        <f t="shared" si="38"/>
        <v>0</v>
      </c>
      <c r="BT26" s="78">
        <f t="shared" si="39"/>
        <v>0</v>
      </c>
      <c r="BU26" s="77">
        <f t="shared" si="40"/>
        <v>0</v>
      </c>
      <c r="BV26" s="79"/>
      <c r="BW26" s="78"/>
      <c r="BX26" s="78">
        <f t="shared" si="41"/>
        <v>0</v>
      </c>
      <c r="BY26" s="78">
        <f t="shared" si="42"/>
        <v>0</v>
      </c>
      <c r="BZ26" s="78">
        <f t="shared" si="43"/>
        <v>0</v>
      </c>
      <c r="CA26" s="77">
        <f t="shared" si="44"/>
        <v>0</v>
      </c>
      <c r="CB26" s="79"/>
      <c r="CC26" s="78"/>
      <c r="CD26" s="78">
        <f t="shared" si="45"/>
        <v>0</v>
      </c>
      <c r="CE26" s="78">
        <f t="shared" si="46"/>
        <v>0</v>
      </c>
      <c r="CF26" s="78">
        <f t="shared" si="47"/>
        <v>0</v>
      </c>
      <c r="CG26" s="77">
        <f t="shared" si="48"/>
        <v>0</v>
      </c>
      <c r="CH26" s="79"/>
      <c r="CI26" s="78"/>
      <c r="CJ26" s="78">
        <f t="shared" si="49"/>
        <v>0</v>
      </c>
      <c r="CK26" s="78">
        <f t="shared" si="50"/>
        <v>0</v>
      </c>
      <c r="CL26" s="78">
        <f t="shared" si="51"/>
        <v>0</v>
      </c>
      <c r="CM26" s="77">
        <f t="shared" si="52"/>
        <v>0</v>
      </c>
      <c r="CN26" s="79"/>
      <c r="CO26" s="78"/>
      <c r="CP26" s="78">
        <f t="shared" si="53"/>
        <v>0</v>
      </c>
      <c r="CQ26" s="78">
        <f t="shared" si="54"/>
        <v>0</v>
      </c>
      <c r="CR26" s="78">
        <f t="shared" si="55"/>
        <v>0</v>
      </c>
      <c r="CS26" s="77">
        <f t="shared" si="56"/>
        <v>0</v>
      </c>
      <c r="CT26" s="79"/>
      <c r="CU26" s="78"/>
      <c r="CV26" s="78">
        <f t="shared" si="57"/>
        <v>0</v>
      </c>
      <c r="CW26" s="78">
        <f t="shared" si="58"/>
        <v>0</v>
      </c>
      <c r="CX26" s="78">
        <f t="shared" si="59"/>
        <v>0</v>
      </c>
      <c r="CY26" s="77">
        <f t="shared" si="60"/>
        <v>0</v>
      </c>
      <c r="CZ26" s="79"/>
      <c r="DA26" s="78"/>
      <c r="DB26" s="78">
        <f t="shared" si="61"/>
        <v>0</v>
      </c>
      <c r="DC26" s="78">
        <f t="shared" si="62"/>
        <v>0</v>
      </c>
      <c r="DD26" s="78">
        <f t="shared" si="63"/>
        <v>0</v>
      </c>
      <c r="DE26" s="77">
        <f t="shared" si="64"/>
        <v>0</v>
      </c>
      <c r="DF26" s="79"/>
      <c r="DG26" s="78"/>
      <c r="DH26" s="78">
        <f t="shared" si="65"/>
        <v>0</v>
      </c>
      <c r="DI26" s="78">
        <f t="shared" si="66"/>
        <v>0</v>
      </c>
      <c r="DJ26" s="78">
        <f t="shared" si="67"/>
        <v>0</v>
      </c>
      <c r="DK26" s="77">
        <f t="shared" si="68"/>
        <v>0</v>
      </c>
      <c r="DL26" s="79"/>
      <c r="DM26" s="90"/>
      <c r="DN26" s="90">
        <f t="shared" si="69"/>
        <v>0</v>
      </c>
      <c r="DO26" s="90">
        <f t="shared" si="70"/>
        <v>0</v>
      </c>
      <c r="DP26" s="90">
        <f t="shared" si="71"/>
        <v>0</v>
      </c>
      <c r="DQ26" s="94">
        <f t="shared" si="72"/>
        <v>0</v>
      </c>
      <c r="DR26" s="79"/>
      <c r="DS26" s="78"/>
      <c r="DT26" s="78">
        <f t="shared" si="73"/>
        <v>0</v>
      </c>
      <c r="DU26" s="78">
        <f t="shared" si="74"/>
        <v>0</v>
      </c>
      <c r="DV26" s="78">
        <f t="shared" si="75"/>
        <v>0</v>
      </c>
      <c r="DW26" s="77">
        <f t="shared" si="76"/>
        <v>0</v>
      </c>
      <c r="DX26" s="79"/>
      <c r="DY26" s="78"/>
      <c r="DZ26" s="78">
        <f t="shared" si="77"/>
        <v>0</v>
      </c>
      <c r="EA26" s="78">
        <f t="shared" si="78"/>
        <v>0</v>
      </c>
      <c r="EB26" s="78">
        <f t="shared" si="79"/>
        <v>0</v>
      </c>
      <c r="EC26" s="77">
        <f t="shared" si="80"/>
        <v>0</v>
      </c>
      <c r="ED26" s="79"/>
      <c r="EE26" s="78"/>
      <c r="EF26" s="78">
        <f t="shared" si="81"/>
        <v>0</v>
      </c>
      <c r="EG26" s="78">
        <f t="shared" si="82"/>
        <v>0</v>
      </c>
      <c r="EH26" s="78">
        <f t="shared" si="83"/>
        <v>0</v>
      </c>
      <c r="EI26" s="77">
        <f t="shared" si="84"/>
        <v>0</v>
      </c>
      <c r="EJ26" s="79"/>
      <c r="EK26" s="78"/>
      <c r="EL26" s="78">
        <f t="shared" si="85"/>
        <v>0</v>
      </c>
      <c r="EM26" s="78">
        <f t="shared" si="86"/>
        <v>0</v>
      </c>
      <c r="EN26" s="78">
        <f t="shared" si="87"/>
        <v>0</v>
      </c>
      <c r="EO26" s="77">
        <f t="shared" si="88"/>
        <v>0</v>
      </c>
      <c r="EP26" s="79"/>
      <c r="EQ26" s="78"/>
      <c r="ER26" s="78">
        <f t="shared" si="89"/>
        <v>0</v>
      </c>
      <c r="ES26" s="78">
        <f t="shared" si="90"/>
        <v>0</v>
      </c>
      <c r="ET26" s="78">
        <f t="shared" si="91"/>
        <v>0</v>
      </c>
      <c r="EU26" s="77">
        <f t="shared" si="92"/>
        <v>0</v>
      </c>
      <c r="EV26" s="79"/>
      <c r="EW26" s="78"/>
      <c r="EX26" s="78">
        <f t="shared" si="93"/>
        <v>0</v>
      </c>
      <c r="EY26" s="78">
        <f t="shared" si="94"/>
        <v>0</v>
      </c>
      <c r="EZ26" s="78">
        <f t="shared" si="95"/>
        <v>0</v>
      </c>
      <c r="FA26" s="77">
        <f t="shared" si="96"/>
        <v>0</v>
      </c>
      <c r="FB26" s="79"/>
      <c r="FC26" s="78"/>
      <c r="FD26" s="78">
        <f t="shared" si="97"/>
        <v>0</v>
      </c>
      <c r="FE26" s="78">
        <f t="shared" si="98"/>
        <v>0</v>
      </c>
      <c r="FF26" s="78">
        <f t="shared" si="99"/>
        <v>0</v>
      </c>
      <c r="FG26" s="77">
        <f t="shared" si="100"/>
        <v>0</v>
      </c>
      <c r="FH26" s="79"/>
      <c r="FI26" s="80"/>
      <c r="FJ26" s="78"/>
      <c r="FK26" s="78"/>
      <c r="FL26" s="78"/>
      <c r="FM26" s="77">
        <f t="shared" si="101"/>
        <v>0</v>
      </c>
    </row>
    <row r="27" spans="1:169" s="52" customFormat="1" ht="12" hidden="1">
      <c r="A27" s="51">
        <v>45383</v>
      </c>
      <c r="C27" s="77"/>
      <c r="D27" s="77"/>
      <c r="E27" s="77">
        <f t="shared" si="0"/>
        <v>0</v>
      </c>
      <c r="F27" s="77"/>
      <c r="G27" s="77"/>
      <c r="H27" s="79"/>
      <c r="I27" s="79">
        <f>'2010C Academic'!I27</f>
        <v>0</v>
      </c>
      <c r="J27" s="79">
        <f>'2010C Academic'!J27</f>
        <v>0</v>
      </c>
      <c r="K27" s="79">
        <f t="shared" si="1"/>
        <v>0</v>
      </c>
      <c r="L27" s="79">
        <f>'2010C Academic'!L27</f>
        <v>0</v>
      </c>
      <c r="M27" s="79">
        <f>'2010C Academic'!M27</f>
        <v>0</v>
      </c>
      <c r="N27" s="79"/>
      <c r="O27" s="78">
        <f t="shared" si="2"/>
        <v>0</v>
      </c>
      <c r="P27" s="80">
        <f t="shared" si="2"/>
        <v>0</v>
      </c>
      <c r="Q27" s="78">
        <f t="shared" si="3"/>
        <v>0</v>
      </c>
      <c r="R27" s="78">
        <f t="shared" si="4"/>
        <v>0</v>
      </c>
      <c r="S27" s="78">
        <f t="shared" si="4"/>
        <v>0</v>
      </c>
      <c r="T27" s="79"/>
      <c r="U27" s="78">
        <f t="shared" si="102"/>
        <v>0</v>
      </c>
      <c r="V27" s="77">
        <f t="shared" si="5"/>
        <v>0</v>
      </c>
      <c r="W27" s="78">
        <f t="shared" si="6"/>
        <v>0</v>
      </c>
      <c r="X27" s="78">
        <f t="shared" si="7"/>
        <v>0</v>
      </c>
      <c r="Y27" s="77">
        <f t="shared" si="8"/>
        <v>0</v>
      </c>
      <c r="Z27" s="79"/>
      <c r="AA27" s="78">
        <f t="shared" si="103"/>
        <v>0</v>
      </c>
      <c r="AB27" s="78">
        <f t="shared" si="9"/>
        <v>0</v>
      </c>
      <c r="AC27" s="78">
        <f t="shared" si="10"/>
        <v>0</v>
      </c>
      <c r="AD27" s="78">
        <f t="shared" si="11"/>
        <v>0</v>
      </c>
      <c r="AE27" s="77">
        <f t="shared" si="12"/>
        <v>0</v>
      </c>
      <c r="AF27" s="79"/>
      <c r="AG27" s="78">
        <f t="shared" si="104"/>
        <v>0</v>
      </c>
      <c r="AH27" s="78">
        <f t="shared" si="13"/>
        <v>0</v>
      </c>
      <c r="AI27" s="78">
        <f t="shared" si="14"/>
        <v>0</v>
      </c>
      <c r="AJ27" s="78">
        <f t="shared" si="15"/>
        <v>0</v>
      </c>
      <c r="AK27" s="77">
        <f t="shared" si="16"/>
        <v>0</v>
      </c>
      <c r="AL27" s="79"/>
      <c r="AM27" s="78">
        <f t="shared" si="105"/>
        <v>0</v>
      </c>
      <c r="AN27" s="78">
        <f t="shared" si="17"/>
        <v>0</v>
      </c>
      <c r="AO27" s="78">
        <f t="shared" si="18"/>
        <v>0</v>
      </c>
      <c r="AP27" s="78">
        <f t="shared" si="19"/>
        <v>0</v>
      </c>
      <c r="AQ27" s="77">
        <f t="shared" si="20"/>
        <v>0</v>
      </c>
      <c r="AR27" s="79"/>
      <c r="AS27" s="78">
        <f t="shared" si="106"/>
        <v>0</v>
      </c>
      <c r="AT27" s="78">
        <f t="shared" si="21"/>
        <v>0</v>
      </c>
      <c r="AU27" s="78">
        <f t="shared" si="22"/>
        <v>0</v>
      </c>
      <c r="AV27" s="78">
        <f t="shared" si="23"/>
        <v>0</v>
      </c>
      <c r="AW27" s="77">
        <f t="shared" si="24"/>
        <v>0</v>
      </c>
      <c r="AX27" s="79"/>
      <c r="AY27" s="78">
        <f t="shared" si="107"/>
        <v>0</v>
      </c>
      <c r="AZ27" s="78">
        <f t="shared" si="25"/>
        <v>0</v>
      </c>
      <c r="BA27" s="78">
        <f t="shared" si="26"/>
        <v>0</v>
      </c>
      <c r="BB27" s="78">
        <f t="shared" si="27"/>
        <v>0</v>
      </c>
      <c r="BC27" s="77">
        <f t="shared" si="28"/>
        <v>0</v>
      </c>
      <c r="BD27" s="79"/>
      <c r="BE27" s="78">
        <f t="shared" si="108"/>
        <v>0</v>
      </c>
      <c r="BF27" s="78">
        <f t="shared" si="29"/>
        <v>0</v>
      </c>
      <c r="BG27" s="78">
        <f t="shared" si="30"/>
        <v>0</v>
      </c>
      <c r="BH27" s="78">
        <f t="shared" si="31"/>
        <v>0</v>
      </c>
      <c r="BI27" s="77">
        <f t="shared" si="32"/>
        <v>0</v>
      </c>
      <c r="BJ27" s="79"/>
      <c r="BK27" s="78">
        <f t="shared" si="109"/>
        <v>0</v>
      </c>
      <c r="BL27" s="78">
        <f t="shared" si="33"/>
        <v>0</v>
      </c>
      <c r="BM27" s="78">
        <f t="shared" si="34"/>
        <v>0</v>
      </c>
      <c r="BN27" s="78">
        <f t="shared" si="35"/>
        <v>0</v>
      </c>
      <c r="BO27" s="77">
        <f t="shared" si="36"/>
        <v>0</v>
      </c>
      <c r="BP27" s="79"/>
      <c r="BQ27" s="78">
        <f t="shared" si="110"/>
        <v>0</v>
      </c>
      <c r="BR27" s="78">
        <f t="shared" si="37"/>
        <v>0</v>
      </c>
      <c r="BS27" s="78">
        <f t="shared" si="38"/>
        <v>0</v>
      </c>
      <c r="BT27" s="78">
        <f t="shared" si="39"/>
        <v>0</v>
      </c>
      <c r="BU27" s="77">
        <f t="shared" si="40"/>
        <v>0</v>
      </c>
      <c r="BV27" s="79"/>
      <c r="BW27" s="78">
        <f t="shared" si="111"/>
        <v>0</v>
      </c>
      <c r="BX27" s="78">
        <f t="shared" si="41"/>
        <v>0</v>
      </c>
      <c r="BY27" s="78">
        <f t="shared" si="42"/>
        <v>0</v>
      </c>
      <c r="BZ27" s="78">
        <f t="shared" si="43"/>
        <v>0</v>
      </c>
      <c r="CA27" s="77">
        <f t="shared" si="44"/>
        <v>0</v>
      </c>
      <c r="CB27" s="79"/>
      <c r="CC27" s="78">
        <f t="shared" si="112"/>
        <v>0</v>
      </c>
      <c r="CD27" s="78">
        <f t="shared" si="45"/>
        <v>0</v>
      </c>
      <c r="CE27" s="78">
        <f t="shared" si="46"/>
        <v>0</v>
      </c>
      <c r="CF27" s="78">
        <f t="shared" si="47"/>
        <v>0</v>
      </c>
      <c r="CG27" s="77">
        <f t="shared" si="48"/>
        <v>0</v>
      </c>
      <c r="CH27" s="79"/>
      <c r="CI27" s="78">
        <f t="shared" si="113"/>
        <v>0</v>
      </c>
      <c r="CJ27" s="78">
        <f t="shared" si="49"/>
        <v>0</v>
      </c>
      <c r="CK27" s="78">
        <f t="shared" si="50"/>
        <v>0</v>
      </c>
      <c r="CL27" s="78">
        <f t="shared" si="51"/>
        <v>0</v>
      </c>
      <c r="CM27" s="77">
        <f t="shared" si="52"/>
        <v>0</v>
      </c>
      <c r="CN27" s="79"/>
      <c r="CO27" s="78">
        <f t="shared" si="114"/>
        <v>0</v>
      </c>
      <c r="CP27" s="78">
        <f t="shared" si="53"/>
        <v>0</v>
      </c>
      <c r="CQ27" s="78">
        <f t="shared" si="54"/>
        <v>0</v>
      </c>
      <c r="CR27" s="78">
        <f t="shared" si="55"/>
        <v>0</v>
      </c>
      <c r="CS27" s="77">
        <f t="shared" si="56"/>
        <v>0</v>
      </c>
      <c r="CT27" s="79"/>
      <c r="CU27" s="78">
        <f t="shared" si="115"/>
        <v>0</v>
      </c>
      <c r="CV27" s="78">
        <f t="shared" si="57"/>
        <v>0</v>
      </c>
      <c r="CW27" s="78">
        <f t="shared" si="58"/>
        <v>0</v>
      </c>
      <c r="CX27" s="78">
        <f t="shared" si="59"/>
        <v>0</v>
      </c>
      <c r="CY27" s="77">
        <f t="shared" si="60"/>
        <v>0</v>
      </c>
      <c r="CZ27" s="79"/>
      <c r="DA27" s="78">
        <f t="shared" si="116"/>
        <v>0</v>
      </c>
      <c r="DB27" s="78">
        <f t="shared" si="61"/>
        <v>0</v>
      </c>
      <c r="DC27" s="78">
        <f t="shared" si="62"/>
        <v>0</v>
      </c>
      <c r="DD27" s="78">
        <f t="shared" si="63"/>
        <v>0</v>
      </c>
      <c r="DE27" s="77">
        <f t="shared" si="64"/>
        <v>0</v>
      </c>
      <c r="DF27" s="79"/>
      <c r="DG27" s="78">
        <f t="shared" si="117"/>
        <v>0</v>
      </c>
      <c r="DH27" s="78">
        <f t="shared" si="65"/>
        <v>0</v>
      </c>
      <c r="DI27" s="78">
        <f t="shared" si="66"/>
        <v>0</v>
      </c>
      <c r="DJ27" s="78">
        <f t="shared" si="67"/>
        <v>0</v>
      </c>
      <c r="DK27" s="77">
        <f t="shared" si="68"/>
        <v>0</v>
      </c>
      <c r="DL27" s="79"/>
      <c r="DM27" s="90">
        <f t="shared" si="118"/>
        <v>0</v>
      </c>
      <c r="DN27" s="90">
        <f t="shared" si="69"/>
        <v>0</v>
      </c>
      <c r="DO27" s="90">
        <f t="shared" si="70"/>
        <v>0</v>
      </c>
      <c r="DP27" s="90">
        <f t="shared" si="71"/>
        <v>0</v>
      </c>
      <c r="DQ27" s="94">
        <f t="shared" si="72"/>
        <v>0</v>
      </c>
      <c r="DR27" s="79"/>
      <c r="DS27" s="78">
        <f t="shared" si="119"/>
        <v>0</v>
      </c>
      <c r="DT27" s="78">
        <f t="shared" si="73"/>
        <v>0</v>
      </c>
      <c r="DU27" s="78">
        <f t="shared" si="74"/>
        <v>0</v>
      </c>
      <c r="DV27" s="78">
        <f t="shared" si="75"/>
        <v>0</v>
      </c>
      <c r="DW27" s="77">
        <f t="shared" si="76"/>
        <v>0</v>
      </c>
      <c r="DX27" s="79"/>
      <c r="DY27" s="78">
        <f t="shared" si="120"/>
        <v>0</v>
      </c>
      <c r="DZ27" s="78">
        <f t="shared" si="77"/>
        <v>0</v>
      </c>
      <c r="EA27" s="78">
        <f t="shared" si="78"/>
        <v>0</v>
      </c>
      <c r="EB27" s="78">
        <f t="shared" si="79"/>
        <v>0</v>
      </c>
      <c r="EC27" s="77">
        <f t="shared" si="80"/>
        <v>0</v>
      </c>
      <c r="ED27" s="79"/>
      <c r="EE27" s="78">
        <f t="shared" si="121"/>
        <v>0</v>
      </c>
      <c r="EF27" s="78">
        <f t="shared" si="81"/>
        <v>0</v>
      </c>
      <c r="EG27" s="78">
        <f t="shared" si="82"/>
        <v>0</v>
      </c>
      <c r="EH27" s="78">
        <f t="shared" si="83"/>
        <v>0</v>
      </c>
      <c r="EI27" s="77">
        <f t="shared" si="84"/>
        <v>0</v>
      </c>
      <c r="EJ27" s="79"/>
      <c r="EK27" s="78">
        <f t="shared" si="122"/>
        <v>0</v>
      </c>
      <c r="EL27" s="78">
        <f t="shared" si="85"/>
        <v>0</v>
      </c>
      <c r="EM27" s="78">
        <f t="shared" si="86"/>
        <v>0</v>
      </c>
      <c r="EN27" s="78">
        <f t="shared" si="87"/>
        <v>0</v>
      </c>
      <c r="EO27" s="77">
        <f t="shared" si="88"/>
        <v>0</v>
      </c>
      <c r="EP27" s="79"/>
      <c r="EQ27" s="78">
        <f t="shared" si="123"/>
        <v>0</v>
      </c>
      <c r="ER27" s="78">
        <f t="shared" si="89"/>
        <v>0</v>
      </c>
      <c r="ES27" s="78">
        <f t="shared" si="90"/>
        <v>0</v>
      </c>
      <c r="ET27" s="78">
        <f t="shared" si="91"/>
        <v>0</v>
      </c>
      <c r="EU27" s="77">
        <f t="shared" si="92"/>
        <v>0</v>
      </c>
      <c r="EV27" s="79"/>
      <c r="EW27" s="78">
        <f t="shared" si="124"/>
        <v>0</v>
      </c>
      <c r="EX27" s="78">
        <f t="shared" si="93"/>
        <v>0</v>
      </c>
      <c r="EY27" s="78">
        <f t="shared" si="94"/>
        <v>0</v>
      </c>
      <c r="EZ27" s="78">
        <f t="shared" si="95"/>
        <v>0</v>
      </c>
      <c r="FA27" s="77">
        <f t="shared" si="96"/>
        <v>0</v>
      </c>
      <c r="FB27" s="79"/>
      <c r="FC27" s="78">
        <f t="shared" si="125"/>
        <v>0</v>
      </c>
      <c r="FD27" s="78">
        <f t="shared" si="97"/>
        <v>0</v>
      </c>
      <c r="FE27" s="78">
        <f t="shared" si="98"/>
        <v>0</v>
      </c>
      <c r="FF27" s="78">
        <f t="shared" si="99"/>
        <v>0</v>
      </c>
      <c r="FG27" s="77">
        <f t="shared" si="100"/>
        <v>0</v>
      </c>
      <c r="FH27" s="79"/>
      <c r="FI27" s="80"/>
      <c r="FJ27" s="78"/>
      <c r="FK27" s="78"/>
      <c r="FL27" s="78"/>
      <c r="FM27" s="77">
        <f t="shared" si="101"/>
        <v>0</v>
      </c>
    </row>
    <row r="28" spans="3:169" ht="12">
      <c r="C28" s="42"/>
      <c r="D28" s="42"/>
      <c r="E28" s="42"/>
      <c r="F28" s="42"/>
      <c r="G28" s="42"/>
      <c r="J28" s="50"/>
      <c r="M28" s="42"/>
      <c r="S28" s="42"/>
      <c r="Y28" s="42"/>
      <c r="AA28" s="33"/>
      <c r="AB28" s="33"/>
      <c r="AE28" s="42"/>
      <c r="AG28" s="33"/>
      <c r="AH28" s="33"/>
      <c r="AI28" s="33"/>
      <c r="AJ28" s="33"/>
      <c r="AK28" s="42"/>
      <c r="AM28" s="20"/>
      <c r="AN28" s="20"/>
      <c r="AO28" s="20"/>
      <c r="AP28" s="20"/>
      <c r="AQ28" s="42"/>
      <c r="AR28" s="33"/>
      <c r="AS28" s="33"/>
      <c r="AT28" s="33"/>
      <c r="AU28" s="33"/>
      <c r="AV28" s="33"/>
      <c r="AW28" s="42"/>
      <c r="AX28" s="33"/>
      <c r="AY28" s="33"/>
      <c r="AZ28" s="33"/>
      <c r="BA28" s="33"/>
      <c r="BB28" s="33"/>
      <c r="BC28" s="42"/>
      <c r="BD28" s="33"/>
      <c r="BE28" s="33"/>
      <c r="BF28" s="33"/>
      <c r="BG28" s="33"/>
      <c r="BH28" s="33"/>
      <c r="BI28" s="42"/>
      <c r="BJ28" s="33"/>
      <c r="BK28" s="33"/>
      <c r="BL28" s="33"/>
      <c r="BM28" s="33"/>
      <c r="BN28" s="33"/>
      <c r="BO28" s="42"/>
      <c r="BP28" s="33"/>
      <c r="BQ28" s="33"/>
      <c r="BR28" s="33"/>
      <c r="BS28" s="33"/>
      <c r="BT28" s="33"/>
      <c r="BU28" s="42"/>
      <c r="BV28" s="33"/>
      <c r="BW28" s="33"/>
      <c r="BX28" s="33"/>
      <c r="BY28" s="33"/>
      <c r="BZ28" s="33"/>
      <c r="CA28" s="42"/>
      <c r="CB28" s="33"/>
      <c r="CC28" s="33"/>
      <c r="CD28" s="33"/>
      <c r="CE28" s="33"/>
      <c r="CF28" s="33"/>
      <c r="CG28" s="42"/>
      <c r="CH28" s="33"/>
      <c r="CI28" s="33"/>
      <c r="CJ28" s="33"/>
      <c r="CK28" s="33"/>
      <c r="CL28" s="33"/>
      <c r="CM28" s="42"/>
      <c r="CN28" s="33"/>
      <c r="CO28" s="33"/>
      <c r="CP28" s="33"/>
      <c r="CQ28" s="33"/>
      <c r="CR28" s="33"/>
      <c r="CS28" s="42"/>
      <c r="CT28" s="33"/>
      <c r="CU28" s="33"/>
      <c r="CV28" s="33"/>
      <c r="CW28" s="33"/>
      <c r="CX28" s="33"/>
      <c r="CY28" s="42"/>
      <c r="CZ28" s="33"/>
      <c r="DA28" s="33"/>
      <c r="DB28" s="33"/>
      <c r="DC28" s="33"/>
      <c r="DD28" s="33"/>
      <c r="DE28" s="42"/>
      <c r="DF28" s="33"/>
      <c r="DG28" s="33"/>
      <c r="DH28" s="33"/>
      <c r="DI28" s="33"/>
      <c r="DJ28" s="33"/>
      <c r="DK28" s="42"/>
      <c r="DL28" s="33"/>
      <c r="DM28" s="95"/>
      <c r="DN28" s="95"/>
      <c r="DO28" s="95"/>
      <c r="DP28" s="95"/>
      <c r="DQ28" s="96"/>
      <c r="DR28" s="33"/>
      <c r="DS28" s="33"/>
      <c r="DT28" s="33"/>
      <c r="DU28" s="33"/>
      <c r="DV28" s="33"/>
      <c r="DW28" s="42"/>
      <c r="DX28" s="33"/>
      <c r="DY28" s="33"/>
      <c r="DZ28" s="33"/>
      <c r="EA28" s="33"/>
      <c r="EB28" s="33"/>
      <c r="EC28" s="42"/>
      <c r="ED28" s="33"/>
      <c r="EE28" s="33"/>
      <c r="EF28" s="33"/>
      <c r="EG28" s="33"/>
      <c r="EH28" s="33"/>
      <c r="EI28" s="42"/>
      <c r="EJ28" s="33"/>
      <c r="EK28" s="33"/>
      <c r="EL28" s="33"/>
      <c r="EM28" s="33"/>
      <c r="EN28" s="33"/>
      <c r="EO28" s="42"/>
      <c r="EP28" s="33"/>
      <c r="EQ28" s="33"/>
      <c r="ER28" s="33"/>
      <c r="ES28" s="33"/>
      <c r="ET28" s="33"/>
      <c r="EU28" s="42"/>
      <c r="EV28" s="33"/>
      <c r="EW28" s="33"/>
      <c r="EX28" s="33"/>
      <c r="EY28" s="33"/>
      <c r="EZ28" s="33"/>
      <c r="FA28" s="42"/>
      <c r="FB28" s="33"/>
      <c r="FC28" s="33"/>
      <c r="FD28" s="33"/>
      <c r="FE28" s="33"/>
      <c r="FF28" s="33"/>
      <c r="FG28" s="42"/>
      <c r="FH28" s="33"/>
      <c r="FI28" s="50"/>
      <c r="FJ28" s="50"/>
      <c r="FK28" s="50"/>
      <c r="FL28" s="50"/>
      <c r="FM28" s="42"/>
    </row>
    <row r="29" spans="1:169" ht="12.75" thickBot="1">
      <c r="A29" s="31" t="s">
        <v>4</v>
      </c>
      <c r="C29" s="49">
        <f>SUM(C8:C28)</f>
        <v>21820000</v>
      </c>
      <c r="D29" s="49">
        <f>SUM(D8:D28)</f>
        <v>4073350</v>
      </c>
      <c r="E29" s="49">
        <f>SUM(E8:E28)</f>
        <v>25893350</v>
      </c>
      <c r="F29" s="49">
        <f>SUM(F8:F28)</f>
        <v>1543345</v>
      </c>
      <c r="G29" s="49">
        <f>SUM(G8:G28)</f>
        <v>92257</v>
      </c>
      <c r="I29" s="49">
        <f>SUM(I8:I28)</f>
        <v>11844461.138000002</v>
      </c>
      <c r="J29" s="49">
        <f>SUM(J8:J28)</f>
        <v>2211119.879765</v>
      </c>
      <c r="K29" s="49">
        <f>SUM(K8:K28)</f>
        <v>14055581.017765</v>
      </c>
      <c r="L29" s="49">
        <f>SUM(L8:L28)</f>
        <v>837767.6386354998</v>
      </c>
      <c r="M29" s="49">
        <f>SUM(M8:M28)</f>
        <v>50079.48905629999</v>
      </c>
      <c r="O29" s="49">
        <f>SUM(O8:O28)</f>
        <v>9975538.862</v>
      </c>
      <c r="P29" s="49">
        <f>SUM(P8:P28)</f>
        <v>1862230.1202350003</v>
      </c>
      <c r="Q29" s="49">
        <f>SUM(Q8:Q28)</f>
        <v>11837768.982235</v>
      </c>
      <c r="R29" s="49">
        <f>SUM(R8:R28)</f>
        <v>705577.3613645002</v>
      </c>
      <c r="S29" s="49">
        <f>SUM(S8:S28)</f>
        <v>42177.51094370001</v>
      </c>
      <c r="U29" s="49">
        <f>SUM(U8:U28)</f>
        <v>1783217.6800000002</v>
      </c>
      <c r="V29" s="49">
        <f>SUM(V8:V28)</f>
        <v>332890.4554</v>
      </c>
      <c r="W29" s="49">
        <f>SUM(W8:W28)</f>
        <v>2116108.1353999996</v>
      </c>
      <c r="X29" s="49">
        <f>SUM(X8:X28)</f>
        <v>126128.32678000003</v>
      </c>
      <c r="Y29" s="49">
        <f>SUM(Y8:Y28)</f>
        <v>7539.611068000002</v>
      </c>
      <c r="AA29" s="49">
        <f>SUM(AA8:AA28)</f>
        <v>1299699.572</v>
      </c>
      <c r="AB29" s="49">
        <f>SUM(AB8:AB28)</f>
        <v>242627.46341000003</v>
      </c>
      <c r="AC29" s="49">
        <f>SUM(AC8:AC28)</f>
        <v>1542327.03541</v>
      </c>
      <c r="AD29" s="49">
        <f>SUM(AD8:AD28)</f>
        <v>91928.72758699997</v>
      </c>
      <c r="AE29" s="49">
        <f>SUM(AE8:AE28)</f>
        <v>5495.2513022</v>
      </c>
      <c r="AG29" s="49">
        <f>SUM(AG8:AG28)</f>
        <v>689084.328</v>
      </c>
      <c r="AH29" s="49">
        <f>SUM(AH8:AH28)</f>
        <v>128638.02233999997</v>
      </c>
      <c r="AI29" s="49">
        <f>SUM(AI8:AI28)</f>
        <v>817722.3503400001</v>
      </c>
      <c r="AJ29" s="49">
        <f>SUM(AJ8:AJ28)</f>
        <v>48739.452438</v>
      </c>
      <c r="AK29" s="49">
        <f>SUM(AK8:AK28)</f>
        <v>2913.512962800001</v>
      </c>
      <c r="AM29" s="49">
        <f>SUM(AM8:AM28)</f>
        <v>501161.76</v>
      </c>
      <c r="AN29" s="49">
        <f>SUM(AN8:AN28)</f>
        <v>93556.70280000001</v>
      </c>
      <c r="AO29" s="49">
        <f>SUM(AO8:AO28)</f>
        <v>594718.4628</v>
      </c>
      <c r="AP29" s="49">
        <f>SUM(AP8:AP28)</f>
        <v>35447.54796</v>
      </c>
      <c r="AQ29" s="49">
        <f>SUM(AQ8:AQ28)</f>
        <v>2118.9587760000004</v>
      </c>
      <c r="AR29" s="33"/>
      <c r="AS29" s="49">
        <f>SUM(AS8:AS28)</f>
        <v>57406.238</v>
      </c>
      <c r="AT29" s="49">
        <f>SUM(AT8:AT28)</f>
        <v>10716.576514999999</v>
      </c>
      <c r="AU29" s="49">
        <f>SUM(AU8:AU28)</f>
        <v>68122.81451499999</v>
      </c>
      <c r="AV29" s="49">
        <f>SUM(AV8:AV28)</f>
        <v>4060.3863605000006</v>
      </c>
      <c r="AW29" s="49">
        <f>SUM(AW8:AW28)</f>
        <v>242.71894129999993</v>
      </c>
      <c r="AX29" s="33"/>
      <c r="AY29" s="49">
        <f>SUM(AY8:AY28)</f>
        <v>908211.678</v>
      </c>
      <c r="AZ29" s="49">
        <f>SUM(AZ8:AZ28)</f>
        <v>169544.63971499997</v>
      </c>
      <c r="BA29" s="49">
        <f>SUM(BA8:BA28)</f>
        <v>1077756.317715</v>
      </c>
      <c r="BB29" s="49">
        <f>SUM(BB8:BB28)</f>
        <v>64238.49460049999</v>
      </c>
      <c r="BC29" s="49">
        <f>SUM(BC8:BC28)</f>
        <v>3840.0038852999996</v>
      </c>
      <c r="BD29" s="33"/>
      <c r="BE29" s="49">
        <f>SUM(BE8:BE28)</f>
        <v>98454.022</v>
      </c>
      <c r="BF29" s="49">
        <f>SUM(BF8:BF28)</f>
        <v>18379.362535</v>
      </c>
      <c r="BG29" s="49">
        <f>SUM(BG8:BG28)</f>
        <v>116833.38453499998</v>
      </c>
      <c r="BH29" s="49">
        <f>SUM(BH8:BH28)</f>
        <v>6963.726974499999</v>
      </c>
      <c r="BI29" s="49">
        <f>SUM(BI8:BI28)</f>
        <v>416.2728096999999</v>
      </c>
      <c r="BJ29" s="33"/>
      <c r="BK29" s="49">
        <f>SUM(BK8:BK28)</f>
        <v>307982.754</v>
      </c>
      <c r="BL29" s="49">
        <f>SUM(BL8:BL28)</f>
        <v>57494.113244999986</v>
      </c>
      <c r="BM29" s="49">
        <f>SUM(BM8:BM28)</f>
        <v>365476.867245</v>
      </c>
      <c r="BN29" s="49">
        <f>SUM(BN8:BN28)</f>
        <v>21783.8516715</v>
      </c>
      <c r="BO29" s="49">
        <f>SUM(BO8:BO28)</f>
        <v>1302.1798779000003</v>
      </c>
      <c r="BP29" s="33"/>
      <c r="BQ29" s="49">
        <f>SUM(BQ8:BQ28)</f>
        <v>156185.378</v>
      </c>
      <c r="BR29" s="49">
        <f>SUM(BR8:BR28)</f>
        <v>29156.631965000004</v>
      </c>
      <c r="BS29" s="49">
        <f>SUM(BS8:BS28)</f>
        <v>185342.009965</v>
      </c>
      <c r="BT29" s="49">
        <f>SUM(BT8:BT28)</f>
        <v>11047.1091755</v>
      </c>
      <c r="BU29" s="49">
        <f>SUM(BU8:BU28)</f>
        <v>660.3663803000002</v>
      </c>
      <c r="BV29" s="33"/>
      <c r="BW29" s="49">
        <f>SUM(BW8:BW28)</f>
        <v>30331.981999999996</v>
      </c>
      <c r="BX29" s="49">
        <f>SUM(BX8:BX28)</f>
        <v>5662.363835000001</v>
      </c>
      <c r="BY29" s="49">
        <f>SUM(BY8:BY28)</f>
        <v>35994.34583500001</v>
      </c>
      <c r="BZ29" s="49">
        <f>SUM(BZ8:BZ28)</f>
        <v>2145.4038844999995</v>
      </c>
      <c r="CA29" s="49">
        <f>SUM(CA8:CA28)</f>
        <v>128.2464557</v>
      </c>
      <c r="CB29" s="33"/>
      <c r="CC29" s="49">
        <f>SUM(CC8:CC28)</f>
        <v>120520.58800000002</v>
      </c>
      <c r="CD29" s="49">
        <f>SUM(CD8:CD28)</f>
        <v>22498.741390000003</v>
      </c>
      <c r="CE29" s="49">
        <f>SUM(CE8:CE28)</f>
        <v>143019.32939</v>
      </c>
      <c r="CF29" s="49">
        <f>SUM(CF8:CF28)</f>
        <v>8524.511772999998</v>
      </c>
      <c r="CG29" s="49">
        <f>SUM(CG8:CG28)</f>
        <v>509.57231379999996</v>
      </c>
      <c r="CH29" s="33"/>
      <c r="CI29" s="49">
        <f>SUM(CI8:CI28)</f>
        <v>293943.766</v>
      </c>
      <c r="CJ29" s="49">
        <f>SUM(CJ8:CJ28)</f>
        <v>54873.319854999994</v>
      </c>
      <c r="CK29" s="49">
        <f>SUM(CK8:CK28)</f>
        <v>348817.0858549999</v>
      </c>
      <c r="CL29" s="49">
        <f>SUM(CL8:CL28)</f>
        <v>20790.863498500003</v>
      </c>
      <c r="CM29" s="49">
        <f>SUM(CM8:CM28)</f>
        <v>1242.8217241000004</v>
      </c>
      <c r="CN29" s="33"/>
      <c r="CO29" s="49">
        <f>SUM(CO8:CO28)</f>
        <v>657925.368</v>
      </c>
      <c r="CP29" s="49">
        <f>SUM(CP8:CP28)</f>
        <v>122821.27853999997</v>
      </c>
      <c r="CQ29" s="49">
        <f>SUM(CQ8:CQ28)</f>
        <v>780746.64654</v>
      </c>
      <c r="CR29" s="49">
        <f>SUM(CR8:CR28)</f>
        <v>46535.555777999994</v>
      </c>
      <c r="CS29" s="49">
        <f>SUM(CS8:CS28)</f>
        <v>2781.7699668</v>
      </c>
      <c r="CT29" s="33"/>
      <c r="CU29" s="49">
        <f>SUM(CU8:CU28)</f>
        <v>99540.658</v>
      </c>
      <c r="CV29" s="49">
        <f>SUM(CV8:CV28)</f>
        <v>18582.215365</v>
      </c>
      <c r="CW29" s="49">
        <f>SUM(CW8:CW28)</f>
        <v>118122.873365</v>
      </c>
      <c r="CX29" s="49">
        <f>SUM(CX8:CX28)</f>
        <v>7040.585555499999</v>
      </c>
      <c r="CY29" s="49">
        <f>SUM(CY8:CY28)</f>
        <v>420.8672083000001</v>
      </c>
      <c r="CZ29" s="33"/>
      <c r="DA29" s="49">
        <f>SUM(DA8:DA28)</f>
        <v>286014.37799999997</v>
      </c>
      <c r="DB29" s="49">
        <f>SUM(DB8:DB28)</f>
        <v>53393.06446499999</v>
      </c>
      <c r="DC29" s="49">
        <f>SUM(DC8:DC28)</f>
        <v>339407.4424649999</v>
      </c>
      <c r="DD29" s="49">
        <f>SUM(DD8:DD28)</f>
        <v>20230.0119255</v>
      </c>
      <c r="DE29" s="49">
        <f>SUM(DE8:DE28)</f>
        <v>1209.2955303000003</v>
      </c>
      <c r="DF29" s="33"/>
      <c r="DG29" s="49">
        <f>SUM(DG8:DG28)</f>
        <v>11021.282</v>
      </c>
      <c r="DH29" s="49">
        <f>SUM(DH8:DH28)</f>
        <v>2057.449085</v>
      </c>
      <c r="DI29" s="49">
        <f>SUM(DI8:DI28)</f>
        <v>13078.731085</v>
      </c>
      <c r="DJ29" s="49">
        <f>SUM(DJ8:DJ28)</f>
        <v>779.5435595</v>
      </c>
      <c r="DK29" s="49">
        <f>SUM(DK8:DK28)</f>
        <v>46.599010699999994</v>
      </c>
      <c r="DL29" s="33"/>
      <c r="DM29" s="97">
        <f>SUM(DM8:DM28)</f>
        <v>603362.276</v>
      </c>
      <c r="DN29" s="97">
        <f>SUM(DN8:DN28)</f>
        <v>112635.45953000002</v>
      </c>
      <c r="DO29" s="97">
        <f>SUM(DO8:DO28)</f>
        <v>715997.73553</v>
      </c>
      <c r="DP29" s="97">
        <f>SUM(DP8:DP28)</f>
        <v>42676.267271</v>
      </c>
      <c r="DQ29" s="97">
        <f>SUM(DQ8:DQ28)</f>
        <v>2551.0721126000008</v>
      </c>
      <c r="DR29" s="33"/>
      <c r="DS29" s="49">
        <f>SUM(DS8:DS28)</f>
        <v>94991.188</v>
      </c>
      <c r="DT29" s="49">
        <f>SUM(DT8:DT28)</f>
        <v>17732.921889999998</v>
      </c>
      <c r="DU29" s="49">
        <f>SUM(DU8:DU28)</f>
        <v>112724.10988999999</v>
      </c>
      <c r="DV29" s="49">
        <f>SUM(DV8:DV28)</f>
        <v>6718.798123</v>
      </c>
      <c r="DW29" s="49">
        <f>SUM(DW8:DW28)</f>
        <v>401.6316237999999</v>
      </c>
      <c r="DX29" s="33"/>
      <c r="DY29" s="49">
        <f>SUM(DY8:DY28)</f>
        <v>488831.27799999993</v>
      </c>
      <c r="DZ29" s="49">
        <f>SUM(DZ8:DZ28)</f>
        <v>91254.85271500002</v>
      </c>
      <c r="EA29" s="49">
        <f>SUM(EA8:EA28)</f>
        <v>580086.130715</v>
      </c>
      <c r="EB29" s="49">
        <f>SUM(EB8:EB28)</f>
        <v>34575.40370050001</v>
      </c>
      <c r="EC29" s="49">
        <f>SUM(EC8:EC28)</f>
        <v>2066.8243453000005</v>
      </c>
      <c r="ED29" s="33"/>
      <c r="EE29" s="49">
        <f>SUM(EE8:EE28)</f>
        <v>139556.35600000003</v>
      </c>
      <c r="EF29" s="49">
        <f>SUM(EF8:EF28)</f>
        <v>26052.331930000004</v>
      </c>
      <c r="EG29" s="49">
        <f>SUM(EG8:EG28)</f>
        <v>165608.68793</v>
      </c>
      <c r="EH29" s="49">
        <f>SUM(EH8:EH28)</f>
        <v>9870.925951000001</v>
      </c>
      <c r="EI29" s="49">
        <f>SUM(EI8:EI28)</f>
        <v>590.0573206</v>
      </c>
      <c r="EJ29" s="33"/>
      <c r="EK29" s="49">
        <f>SUM(EK8:EK28)</f>
        <v>1400.8440000000003</v>
      </c>
      <c r="EL29" s="49">
        <f>SUM(EL8:EL28)</f>
        <v>261.50907</v>
      </c>
      <c r="EM29" s="49">
        <f>SUM(EM8:EM28)</f>
        <v>1662.35307</v>
      </c>
      <c r="EN29" s="49">
        <f>SUM(EN8:EN28)</f>
        <v>99.08274899999998</v>
      </c>
      <c r="EO29" s="49">
        <f>SUM(EO8:EO28)</f>
        <v>5.9228994</v>
      </c>
      <c r="EP29" s="33"/>
      <c r="EQ29" s="49">
        <f>SUM(EQ8:EQ28)</f>
        <v>2600.944</v>
      </c>
      <c r="ER29" s="49">
        <f>SUM(ER8:ER28)</f>
        <v>485.54332</v>
      </c>
      <c r="ES29" s="49">
        <f>SUM(ES8:ES28)</f>
        <v>3086.4873199999997</v>
      </c>
      <c r="ET29" s="49">
        <f>SUM(ET8:ET28)</f>
        <v>183.966724</v>
      </c>
      <c r="EU29" s="49">
        <f>SUM(EU8:EU28)</f>
        <v>10.9970344</v>
      </c>
      <c r="EV29" s="33"/>
      <c r="EW29" s="49">
        <f>SUM(EW8:EW28)</f>
        <v>470168.63200000004</v>
      </c>
      <c r="EX29" s="49">
        <f>SUM(EX8:EX28)</f>
        <v>87770.91646000001</v>
      </c>
      <c r="EY29" s="49">
        <f>SUM(EY8:EY28)</f>
        <v>557939.5484600001</v>
      </c>
      <c r="EZ29" s="49">
        <f>SUM(EZ8:EZ28)</f>
        <v>33255.380722</v>
      </c>
      <c r="FA29" s="49">
        <f>SUM(FA8:FA28)</f>
        <v>1987.9169331999994</v>
      </c>
      <c r="FB29" s="33"/>
      <c r="FC29" s="49">
        <f>SUM(FC8:FC28)</f>
        <v>873925.912</v>
      </c>
      <c r="FD29" s="49">
        <f>SUM(FD8:FD28)</f>
        <v>163144.18486000004</v>
      </c>
      <c r="FE29" s="49">
        <f>SUM(FE8:FE28)</f>
        <v>1037070.09686</v>
      </c>
      <c r="FF29" s="49">
        <f>SUM(FF8:FF28)</f>
        <v>61813.43660199999</v>
      </c>
      <c r="FG29" s="49">
        <f>SUM(FG8:FG28)</f>
        <v>3695.0404611999998</v>
      </c>
      <c r="FH29" s="33"/>
      <c r="FI29" s="49">
        <f>SUM(FI8:FI28)</f>
        <v>0</v>
      </c>
      <c r="FJ29" s="49">
        <f>SUM(FJ8:FJ28)</f>
        <v>0</v>
      </c>
      <c r="FK29" s="49">
        <f>SUM(FK8:IV28)</f>
        <v>0</v>
      </c>
      <c r="FL29" s="42"/>
      <c r="FM29" s="49">
        <f>SUM(FM8:FM28)</f>
        <v>0</v>
      </c>
    </row>
    <row r="30" spans="33:43" ht="12.75" thickTop="1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16:43" ht="12">
      <c r="P31" s="33"/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33:43" ht="12"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33:43" ht="12"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33:43" ht="12"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33:43" ht="12"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1:168" ht="12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M51" s="20"/>
      <c r="AN51" s="20"/>
      <c r="AO51" s="20"/>
      <c r="AP51" s="20"/>
      <c r="AQ51" s="20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M52" s="20"/>
      <c r="AN52" s="20"/>
      <c r="AO52" s="20"/>
      <c r="AP52" s="20"/>
      <c r="AQ52" s="20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M53" s="20"/>
      <c r="AN53" s="20"/>
      <c r="AO53" s="20"/>
      <c r="AP53" s="20"/>
      <c r="AQ53" s="20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M54" s="20"/>
      <c r="AN54" s="20"/>
      <c r="AO54" s="20"/>
      <c r="AP54" s="20"/>
      <c r="AQ54" s="20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M55" s="20"/>
      <c r="AN55" s="20"/>
      <c r="AO55" s="20"/>
      <c r="AP55" s="20"/>
      <c r="AQ55" s="20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M56" s="20"/>
      <c r="AN56" s="20"/>
      <c r="AO56" s="20"/>
      <c r="AP56" s="20"/>
      <c r="AQ56" s="20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</row>
    <row r="64" spans="1:168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33"/>
      <c r="AH64" s="33"/>
      <c r="AI64" s="33"/>
      <c r="AJ64" s="33"/>
      <c r="AK64" s="3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</row>
    <row r="65" spans="1:168" ht="12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33"/>
      <c r="AH65" s="33"/>
      <c r="AI65" s="33"/>
      <c r="AJ65" s="33"/>
      <c r="AK65" s="33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</row>
    <row r="66" spans="1:168" ht="12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AG66" s="33"/>
      <c r="AH66" s="33"/>
      <c r="AI66" s="33"/>
      <c r="AJ66" s="33"/>
      <c r="AK66" s="33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</row>
    <row r="67" spans="1:168" ht="12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AG67" s="33"/>
      <c r="AH67" s="33"/>
      <c r="AI67" s="33"/>
      <c r="AJ67" s="33"/>
      <c r="AK67" s="33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</row>
    <row r="68" spans="1:168" ht="12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AG68" s="33"/>
      <c r="AH68" s="33"/>
      <c r="AI68" s="33"/>
      <c r="AJ68" s="33"/>
      <c r="AK68" s="33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</row>
    <row r="69" spans="1:168" ht="12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AG69" s="33"/>
      <c r="AH69" s="33"/>
      <c r="AI69" s="33"/>
      <c r="AJ69" s="33"/>
      <c r="AK69" s="33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</row>
  </sheetData>
  <sheetProtection/>
  <printOptions/>
  <pageMargins left="0.7" right="0.7" top="0.75" bottom="0.75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I69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">
      <c r="A2" s="44"/>
      <c r="B2" s="30"/>
      <c r="C2" s="43"/>
      <c r="D2" s="45"/>
      <c r="E2" s="43" t="s">
        <v>178</v>
      </c>
      <c r="G2" s="45"/>
      <c r="H2" s="45"/>
      <c r="I2" s="36"/>
      <c r="K2" s="45"/>
      <c r="O2" s="43" t="str">
        <f>E2</f>
        <v>Distribution of Debt Services after 2010C Bond Issue</v>
      </c>
      <c r="W2" s="45"/>
      <c r="AA2" s="43" t="str">
        <f>O2</f>
        <v>Distribution of Debt Services after 2010C Bond Issue</v>
      </c>
      <c r="AE2"/>
      <c r="AF2"/>
      <c r="AG2"/>
      <c r="AI2" s="45"/>
      <c r="AJ2"/>
      <c r="AK2"/>
      <c r="AL2"/>
      <c r="AM2" s="43" t="str">
        <f>AA2</f>
        <v>Distribution of Debt Services after 2010C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2010C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2010C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2010C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2010C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2010C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2010C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2010C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2010C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">
      <c r="A4" s="44"/>
      <c r="B4" s="30"/>
    </row>
    <row r="5" spans="1:211" ht="12">
      <c r="A5" s="22" t="s">
        <v>9</v>
      </c>
      <c r="C5" s="76" t="s">
        <v>179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">
      <c r="A6" s="46" t="s">
        <v>10</v>
      </c>
      <c r="C6" s="40"/>
      <c r="D6" s="61">
        <v>1</v>
      </c>
      <c r="E6" s="39"/>
      <c r="F6" s="41" t="s">
        <v>168</v>
      </c>
      <c r="G6" s="41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41" t="s">
        <v>176</v>
      </c>
      <c r="N6" s="33"/>
      <c r="O6" s="40"/>
      <c r="P6" s="53">
        <v>0.0661452</v>
      </c>
      <c r="Q6" s="39"/>
      <c r="R6" s="41" t="s">
        <v>168</v>
      </c>
      <c r="S6" s="41" t="s">
        <v>176</v>
      </c>
      <c r="T6" s="33"/>
      <c r="U6" s="40"/>
      <c r="V6" s="53">
        <v>0.0011296</v>
      </c>
      <c r="W6" s="39"/>
      <c r="X6" s="41" t="s">
        <v>168</v>
      </c>
      <c r="Y6" s="41" t="s">
        <v>176</v>
      </c>
      <c r="Z6" s="33"/>
      <c r="AA6" s="40"/>
      <c r="AB6" s="53">
        <v>0.0050994</v>
      </c>
      <c r="AC6" s="39"/>
      <c r="AD6" s="41" t="s">
        <v>168</v>
      </c>
      <c r="AE6" s="41" t="s">
        <v>176</v>
      </c>
      <c r="AF6" s="33"/>
      <c r="AG6" s="40"/>
      <c r="AH6" s="53">
        <v>0.0886797</v>
      </c>
      <c r="AI6" s="39"/>
      <c r="AJ6" s="41" t="s">
        <v>168</v>
      </c>
      <c r="AK6" s="41" t="s">
        <v>176</v>
      </c>
      <c r="AL6" s="33"/>
      <c r="AM6" s="40"/>
      <c r="AN6" s="53">
        <v>0.0010742</v>
      </c>
      <c r="AO6" s="39"/>
      <c r="AP6" s="41" t="s">
        <v>168</v>
      </c>
      <c r="AQ6" s="41" t="s">
        <v>176</v>
      </c>
      <c r="AR6" s="63"/>
      <c r="AS6" s="40"/>
      <c r="AT6" s="53">
        <v>0.0009059</v>
      </c>
      <c r="AU6" s="39"/>
      <c r="AV6" s="41" t="s">
        <v>168</v>
      </c>
      <c r="AW6" s="41" t="s">
        <v>176</v>
      </c>
      <c r="AX6" s="33"/>
      <c r="AY6" s="40"/>
      <c r="AZ6" s="53">
        <v>0.0371668</v>
      </c>
      <c r="BA6" s="39"/>
      <c r="BB6" s="41" t="s">
        <v>168</v>
      </c>
      <c r="BC6" s="41" t="s">
        <v>176</v>
      </c>
      <c r="BD6" s="33"/>
      <c r="BE6" s="40"/>
      <c r="BF6" s="53">
        <v>0.0762623</v>
      </c>
      <c r="BG6" s="39"/>
      <c r="BH6" s="41" t="s">
        <v>168</v>
      </c>
      <c r="BI6" s="41" t="s">
        <v>176</v>
      </c>
      <c r="BJ6" s="33"/>
      <c r="BK6" s="40"/>
      <c r="BL6" s="53">
        <v>0.0008804</v>
      </c>
      <c r="BM6" s="39"/>
      <c r="BN6" s="41" t="s">
        <v>168</v>
      </c>
      <c r="BO6" s="41" t="s">
        <v>176</v>
      </c>
      <c r="BP6" s="33"/>
      <c r="BQ6" s="40"/>
      <c r="BR6" s="53">
        <v>0.0005914</v>
      </c>
      <c r="BS6" s="39"/>
      <c r="BT6" s="41" t="s">
        <v>168</v>
      </c>
      <c r="BU6" s="41" t="s">
        <v>176</v>
      </c>
      <c r="BV6" s="33"/>
      <c r="BW6" s="40"/>
      <c r="BX6" s="53">
        <v>-8.81E-05</v>
      </c>
      <c r="BY6" s="39"/>
      <c r="BZ6" s="41" t="s">
        <v>168</v>
      </c>
      <c r="CA6" s="41" t="s">
        <v>176</v>
      </c>
      <c r="CB6" s="63"/>
      <c r="CC6" s="40"/>
      <c r="CD6" s="53">
        <v>-5.74E-05</v>
      </c>
      <c r="CE6" s="39"/>
      <c r="CF6" s="41" t="s">
        <v>168</v>
      </c>
      <c r="CG6" s="41" t="s">
        <v>176</v>
      </c>
      <c r="CH6" s="33"/>
      <c r="CI6" s="40"/>
      <c r="CJ6" s="53">
        <v>0.0021346</v>
      </c>
      <c r="CK6" s="39"/>
      <c r="CL6" s="41" t="s">
        <v>168</v>
      </c>
      <c r="CM6" s="41" t="s">
        <v>176</v>
      </c>
      <c r="CN6" s="33"/>
      <c r="CO6" s="40"/>
      <c r="CP6" s="53">
        <v>0.013127</v>
      </c>
      <c r="CQ6" s="39"/>
      <c r="CR6" s="41" t="s">
        <v>168</v>
      </c>
      <c r="CS6" s="41" t="s">
        <v>176</v>
      </c>
      <c r="CT6" s="33"/>
      <c r="CU6" s="40"/>
      <c r="CV6" s="53">
        <v>0.0881851</v>
      </c>
      <c r="CW6" s="39"/>
      <c r="CX6" s="41" t="s">
        <v>168</v>
      </c>
      <c r="CY6" s="41" t="s">
        <v>176</v>
      </c>
      <c r="CZ6" s="33"/>
      <c r="DA6" s="40"/>
      <c r="DB6" s="53">
        <v>0.0127232</v>
      </c>
      <c r="DC6" s="39"/>
      <c r="DD6" s="41" t="s">
        <v>168</v>
      </c>
      <c r="DE6" s="41" t="s">
        <v>176</v>
      </c>
      <c r="DF6" s="33"/>
      <c r="DG6" s="40"/>
      <c r="DH6" s="53">
        <v>0.0259972</v>
      </c>
      <c r="DI6" s="39"/>
      <c r="DJ6" s="41" t="s">
        <v>168</v>
      </c>
      <c r="DK6" s="41" t="s">
        <v>176</v>
      </c>
      <c r="DL6" s="33"/>
      <c r="DM6" s="40"/>
      <c r="DN6" s="53">
        <v>0.0042162</v>
      </c>
      <c r="DO6" s="39"/>
      <c r="DP6" s="41" t="s">
        <v>168</v>
      </c>
      <c r="DQ6" s="41" t="s">
        <v>176</v>
      </c>
      <c r="DR6" s="33"/>
      <c r="DS6" s="40"/>
      <c r="DT6" s="53">
        <v>0.0216282</v>
      </c>
      <c r="DU6" s="39"/>
      <c r="DV6" s="41" t="s">
        <v>168</v>
      </c>
      <c r="DW6" s="41" t="s">
        <v>176</v>
      </c>
      <c r="DX6" s="33"/>
      <c r="DY6" s="40"/>
      <c r="DZ6" s="53">
        <v>0.0001933</v>
      </c>
      <c r="EA6" s="39"/>
      <c r="EB6" s="41" t="s">
        <v>168</v>
      </c>
      <c r="EC6" s="41" t="s">
        <v>176</v>
      </c>
      <c r="ED6" s="33"/>
      <c r="EE6" s="40"/>
      <c r="EF6" s="53">
        <v>0.0002544</v>
      </c>
      <c r="EG6" s="39"/>
      <c r="EH6" s="41" t="s">
        <v>168</v>
      </c>
      <c r="EI6" s="41" t="s">
        <v>176</v>
      </c>
      <c r="EJ6" s="33"/>
      <c r="EK6" s="40"/>
      <c r="EL6" s="53">
        <v>0.0128187</v>
      </c>
      <c r="EM6" s="39"/>
      <c r="EN6" s="41" t="s">
        <v>168</v>
      </c>
      <c r="EO6" s="41" t="s">
        <v>176</v>
      </c>
      <c r="EP6" s="33"/>
      <c r="EQ6" s="40"/>
      <c r="ER6" s="53">
        <v>0.000244</v>
      </c>
      <c r="ES6" s="39"/>
      <c r="ET6" s="41" t="s">
        <v>168</v>
      </c>
      <c r="EU6" s="41" t="s">
        <v>176</v>
      </c>
      <c r="EV6" s="33"/>
      <c r="EW6" s="40"/>
      <c r="EX6" s="53">
        <v>0.0036459</v>
      </c>
      <c r="EY6" s="39"/>
      <c r="EZ6" s="41" t="s">
        <v>168</v>
      </c>
      <c r="FA6" s="41" t="s">
        <v>176</v>
      </c>
      <c r="FB6" s="33"/>
      <c r="FC6" s="40"/>
      <c r="FD6" s="53">
        <v>0.0025327</v>
      </c>
      <c r="FE6" s="39"/>
      <c r="FF6" s="41" t="s">
        <v>168</v>
      </c>
      <c r="FG6" s="41" t="s">
        <v>176</v>
      </c>
      <c r="FH6" s="33"/>
      <c r="FI6" s="40"/>
      <c r="FJ6" s="53">
        <v>0.0009887</v>
      </c>
      <c r="FK6" s="39"/>
      <c r="FL6" s="41" t="s">
        <v>168</v>
      </c>
      <c r="FM6" s="41" t="s">
        <v>176</v>
      </c>
      <c r="FN6" s="33"/>
      <c r="FO6" s="40"/>
      <c r="FP6" s="53">
        <v>0.0111111</v>
      </c>
      <c r="FQ6" s="39"/>
      <c r="FR6" s="41" t="s">
        <v>168</v>
      </c>
      <c r="FS6" s="41" t="s">
        <v>176</v>
      </c>
      <c r="FT6" s="33"/>
      <c r="FU6" s="40"/>
      <c r="FV6" s="53">
        <v>0.0250422</v>
      </c>
      <c r="FW6" s="39"/>
      <c r="FX6" s="41" t="s">
        <v>168</v>
      </c>
      <c r="FY6" s="41" t="s">
        <v>176</v>
      </c>
      <c r="FZ6" s="33"/>
      <c r="GA6" s="40"/>
      <c r="GB6" s="53">
        <v>0.0031957</v>
      </c>
      <c r="GC6" s="39"/>
      <c r="GD6" s="41" t="s">
        <v>168</v>
      </c>
      <c r="GE6" s="41" t="s">
        <v>176</v>
      </c>
      <c r="GF6" s="33"/>
      <c r="GG6" s="40"/>
      <c r="GH6" s="53">
        <v>0.0050748</v>
      </c>
      <c r="GI6" s="39"/>
      <c r="GJ6" s="41" t="s">
        <v>168</v>
      </c>
      <c r="GK6" s="41" t="s">
        <v>176</v>
      </c>
      <c r="GL6" s="33"/>
      <c r="GM6" s="40"/>
      <c r="GN6" s="53">
        <v>0.0235189</v>
      </c>
      <c r="GO6" s="39"/>
      <c r="GP6" s="41" t="s">
        <v>168</v>
      </c>
      <c r="GQ6" s="41" t="s">
        <v>176</v>
      </c>
      <c r="GR6" s="33"/>
      <c r="GS6" s="40"/>
      <c r="GT6" s="53">
        <v>0.0012482</v>
      </c>
      <c r="GU6" s="39"/>
      <c r="GV6" s="41" t="s">
        <v>168</v>
      </c>
      <c r="GW6" s="41" t="s">
        <v>176</v>
      </c>
      <c r="GX6" s="33"/>
      <c r="GY6" s="40"/>
      <c r="GZ6" s="53">
        <v>0.0071564</v>
      </c>
      <c r="HA6" s="39"/>
      <c r="HB6" s="41" t="s">
        <v>168</v>
      </c>
      <c r="HC6" s="41" t="s">
        <v>176</v>
      </c>
      <c r="HD6" s="33"/>
    </row>
    <row r="7" spans="1:211" ht="12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41" t="s">
        <v>170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170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170</v>
      </c>
      <c r="U7" s="41" t="s">
        <v>11</v>
      </c>
      <c r="V7" s="41" t="s">
        <v>12</v>
      </c>
      <c r="W7" s="41" t="s">
        <v>4</v>
      </c>
      <c r="X7" s="41" t="s">
        <v>169</v>
      </c>
      <c r="Y7" s="41" t="s">
        <v>170</v>
      </c>
      <c r="AA7" s="41" t="s">
        <v>11</v>
      </c>
      <c r="AB7" s="41" t="s">
        <v>12</v>
      </c>
      <c r="AC7" s="41" t="s">
        <v>4</v>
      </c>
      <c r="AD7" s="41" t="s">
        <v>169</v>
      </c>
      <c r="AE7" s="41" t="s">
        <v>170</v>
      </c>
      <c r="AG7" s="41" t="s">
        <v>11</v>
      </c>
      <c r="AH7" s="41" t="s">
        <v>12</v>
      </c>
      <c r="AI7" s="41" t="s">
        <v>4</v>
      </c>
      <c r="AJ7" s="41" t="s">
        <v>169</v>
      </c>
      <c r="AK7" s="41" t="s">
        <v>170</v>
      </c>
      <c r="AM7" s="41" t="s">
        <v>11</v>
      </c>
      <c r="AN7" s="41" t="s">
        <v>12</v>
      </c>
      <c r="AO7" s="41" t="s">
        <v>4</v>
      </c>
      <c r="AP7" s="41" t="s">
        <v>169</v>
      </c>
      <c r="AQ7" s="41" t="s">
        <v>170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41" t="s">
        <v>170</v>
      </c>
      <c r="AY7" s="41" t="s">
        <v>11</v>
      </c>
      <c r="AZ7" s="41" t="s">
        <v>12</v>
      </c>
      <c r="BA7" s="41" t="s">
        <v>4</v>
      </c>
      <c r="BB7" s="41" t="s">
        <v>169</v>
      </c>
      <c r="BC7" s="41" t="s">
        <v>170</v>
      </c>
      <c r="BE7" s="41" t="s">
        <v>11</v>
      </c>
      <c r="BF7" s="41" t="s">
        <v>12</v>
      </c>
      <c r="BG7" s="41" t="s">
        <v>4</v>
      </c>
      <c r="BH7" s="41" t="s">
        <v>169</v>
      </c>
      <c r="BI7" s="41" t="s">
        <v>170</v>
      </c>
      <c r="BK7" s="41" t="s">
        <v>11</v>
      </c>
      <c r="BL7" s="41" t="s">
        <v>12</v>
      </c>
      <c r="BM7" s="41" t="s">
        <v>4</v>
      </c>
      <c r="BN7" s="41" t="s">
        <v>169</v>
      </c>
      <c r="BO7" s="41" t="s">
        <v>170</v>
      </c>
      <c r="BQ7" s="41" t="s">
        <v>11</v>
      </c>
      <c r="BR7" s="41" t="s">
        <v>12</v>
      </c>
      <c r="BS7" s="41" t="s">
        <v>4</v>
      </c>
      <c r="BT7" s="41" t="s">
        <v>169</v>
      </c>
      <c r="BU7" s="41" t="s">
        <v>170</v>
      </c>
      <c r="BW7" s="41" t="s">
        <v>11</v>
      </c>
      <c r="BX7" s="41" t="s">
        <v>12</v>
      </c>
      <c r="BY7" s="41" t="s">
        <v>4</v>
      </c>
      <c r="BZ7" s="41" t="s">
        <v>169</v>
      </c>
      <c r="CA7" s="41" t="s">
        <v>170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41" t="s">
        <v>170</v>
      </c>
      <c r="CI7" s="41" t="s">
        <v>11</v>
      </c>
      <c r="CJ7" s="41" t="s">
        <v>12</v>
      </c>
      <c r="CK7" s="41" t="s">
        <v>4</v>
      </c>
      <c r="CL7" s="41" t="s">
        <v>169</v>
      </c>
      <c r="CM7" s="41" t="s">
        <v>170</v>
      </c>
      <c r="CO7" s="41" t="s">
        <v>11</v>
      </c>
      <c r="CP7" s="41" t="s">
        <v>12</v>
      </c>
      <c r="CQ7" s="41" t="s">
        <v>4</v>
      </c>
      <c r="CR7" s="41" t="s">
        <v>169</v>
      </c>
      <c r="CS7" s="41" t="s">
        <v>170</v>
      </c>
      <c r="CU7" s="41" t="s">
        <v>11</v>
      </c>
      <c r="CV7" s="41" t="s">
        <v>12</v>
      </c>
      <c r="CW7" s="41" t="s">
        <v>4</v>
      </c>
      <c r="CX7" s="41" t="s">
        <v>169</v>
      </c>
      <c r="CY7" s="41" t="s">
        <v>170</v>
      </c>
      <c r="DA7" s="41" t="s">
        <v>11</v>
      </c>
      <c r="DB7" s="41" t="s">
        <v>12</v>
      </c>
      <c r="DC7" s="41" t="s">
        <v>4</v>
      </c>
      <c r="DD7" s="41" t="s">
        <v>169</v>
      </c>
      <c r="DE7" s="41" t="s">
        <v>170</v>
      </c>
      <c r="DG7" s="41" t="s">
        <v>11</v>
      </c>
      <c r="DH7" s="41" t="s">
        <v>12</v>
      </c>
      <c r="DI7" s="41" t="s">
        <v>4</v>
      </c>
      <c r="DJ7" s="41" t="s">
        <v>169</v>
      </c>
      <c r="DK7" s="41" t="s">
        <v>170</v>
      </c>
      <c r="DM7" s="41" t="s">
        <v>11</v>
      </c>
      <c r="DN7" s="41" t="s">
        <v>12</v>
      </c>
      <c r="DO7" s="41" t="s">
        <v>4</v>
      </c>
      <c r="DP7" s="41" t="s">
        <v>169</v>
      </c>
      <c r="DQ7" s="41" t="s">
        <v>170</v>
      </c>
      <c r="DS7" s="41" t="s">
        <v>11</v>
      </c>
      <c r="DT7" s="41" t="s">
        <v>12</v>
      </c>
      <c r="DU7" s="41" t="s">
        <v>4</v>
      </c>
      <c r="DV7" s="41" t="s">
        <v>169</v>
      </c>
      <c r="DW7" s="41" t="s">
        <v>170</v>
      </c>
      <c r="DY7" s="41" t="s">
        <v>11</v>
      </c>
      <c r="DZ7" s="41" t="s">
        <v>12</v>
      </c>
      <c r="EA7" s="41" t="s">
        <v>4</v>
      </c>
      <c r="EB7" s="41" t="s">
        <v>169</v>
      </c>
      <c r="EC7" s="41" t="s">
        <v>170</v>
      </c>
      <c r="EE7" s="41" t="s">
        <v>11</v>
      </c>
      <c r="EF7" s="41" t="s">
        <v>12</v>
      </c>
      <c r="EG7" s="41" t="s">
        <v>4</v>
      </c>
      <c r="EH7" s="41" t="s">
        <v>169</v>
      </c>
      <c r="EI7" s="41" t="s">
        <v>170</v>
      </c>
      <c r="EK7" s="41" t="s">
        <v>11</v>
      </c>
      <c r="EL7" s="41" t="s">
        <v>12</v>
      </c>
      <c r="EM7" s="41" t="s">
        <v>4</v>
      </c>
      <c r="EN7" s="41" t="s">
        <v>169</v>
      </c>
      <c r="EO7" s="41" t="s">
        <v>170</v>
      </c>
      <c r="EQ7" s="41" t="s">
        <v>11</v>
      </c>
      <c r="ER7" s="41" t="s">
        <v>12</v>
      </c>
      <c r="ES7" s="41" t="s">
        <v>4</v>
      </c>
      <c r="ET7" s="41" t="s">
        <v>169</v>
      </c>
      <c r="EU7" s="41" t="s">
        <v>170</v>
      </c>
      <c r="EW7" s="41" t="s">
        <v>11</v>
      </c>
      <c r="EX7" s="41" t="s">
        <v>12</v>
      </c>
      <c r="EY7" s="41" t="s">
        <v>4</v>
      </c>
      <c r="EZ7" s="41" t="s">
        <v>169</v>
      </c>
      <c r="FA7" s="41" t="s">
        <v>170</v>
      </c>
      <c r="FC7" s="41" t="s">
        <v>11</v>
      </c>
      <c r="FD7" s="41" t="s">
        <v>12</v>
      </c>
      <c r="FE7" s="41" t="s">
        <v>4</v>
      </c>
      <c r="FF7" s="41" t="s">
        <v>169</v>
      </c>
      <c r="FG7" s="41" t="s">
        <v>170</v>
      </c>
      <c r="FI7" s="41" t="s">
        <v>11</v>
      </c>
      <c r="FJ7" s="41" t="s">
        <v>12</v>
      </c>
      <c r="FK7" s="41" t="s">
        <v>4</v>
      </c>
      <c r="FL7" s="41" t="s">
        <v>169</v>
      </c>
      <c r="FM7" s="41" t="s">
        <v>170</v>
      </c>
      <c r="FO7" s="41" t="s">
        <v>11</v>
      </c>
      <c r="FP7" s="41" t="s">
        <v>12</v>
      </c>
      <c r="FQ7" s="41" t="s">
        <v>4</v>
      </c>
      <c r="FR7" s="41" t="s">
        <v>169</v>
      </c>
      <c r="FS7" s="41" t="s">
        <v>170</v>
      </c>
      <c r="FU7" s="41" t="s">
        <v>11</v>
      </c>
      <c r="FV7" s="41" t="s">
        <v>12</v>
      </c>
      <c r="FW7" s="41" t="s">
        <v>4</v>
      </c>
      <c r="FX7" s="41" t="s">
        <v>169</v>
      </c>
      <c r="FY7" s="41" t="s">
        <v>170</v>
      </c>
      <c r="GA7" s="41" t="s">
        <v>11</v>
      </c>
      <c r="GB7" s="41" t="s">
        <v>12</v>
      </c>
      <c r="GC7" s="41" t="s">
        <v>4</v>
      </c>
      <c r="GD7" s="41" t="s">
        <v>169</v>
      </c>
      <c r="GE7" s="41" t="s">
        <v>170</v>
      </c>
      <c r="GG7" s="41" t="s">
        <v>11</v>
      </c>
      <c r="GH7" s="41" t="s">
        <v>12</v>
      </c>
      <c r="GI7" s="41" t="s">
        <v>4</v>
      </c>
      <c r="GJ7" s="41" t="s">
        <v>169</v>
      </c>
      <c r="GK7" s="41" t="s">
        <v>170</v>
      </c>
      <c r="GM7" s="41" t="s">
        <v>11</v>
      </c>
      <c r="GN7" s="41" t="s">
        <v>12</v>
      </c>
      <c r="GO7" s="41" t="s">
        <v>4</v>
      </c>
      <c r="GP7" s="41" t="s">
        <v>169</v>
      </c>
      <c r="GQ7" s="41" t="s">
        <v>170</v>
      </c>
      <c r="GS7" s="41" t="s">
        <v>11</v>
      </c>
      <c r="GT7" s="41" t="s">
        <v>12</v>
      </c>
      <c r="GU7" s="41" t="s">
        <v>4</v>
      </c>
      <c r="GV7" s="41" t="s">
        <v>169</v>
      </c>
      <c r="GW7" s="41" t="s">
        <v>170</v>
      </c>
      <c r="GY7" s="41" t="s">
        <v>11</v>
      </c>
      <c r="GZ7" s="41" t="s">
        <v>12</v>
      </c>
      <c r="HA7" s="41" t="s">
        <v>4</v>
      </c>
      <c r="HB7" s="41" t="s">
        <v>169</v>
      </c>
      <c r="HC7" s="41" t="s">
        <v>170</v>
      </c>
    </row>
    <row r="8" spans="1:217" ht="12">
      <c r="A8" s="19">
        <v>41913</v>
      </c>
      <c r="C8" s="36"/>
      <c r="D8" s="36">
        <v>413075</v>
      </c>
      <c r="E8" s="77">
        <f aca="true" t="shared" si="0" ref="E8:E27">C8+D8</f>
        <v>413075</v>
      </c>
      <c r="F8" s="77">
        <v>110239</v>
      </c>
      <c r="G8" s="77">
        <v>6590</v>
      </c>
      <c r="H8" s="78"/>
      <c r="I8" s="79"/>
      <c r="J8" s="79">
        <f aca="true" t="shared" si="1" ref="J8:J27">P8+V8+AB8+AH8+AN8+AT8+AZ8+BF8+BL8+BR8+BX8+CD8+CJ8+CP8+CV8+DB8+DH8+DN8+DT8+DZ8+EF8+EL8+ER8+EX8+FD8+FJ8+FP8+FV8+GB8+GH8+GN8+GT8+GZ8</f>
        <v>224227.80864250005</v>
      </c>
      <c r="K8" s="79">
        <f aca="true" t="shared" si="2" ref="K8:K27">I8+J8</f>
        <v>224227.80864250005</v>
      </c>
      <c r="L8" s="79">
        <f aca="true" t="shared" si="3" ref="L8:M27">R8+X8+AD8+AJ8+AP8+AV8+BB8+BH8+BN8+BT8+BZ8+CF8+CL8+CR8+CX8+DD8+DJ8+DP8+DV8+EB8+EH8+EN8+ET8+EZ8+FF8+FL8+FR8+FX8+GD8+GJ8+GP8+GV8+HB8</f>
        <v>59840.5843901</v>
      </c>
      <c r="M8" s="79">
        <f t="shared" si="3"/>
        <v>3577.2226809999993</v>
      </c>
      <c r="N8" s="78"/>
      <c r="O8" s="78"/>
      <c r="P8" s="78">
        <f aca="true" t="shared" si="4" ref="P8:P27">D8*6.61452/100</f>
        <v>27322.92849</v>
      </c>
      <c r="Q8" s="79">
        <f aca="true" t="shared" si="5" ref="Q8:Q26">O8+P8</f>
        <v>27322.92849</v>
      </c>
      <c r="R8" s="79">
        <f aca="true" t="shared" si="6" ref="R8:R27">P$6*$F8</f>
        <v>7291.7807028</v>
      </c>
      <c r="S8" s="77">
        <f aca="true" t="shared" si="7" ref="S8:S27">P$6*$G8</f>
        <v>435.896868</v>
      </c>
      <c r="T8" s="78"/>
      <c r="U8" s="78"/>
      <c r="V8" s="78">
        <f aca="true" t="shared" si="8" ref="V8:V27">D8*0.11296/100</f>
        <v>466.60952000000003</v>
      </c>
      <c r="W8" s="78">
        <f aca="true" t="shared" si="9" ref="W8:W27">U8+V8</f>
        <v>466.60952000000003</v>
      </c>
      <c r="X8" s="79">
        <f aca="true" t="shared" si="10" ref="X8:X27">V$6*$F8</f>
        <v>124.5259744</v>
      </c>
      <c r="Y8" s="77">
        <f aca="true" t="shared" si="11" ref="Y8:Y27">V$6*$G8</f>
        <v>7.444063999999999</v>
      </c>
      <c r="Z8" s="78"/>
      <c r="AA8" s="79"/>
      <c r="AB8" s="78">
        <f aca="true" t="shared" si="12" ref="AB8:AB27">D8*0.50994/100</f>
        <v>2106.434655</v>
      </c>
      <c r="AC8" s="78">
        <f aca="true" t="shared" si="13" ref="AC8:AC27">AA8+AB8</f>
        <v>2106.434655</v>
      </c>
      <c r="AD8" s="79">
        <f aca="true" t="shared" si="14" ref="AD8:AD27">AB$6*$F8</f>
        <v>562.1527566</v>
      </c>
      <c r="AE8" s="77">
        <f aca="true" t="shared" si="15" ref="AE8:AE27">AB$6*$G8</f>
        <v>33.605045999999994</v>
      </c>
      <c r="AF8" s="78"/>
      <c r="AG8" s="78"/>
      <c r="AH8" s="78">
        <f aca="true" t="shared" si="16" ref="AH8:AH27">D8*8.86797/100</f>
        <v>36631.3670775</v>
      </c>
      <c r="AI8" s="78">
        <f aca="true" t="shared" si="17" ref="AI8:AI27">AG8+AH8</f>
        <v>36631.3670775</v>
      </c>
      <c r="AJ8" s="79">
        <f aca="true" t="shared" si="18" ref="AJ8:AJ27">AH$6*$F8</f>
        <v>9775.9614483</v>
      </c>
      <c r="AK8" s="77">
        <f aca="true" t="shared" si="19" ref="AK8:AK27">AH$6*$G8</f>
        <v>584.399223</v>
      </c>
      <c r="AL8" s="78"/>
      <c r="AM8" s="78"/>
      <c r="AN8" s="78">
        <f aca="true" t="shared" si="20" ref="AN8:AN27">D8*0.10742/100</f>
        <v>443.725165</v>
      </c>
      <c r="AO8" s="78">
        <f aca="true" t="shared" si="21" ref="AO8:AO27">AM8+AN8</f>
        <v>443.725165</v>
      </c>
      <c r="AP8" s="79">
        <f aca="true" t="shared" si="22" ref="AP8:AP27">AN$6*$F8</f>
        <v>118.4187338</v>
      </c>
      <c r="AQ8" s="77">
        <f aca="true" t="shared" si="23" ref="AQ8:AQ27">AN$6*$G8</f>
        <v>7.078978</v>
      </c>
      <c r="AR8" s="78"/>
      <c r="AS8" s="78"/>
      <c r="AT8" s="78">
        <f aca="true" t="shared" si="24" ref="AT8:AT27">D8*0.09059/100</f>
        <v>374.20464250000003</v>
      </c>
      <c r="AU8" s="78">
        <f aca="true" t="shared" si="25" ref="AU8:AU27">AS8+AT8</f>
        <v>374.20464250000003</v>
      </c>
      <c r="AV8" s="79">
        <f aca="true" t="shared" si="26" ref="AV8:AV27">AT$6*$F8</f>
        <v>99.8655101</v>
      </c>
      <c r="AW8" s="77">
        <f aca="true" t="shared" si="27" ref="AW8:AW27">AT$6*$G8</f>
        <v>5.969881</v>
      </c>
      <c r="AX8" s="78"/>
      <c r="AY8" s="78"/>
      <c r="AZ8" s="78">
        <f aca="true" t="shared" si="28" ref="AZ8:AZ27">D8*3.71668/100</f>
        <v>15352.67591</v>
      </c>
      <c r="BA8" s="78">
        <f aca="true" t="shared" si="29" ref="BA8:BA27">AY8+AZ8</f>
        <v>15352.67591</v>
      </c>
      <c r="BB8" s="79">
        <f aca="true" t="shared" si="30" ref="BB8:BB27">AZ$6*$F8</f>
        <v>4097.2308652</v>
      </c>
      <c r="BC8" s="77">
        <f aca="true" t="shared" si="31" ref="BC8:BC27">AZ$6*$G8</f>
        <v>244.929212</v>
      </c>
      <c r="BD8" s="78"/>
      <c r="BE8" s="78"/>
      <c r="BF8" s="78">
        <f aca="true" t="shared" si="32" ref="BF8:BF27">D8*7.62623/100</f>
        <v>31502.0495725</v>
      </c>
      <c r="BG8" s="78">
        <f aca="true" t="shared" si="33" ref="BG8:BG27">BE8+BF8</f>
        <v>31502.0495725</v>
      </c>
      <c r="BH8" s="79">
        <f aca="true" t="shared" si="34" ref="BH8:BH27">BF$6*$F8</f>
        <v>8407.0796897</v>
      </c>
      <c r="BI8" s="77">
        <f aca="true" t="shared" si="35" ref="BI8:BI27">BF$6*$G8</f>
        <v>502.56855700000006</v>
      </c>
      <c r="BJ8" s="78"/>
      <c r="BK8" s="78"/>
      <c r="BL8" s="78">
        <f aca="true" t="shared" si="36" ref="BL8:BL27">D8*0.08804/100</f>
        <v>363.67123</v>
      </c>
      <c r="BM8" s="78">
        <f aca="true" t="shared" si="37" ref="BM8:BM27">BK8+BL8</f>
        <v>363.67123</v>
      </c>
      <c r="BN8" s="79">
        <f aca="true" t="shared" si="38" ref="BN8:BN27">BL$6*$F8</f>
        <v>97.0544156</v>
      </c>
      <c r="BO8" s="77">
        <f aca="true" t="shared" si="39" ref="BO8:BO27">BL$6*$G8</f>
        <v>5.801836000000001</v>
      </c>
      <c r="BP8" s="78"/>
      <c r="BQ8" s="78"/>
      <c r="BR8" s="78">
        <f aca="true" t="shared" si="40" ref="BR8:BR27">D8*0.05914/100</f>
        <v>244.292555</v>
      </c>
      <c r="BS8" s="78">
        <f aca="true" t="shared" si="41" ref="BS8:BS27">BQ8+BR8</f>
        <v>244.292555</v>
      </c>
      <c r="BT8" s="79">
        <f aca="true" t="shared" si="42" ref="BT8:BT27">BR$6*$F8</f>
        <v>65.1953446</v>
      </c>
      <c r="BU8" s="77">
        <f aca="true" t="shared" si="43" ref="BU8:BU27">BR$6*$G8</f>
        <v>3.8973259999999996</v>
      </c>
      <c r="BV8" s="78"/>
      <c r="BW8" s="78"/>
      <c r="BX8" s="78">
        <f aca="true" t="shared" si="44" ref="BX8:BX27">D8*-0.00881/100</f>
        <v>-36.3919075</v>
      </c>
      <c r="BY8" s="78">
        <f aca="true" t="shared" si="45" ref="BY8:BY27">BW8+BX8</f>
        <v>-36.3919075</v>
      </c>
      <c r="BZ8" s="79">
        <f aca="true" t="shared" si="46" ref="BZ8:BZ27">BX$6*$F8</f>
        <v>-9.7120559</v>
      </c>
      <c r="CA8" s="77">
        <f aca="true" t="shared" si="47" ref="CA8:CA27">BX$6*$G8</f>
        <v>-0.580579</v>
      </c>
      <c r="CB8" s="78"/>
      <c r="CC8" s="78"/>
      <c r="CD8" s="78">
        <f aca="true" t="shared" si="48" ref="CD8:CD27">D8*-0.00574/100</f>
        <v>-23.710505</v>
      </c>
      <c r="CE8" s="78">
        <f aca="true" t="shared" si="49" ref="CE8:CE27">CC8+CD8</f>
        <v>-23.710505</v>
      </c>
      <c r="CF8" s="79">
        <f aca="true" t="shared" si="50" ref="CF8:CF27">CD$6*$F8</f>
        <v>-6.3277186</v>
      </c>
      <c r="CG8" s="77">
        <f aca="true" t="shared" si="51" ref="CG8:CG27">CD$6*$G8</f>
        <v>-0.378266</v>
      </c>
      <c r="CH8" s="78"/>
      <c r="CI8" s="78"/>
      <c r="CJ8" s="78">
        <f aca="true" t="shared" si="52" ref="CJ8:CJ27">D8*0.21346/100</f>
        <v>881.7498950000002</v>
      </c>
      <c r="CK8" s="78">
        <f aca="true" t="shared" si="53" ref="CK8:CK27">CI8+CJ8</f>
        <v>881.7498950000002</v>
      </c>
      <c r="CL8" s="79">
        <f aca="true" t="shared" si="54" ref="CL8:CL27">CJ$6*$F8</f>
        <v>235.3161694</v>
      </c>
      <c r="CM8" s="77">
        <f aca="true" t="shared" si="55" ref="CM8:CM27">CJ$6*$G8</f>
        <v>14.067014</v>
      </c>
      <c r="CN8" s="78"/>
      <c r="CO8" s="78"/>
      <c r="CP8" s="78">
        <f aca="true" t="shared" si="56" ref="CP8:CP27">D8*1.3127/100</f>
        <v>5422.435525</v>
      </c>
      <c r="CQ8" s="78">
        <f aca="true" t="shared" si="57" ref="CQ8:CQ27">CO8+CP8</f>
        <v>5422.435525</v>
      </c>
      <c r="CR8" s="79">
        <f aca="true" t="shared" si="58" ref="CR8:CR27">CP$6*$F8</f>
        <v>1447.1073529999999</v>
      </c>
      <c r="CS8" s="77">
        <f aca="true" t="shared" si="59" ref="CS8:CS27">CP$6*$G8</f>
        <v>86.50693</v>
      </c>
      <c r="CT8" s="78"/>
      <c r="CU8" s="78"/>
      <c r="CV8" s="78">
        <f aca="true" t="shared" si="60" ref="CV8:CV27">D8*8.81851/100</f>
        <v>36427.0601825</v>
      </c>
      <c r="CW8" s="78">
        <f aca="true" t="shared" si="61" ref="CW8:CW27">CU8+CV8</f>
        <v>36427.0601825</v>
      </c>
      <c r="CX8" s="79">
        <f aca="true" t="shared" si="62" ref="CX8:CX27">CV$6*$F8</f>
        <v>9721.4372389</v>
      </c>
      <c r="CY8" s="77">
        <f aca="true" t="shared" si="63" ref="CY8:CY27">CV$6*$G8</f>
        <v>581.139809</v>
      </c>
      <c r="CZ8" s="78"/>
      <c r="DA8" s="78"/>
      <c r="DB8" s="78">
        <f aca="true" t="shared" si="64" ref="DB8:DB27">D8*1.27232/100</f>
        <v>5255.635839999999</v>
      </c>
      <c r="DC8" s="78">
        <f aca="true" t="shared" si="65" ref="DC8:DC27">DA8+DB8</f>
        <v>5255.635839999999</v>
      </c>
      <c r="DD8" s="79">
        <f aca="true" t="shared" si="66" ref="DD8:DD27">DB$6*$F8</f>
        <v>1402.5928448</v>
      </c>
      <c r="DE8" s="77">
        <f aca="true" t="shared" si="67" ref="DE8:DE27">DB$6*$G8</f>
        <v>83.845888</v>
      </c>
      <c r="DF8" s="78"/>
      <c r="DG8" s="78"/>
      <c r="DH8" s="78">
        <f aca="true" t="shared" si="68" ref="DH8:DH27">D8*2.59972/100</f>
        <v>10738.793389999999</v>
      </c>
      <c r="DI8" s="78">
        <f aca="true" t="shared" si="69" ref="DI8:DI27">DG8+DH8</f>
        <v>10738.793389999999</v>
      </c>
      <c r="DJ8" s="79">
        <f aca="true" t="shared" si="70" ref="DJ8:DJ27">DH$6*$F8</f>
        <v>2865.9053308000002</v>
      </c>
      <c r="DK8" s="77">
        <f aca="true" t="shared" si="71" ref="DK8:DK27">DH$6*$G8</f>
        <v>171.321548</v>
      </c>
      <c r="DL8" s="78"/>
      <c r="DM8" s="78"/>
      <c r="DN8" s="78">
        <f aca="true" t="shared" si="72" ref="DN8:DN27">D8*0.42162/100</f>
        <v>1741.606815</v>
      </c>
      <c r="DO8" s="78">
        <f aca="true" t="shared" si="73" ref="DO8:DO27">DM8+DN8</f>
        <v>1741.606815</v>
      </c>
      <c r="DP8" s="79">
        <f aca="true" t="shared" si="74" ref="DP8:DP27">DN$6*$F8</f>
        <v>464.78967179999995</v>
      </c>
      <c r="DQ8" s="77">
        <f aca="true" t="shared" si="75" ref="DQ8:DQ27">DN$6*$G8</f>
        <v>27.784758</v>
      </c>
      <c r="DR8" s="78"/>
      <c r="DS8" s="78"/>
      <c r="DT8" s="78">
        <f aca="true" t="shared" si="76" ref="DT8:DT27">D8*2.16282/100</f>
        <v>8934.068715</v>
      </c>
      <c r="DU8" s="78">
        <f aca="true" t="shared" si="77" ref="DU8:DU27">DS8+DT8</f>
        <v>8934.068715</v>
      </c>
      <c r="DV8" s="79">
        <f aca="true" t="shared" si="78" ref="DV8:DV27">DT$6*$F8</f>
        <v>2384.2711398</v>
      </c>
      <c r="DW8" s="77">
        <f aca="true" t="shared" si="79" ref="DW8:DW27">DT$6*$G8</f>
        <v>142.529838</v>
      </c>
      <c r="DX8" s="78"/>
      <c r="DY8" s="78"/>
      <c r="DZ8" s="78">
        <f aca="true" t="shared" si="80" ref="DZ8:DZ27">D8*0.01933/100</f>
        <v>79.8473975</v>
      </c>
      <c r="EA8" s="78">
        <f aca="true" t="shared" si="81" ref="EA8:EA27">DY8+DZ8</f>
        <v>79.8473975</v>
      </c>
      <c r="EB8" s="79">
        <f aca="true" t="shared" si="82" ref="EB8:EB27">DZ$6*$F8</f>
        <v>21.3091987</v>
      </c>
      <c r="EC8" s="77">
        <f aca="true" t="shared" si="83" ref="EC8:EC27">DZ$6*$G8</f>
        <v>1.273847</v>
      </c>
      <c r="ED8" s="78"/>
      <c r="EE8" s="78"/>
      <c r="EF8" s="78">
        <f aca="true" t="shared" si="84" ref="EF8:EF27">D8*0.02544/100</f>
        <v>105.08628</v>
      </c>
      <c r="EG8" s="78">
        <f aca="true" t="shared" si="85" ref="EG8:EG27">EE8+EF8</f>
        <v>105.08628</v>
      </c>
      <c r="EH8" s="79">
        <f aca="true" t="shared" si="86" ref="EH8:EH27">EF$6*$F8</f>
        <v>28.0448016</v>
      </c>
      <c r="EI8" s="77">
        <f aca="true" t="shared" si="87" ref="EI8:EI27">EF$6*$G8</f>
        <v>1.676496</v>
      </c>
      <c r="EJ8" s="78"/>
      <c r="EK8" s="78"/>
      <c r="EL8" s="78">
        <f aca="true" t="shared" si="88" ref="EL8:EL27">D8*1.28187/100</f>
        <v>5295.0845025</v>
      </c>
      <c r="EM8" s="78">
        <f aca="true" t="shared" si="89" ref="EM8:EM27">EK8+EL8</f>
        <v>5295.0845025</v>
      </c>
      <c r="EN8" s="79">
        <f aca="true" t="shared" si="90" ref="EN8:EN27">EL$6*$F8</f>
        <v>1413.1206693000001</v>
      </c>
      <c r="EO8" s="77">
        <f aca="true" t="shared" si="91" ref="EO8:EO27">EL$6*$G8</f>
        <v>84.475233</v>
      </c>
      <c r="EP8" s="78"/>
      <c r="EQ8" s="78"/>
      <c r="ER8" s="78">
        <f aca="true" t="shared" si="92" ref="ER8:ER27">D8*0.0244/100</f>
        <v>100.7903</v>
      </c>
      <c r="ES8" s="78">
        <f aca="true" t="shared" si="93" ref="ES8:ES27">EQ8+ER8</f>
        <v>100.7903</v>
      </c>
      <c r="ET8" s="79">
        <f aca="true" t="shared" si="94" ref="ET8:ET27">ER$6*$F8</f>
        <v>26.898315999999998</v>
      </c>
      <c r="EU8" s="77">
        <f aca="true" t="shared" si="95" ref="EU8:EU27">ER$6*$G8</f>
        <v>1.60796</v>
      </c>
      <c r="EV8" s="78"/>
      <c r="EW8" s="78"/>
      <c r="EX8" s="78">
        <f aca="true" t="shared" si="96" ref="EX8:EX27">D8*0.36459/100</f>
        <v>1506.0301425</v>
      </c>
      <c r="EY8" s="78">
        <f aca="true" t="shared" si="97" ref="EY8:EY27">EW8+EX8</f>
        <v>1506.0301425</v>
      </c>
      <c r="EZ8" s="79">
        <f aca="true" t="shared" si="98" ref="EZ8:EZ27">EX$6*$F8</f>
        <v>401.9203701</v>
      </c>
      <c r="FA8" s="77">
        <f aca="true" t="shared" si="99" ref="FA8:FA27">EX$6*$G8</f>
        <v>24.026481</v>
      </c>
      <c r="FB8" s="78"/>
      <c r="FC8" s="78"/>
      <c r="FD8" s="78">
        <f aca="true" t="shared" si="100" ref="FD8:FD27">D8*0.25327/100</f>
        <v>1046.1950525</v>
      </c>
      <c r="FE8" s="78">
        <f aca="true" t="shared" si="101" ref="FE8:FE27">FC8+FD8</f>
        <v>1046.1950525</v>
      </c>
      <c r="FF8" s="79">
        <f aca="true" t="shared" si="102" ref="FF8:FF27">FD$6*$F8</f>
        <v>279.2023153</v>
      </c>
      <c r="FG8" s="77">
        <f aca="true" t="shared" si="103" ref="FG8:FG27">FD$6*$G8</f>
        <v>16.690493</v>
      </c>
      <c r="FH8" s="78"/>
      <c r="FI8" s="78"/>
      <c r="FJ8" s="78">
        <f aca="true" t="shared" si="104" ref="FJ8:FJ27">D8*0.09887/100</f>
        <v>408.4072525</v>
      </c>
      <c r="FK8" s="78">
        <f aca="true" t="shared" si="105" ref="FK8:FK27">FI8+FJ8</f>
        <v>408.4072525</v>
      </c>
      <c r="FL8" s="79">
        <f aca="true" t="shared" si="106" ref="FL8:FL27">FJ$6*$F8</f>
        <v>108.99329929999999</v>
      </c>
      <c r="FM8" s="77">
        <f aca="true" t="shared" si="107" ref="FM8:FM27">FJ$6*$G8</f>
        <v>6.515533</v>
      </c>
      <c r="FN8" s="78"/>
      <c r="FO8" s="78"/>
      <c r="FP8" s="78">
        <f aca="true" t="shared" si="108" ref="FP8:FP27">D8*1.11111/100</f>
        <v>4589.7176325</v>
      </c>
      <c r="FQ8" s="78">
        <f aca="true" t="shared" si="109" ref="FQ8:FQ27">FO8+FP8</f>
        <v>4589.7176325</v>
      </c>
      <c r="FR8" s="79">
        <f aca="true" t="shared" si="110" ref="FR8:FR27">FP$6*$F8</f>
        <v>1224.8765529</v>
      </c>
      <c r="FS8" s="77">
        <f aca="true" t="shared" si="111" ref="FS8:FS27">FP$6*$G8</f>
        <v>73.222149</v>
      </c>
      <c r="FT8" s="78"/>
      <c r="FU8" s="78"/>
      <c r="FV8" s="78">
        <f aca="true" t="shared" si="112" ref="FV8:FV27">D8*2.50422/100</f>
        <v>10344.306765000001</v>
      </c>
      <c r="FW8" s="78">
        <f aca="true" t="shared" si="113" ref="FW8:FW27">FU8+FV8</f>
        <v>10344.306765000001</v>
      </c>
      <c r="FX8" s="79">
        <f aca="true" t="shared" si="114" ref="FX8:FX27">FV$6*$F8</f>
        <v>2760.6270858000003</v>
      </c>
      <c r="FY8" s="77">
        <f aca="true" t="shared" si="115" ref="FY8:FY27">FV$6*$G8</f>
        <v>165.028098</v>
      </c>
      <c r="FZ8" s="78"/>
      <c r="GA8" s="78"/>
      <c r="GB8" s="78">
        <f aca="true" t="shared" si="116" ref="GB8:GB27">D8*0.31957/100</f>
        <v>1320.0637775000002</v>
      </c>
      <c r="GC8" s="78">
        <f aca="true" t="shared" si="117" ref="GC8:GC27">GA8+GB8</f>
        <v>1320.0637775000002</v>
      </c>
      <c r="GD8" s="79">
        <f aca="true" t="shared" si="118" ref="GD8:GD27">GB$6*$F8</f>
        <v>352.2907723</v>
      </c>
      <c r="GE8" s="77">
        <f aca="true" t="shared" si="119" ref="GE8:GE27">GB$6*$G8</f>
        <v>21.059663</v>
      </c>
      <c r="GF8" s="78"/>
      <c r="GG8" s="78"/>
      <c r="GH8" s="78">
        <f aca="true" t="shared" si="120" ref="GH8:GH27">D8*0.50748/100</f>
        <v>2096.27301</v>
      </c>
      <c r="GI8" s="78">
        <f aca="true" t="shared" si="121" ref="GI8:GI27">GG8+GH8</f>
        <v>2096.27301</v>
      </c>
      <c r="GJ8" s="79">
        <f aca="true" t="shared" si="122" ref="GJ8:GJ27">GH$6*$F8</f>
        <v>559.4408772</v>
      </c>
      <c r="GK8" s="77">
        <f aca="true" t="shared" si="123" ref="GK8:GK27">GH$6*$G8</f>
        <v>33.442932</v>
      </c>
      <c r="GL8" s="78"/>
      <c r="GM8" s="78"/>
      <c r="GN8" s="78">
        <f aca="true" t="shared" si="124" ref="GN8:GN27">D8*2.35189/100</f>
        <v>9715.0696175</v>
      </c>
      <c r="GO8" s="78">
        <f aca="true" t="shared" si="125" ref="GO8:GO27">GM8+GN8</f>
        <v>9715.0696175</v>
      </c>
      <c r="GP8" s="79">
        <f aca="true" t="shared" si="126" ref="GP8:GP27">GN$6*$F8</f>
        <v>2592.7000171</v>
      </c>
      <c r="GQ8" s="77">
        <f aca="true" t="shared" si="127" ref="GQ8:GQ27">GN$6*$G8</f>
        <v>154.989551</v>
      </c>
      <c r="GR8" s="78"/>
      <c r="GS8" s="78"/>
      <c r="GT8" s="78">
        <f aca="true" t="shared" si="128" ref="GT8:GT27">D8*0.12482/100</f>
        <v>515.600215</v>
      </c>
      <c r="GU8" s="78">
        <f aca="true" t="shared" si="129" ref="GU8:GU27">GS8+GT8</f>
        <v>515.600215</v>
      </c>
      <c r="GV8" s="79">
        <f aca="true" t="shared" si="130" ref="GV8:GV27">GT$6*$F8</f>
        <v>137.60031980000002</v>
      </c>
      <c r="GW8" s="77">
        <f aca="true" t="shared" si="131" ref="GW8:GW27">GT$6*$G8</f>
        <v>8.225638</v>
      </c>
      <c r="GX8" s="78"/>
      <c r="GY8" s="78"/>
      <c r="GZ8" s="78">
        <f aca="true" t="shared" si="132" ref="GZ8:GZ27">D8*0.71564/100</f>
        <v>2956.12993</v>
      </c>
      <c r="HA8" s="78">
        <f aca="true" t="shared" si="133" ref="HA8:HA27">GY8+GZ8</f>
        <v>2956.12993</v>
      </c>
      <c r="HB8" s="79">
        <f aca="true" t="shared" si="134" ref="HB8:HB27">GZ$6*$F8</f>
        <v>788.9143796000001</v>
      </c>
      <c r="HC8" s="77">
        <f aca="true" t="shared" si="135" ref="HC8:HC27">GZ$6*$G8</f>
        <v>47.160676</v>
      </c>
      <c r="HD8" s="78"/>
      <c r="HE8" s="78"/>
      <c r="HF8" s="78"/>
      <c r="HG8" s="78"/>
      <c r="HH8" s="78"/>
      <c r="HI8" s="78"/>
    </row>
    <row r="9" spans="1:217" ht="12">
      <c r="A9" s="19">
        <v>42095</v>
      </c>
      <c r="C9" s="36">
        <v>4665000</v>
      </c>
      <c r="D9" s="36">
        <v>413075</v>
      </c>
      <c r="E9" s="77">
        <f t="shared" si="0"/>
        <v>5078075</v>
      </c>
      <c r="F9" s="77">
        <v>110239</v>
      </c>
      <c r="G9" s="77">
        <v>6590</v>
      </c>
      <c r="H9" s="78"/>
      <c r="I9" s="79">
        <f>O9+U9+AA9+AG9+AM9+AS9+AY9+BE9+BK9+BQ9+BW9+CC9+CI9+CO9+CU9+DA9+DG9+DM9+DS9+DY9+EE9+EK9+EQ9+EW9+FC9+FI9+FO9+FU9+GA9+GG9+GM9+GS9+GY9</f>
        <v>2532282.823500001</v>
      </c>
      <c r="J9" s="79">
        <f t="shared" si="1"/>
        <v>224227.80864250005</v>
      </c>
      <c r="K9" s="79">
        <f t="shared" si="2"/>
        <v>2756510.632142501</v>
      </c>
      <c r="L9" s="79">
        <f t="shared" si="3"/>
        <v>59840.5843901</v>
      </c>
      <c r="M9" s="79">
        <f t="shared" si="3"/>
        <v>3577.2226809999993</v>
      </c>
      <c r="N9" s="78"/>
      <c r="O9" s="78">
        <f aca="true" t="shared" si="136" ref="O9:O27">C9*6.61452/100</f>
        <v>308567.35799999995</v>
      </c>
      <c r="P9" s="78">
        <f t="shared" si="4"/>
        <v>27322.92849</v>
      </c>
      <c r="Q9" s="79">
        <f t="shared" si="5"/>
        <v>335890.28648999997</v>
      </c>
      <c r="R9" s="79">
        <f t="shared" si="6"/>
        <v>7291.7807028</v>
      </c>
      <c r="S9" s="77">
        <f t="shared" si="7"/>
        <v>435.896868</v>
      </c>
      <c r="T9" s="78"/>
      <c r="U9" s="78">
        <f aca="true" t="shared" si="137" ref="U9:U27">C9*0.11296/100</f>
        <v>5269.584</v>
      </c>
      <c r="V9" s="78">
        <f t="shared" si="8"/>
        <v>466.60952000000003</v>
      </c>
      <c r="W9" s="78">
        <f t="shared" si="9"/>
        <v>5736.19352</v>
      </c>
      <c r="X9" s="79">
        <f t="shared" si="10"/>
        <v>124.5259744</v>
      </c>
      <c r="Y9" s="77">
        <f t="shared" si="11"/>
        <v>7.444063999999999</v>
      </c>
      <c r="Z9" s="78"/>
      <c r="AA9" s="79">
        <f aca="true" t="shared" si="138" ref="AA9:AA27">C9*0.50994/100</f>
        <v>23788.700999999997</v>
      </c>
      <c r="AB9" s="78">
        <f t="shared" si="12"/>
        <v>2106.434655</v>
      </c>
      <c r="AC9" s="78">
        <f t="shared" si="13"/>
        <v>25895.135655</v>
      </c>
      <c r="AD9" s="79">
        <f t="shared" si="14"/>
        <v>562.1527566</v>
      </c>
      <c r="AE9" s="77">
        <f t="shared" si="15"/>
        <v>33.605045999999994</v>
      </c>
      <c r="AF9" s="78"/>
      <c r="AG9" s="78">
        <f aca="true" t="shared" si="139" ref="AG9:AG27">C9*8.86797/100</f>
        <v>413690.80049999995</v>
      </c>
      <c r="AH9" s="78">
        <f t="shared" si="16"/>
        <v>36631.3670775</v>
      </c>
      <c r="AI9" s="78">
        <f t="shared" si="17"/>
        <v>450322.16757749993</v>
      </c>
      <c r="AJ9" s="79">
        <f t="shared" si="18"/>
        <v>9775.9614483</v>
      </c>
      <c r="AK9" s="77">
        <f t="shared" si="19"/>
        <v>584.399223</v>
      </c>
      <c r="AL9" s="78"/>
      <c r="AM9" s="78">
        <f aca="true" t="shared" si="140" ref="AM9:AM27">C9*0.10742/100</f>
        <v>5011.143</v>
      </c>
      <c r="AN9" s="78">
        <f t="shared" si="20"/>
        <v>443.725165</v>
      </c>
      <c r="AO9" s="78">
        <f t="shared" si="21"/>
        <v>5454.868165</v>
      </c>
      <c r="AP9" s="79">
        <f t="shared" si="22"/>
        <v>118.4187338</v>
      </c>
      <c r="AQ9" s="77">
        <f t="shared" si="23"/>
        <v>7.078978</v>
      </c>
      <c r="AR9" s="78"/>
      <c r="AS9" s="78">
        <f aca="true" t="shared" si="141" ref="AS9:AS27">C9*0.09059/100</f>
        <v>4226.0235</v>
      </c>
      <c r="AT9" s="78">
        <f t="shared" si="24"/>
        <v>374.20464250000003</v>
      </c>
      <c r="AU9" s="78">
        <f t="shared" si="25"/>
        <v>4600.2281425</v>
      </c>
      <c r="AV9" s="79">
        <f t="shared" si="26"/>
        <v>99.8655101</v>
      </c>
      <c r="AW9" s="77">
        <f t="shared" si="27"/>
        <v>5.969881</v>
      </c>
      <c r="AX9" s="78"/>
      <c r="AY9" s="78">
        <f aca="true" t="shared" si="142" ref="AY9:AY27">C9*3.71668/100</f>
        <v>173383.122</v>
      </c>
      <c r="AZ9" s="78">
        <f t="shared" si="28"/>
        <v>15352.67591</v>
      </c>
      <c r="BA9" s="78">
        <f t="shared" si="29"/>
        <v>188735.79791</v>
      </c>
      <c r="BB9" s="79">
        <f t="shared" si="30"/>
        <v>4097.2308652</v>
      </c>
      <c r="BC9" s="77">
        <f t="shared" si="31"/>
        <v>244.929212</v>
      </c>
      <c r="BD9" s="78"/>
      <c r="BE9" s="78">
        <f aca="true" t="shared" si="143" ref="BE9:BE27">C9*7.62623/100</f>
        <v>355763.6295</v>
      </c>
      <c r="BF9" s="78">
        <f t="shared" si="32"/>
        <v>31502.0495725</v>
      </c>
      <c r="BG9" s="78">
        <f t="shared" si="33"/>
        <v>387265.6790725</v>
      </c>
      <c r="BH9" s="79">
        <f t="shared" si="34"/>
        <v>8407.0796897</v>
      </c>
      <c r="BI9" s="77">
        <f t="shared" si="35"/>
        <v>502.56855700000006</v>
      </c>
      <c r="BJ9" s="78"/>
      <c r="BK9" s="78">
        <f aca="true" t="shared" si="144" ref="BK9:BK27">C9*0.08804/100</f>
        <v>4107.066</v>
      </c>
      <c r="BL9" s="78">
        <f t="shared" si="36"/>
        <v>363.67123</v>
      </c>
      <c r="BM9" s="78">
        <f t="shared" si="37"/>
        <v>4470.73723</v>
      </c>
      <c r="BN9" s="79">
        <f t="shared" si="38"/>
        <v>97.0544156</v>
      </c>
      <c r="BO9" s="77">
        <f t="shared" si="39"/>
        <v>5.801836000000001</v>
      </c>
      <c r="BP9" s="78"/>
      <c r="BQ9" s="78">
        <f aca="true" t="shared" si="145" ref="BQ9:BQ27">C9*0.05914/100</f>
        <v>2758.881</v>
      </c>
      <c r="BR9" s="78">
        <f t="shared" si="40"/>
        <v>244.292555</v>
      </c>
      <c r="BS9" s="78">
        <f t="shared" si="41"/>
        <v>3003.173555</v>
      </c>
      <c r="BT9" s="79">
        <f t="shared" si="42"/>
        <v>65.1953446</v>
      </c>
      <c r="BU9" s="77">
        <f t="shared" si="43"/>
        <v>3.8973259999999996</v>
      </c>
      <c r="BV9" s="78"/>
      <c r="BW9" s="78">
        <f aca="true" t="shared" si="146" ref="BW9:BW27">C9*-0.00881/100</f>
        <v>-410.98650000000004</v>
      </c>
      <c r="BX9" s="78">
        <f t="shared" si="44"/>
        <v>-36.3919075</v>
      </c>
      <c r="BY9" s="78">
        <f t="shared" si="45"/>
        <v>-447.37840750000004</v>
      </c>
      <c r="BZ9" s="79">
        <f t="shared" si="46"/>
        <v>-9.7120559</v>
      </c>
      <c r="CA9" s="77">
        <f t="shared" si="47"/>
        <v>-0.580579</v>
      </c>
      <c r="CB9" s="78"/>
      <c r="CC9" s="78">
        <f aca="true" t="shared" si="147" ref="CC9:CC27">C9*-0.00574/100</f>
        <v>-267.771</v>
      </c>
      <c r="CD9" s="78">
        <f t="shared" si="48"/>
        <v>-23.710505</v>
      </c>
      <c r="CE9" s="78">
        <f t="shared" si="49"/>
        <v>-291.481505</v>
      </c>
      <c r="CF9" s="79">
        <f t="shared" si="50"/>
        <v>-6.3277186</v>
      </c>
      <c r="CG9" s="77">
        <f t="shared" si="51"/>
        <v>-0.378266</v>
      </c>
      <c r="CH9" s="78"/>
      <c r="CI9" s="78">
        <f aca="true" t="shared" si="148" ref="CI9:CI27">C9*0.21346/100</f>
        <v>9957.909</v>
      </c>
      <c r="CJ9" s="78">
        <f t="shared" si="52"/>
        <v>881.7498950000002</v>
      </c>
      <c r="CK9" s="78">
        <f t="shared" si="53"/>
        <v>10839.658895</v>
      </c>
      <c r="CL9" s="79">
        <f t="shared" si="54"/>
        <v>235.3161694</v>
      </c>
      <c r="CM9" s="77">
        <f t="shared" si="55"/>
        <v>14.067014</v>
      </c>
      <c r="CN9" s="78"/>
      <c r="CO9" s="78">
        <f aca="true" t="shared" si="149" ref="CO9:CO27">C9*1.3127/100</f>
        <v>61237.455</v>
      </c>
      <c r="CP9" s="78">
        <f t="shared" si="56"/>
        <v>5422.435525</v>
      </c>
      <c r="CQ9" s="78">
        <f t="shared" si="57"/>
        <v>66659.890525</v>
      </c>
      <c r="CR9" s="79">
        <f t="shared" si="58"/>
        <v>1447.1073529999999</v>
      </c>
      <c r="CS9" s="77">
        <f t="shared" si="59"/>
        <v>86.50693</v>
      </c>
      <c r="CT9" s="78"/>
      <c r="CU9" s="78">
        <f aca="true" t="shared" si="150" ref="CU9:CU27">C9*8.81851/100</f>
        <v>411383.4915</v>
      </c>
      <c r="CV9" s="78">
        <f t="shared" si="60"/>
        <v>36427.0601825</v>
      </c>
      <c r="CW9" s="78">
        <f t="shared" si="61"/>
        <v>447810.5516825</v>
      </c>
      <c r="CX9" s="79">
        <f t="shared" si="62"/>
        <v>9721.4372389</v>
      </c>
      <c r="CY9" s="77">
        <f t="shared" si="63"/>
        <v>581.139809</v>
      </c>
      <c r="CZ9" s="78"/>
      <c r="DA9" s="78">
        <f aca="true" t="shared" si="151" ref="DA9:DA27">C9*1.27232/100</f>
        <v>59353.727999999996</v>
      </c>
      <c r="DB9" s="78">
        <f t="shared" si="64"/>
        <v>5255.635839999999</v>
      </c>
      <c r="DC9" s="78">
        <f t="shared" si="65"/>
        <v>64609.36383999999</v>
      </c>
      <c r="DD9" s="79">
        <f t="shared" si="66"/>
        <v>1402.5928448</v>
      </c>
      <c r="DE9" s="77">
        <f t="shared" si="67"/>
        <v>83.845888</v>
      </c>
      <c r="DF9" s="78"/>
      <c r="DG9" s="78">
        <f aca="true" t="shared" si="152" ref="DG9:DG27">C9*2.59972/100</f>
        <v>121276.93800000001</v>
      </c>
      <c r="DH9" s="78">
        <f t="shared" si="68"/>
        <v>10738.793389999999</v>
      </c>
      <c r="DI9" s="78">
        <f t="shared" si="69"/>
        <v>132015.73139</v>
      </c>
      <c r="DJ9" s="79">
        <f t="shared" si="70"/>
        <v>2865.9053308000002</v>
      </c>
      <c r="DK9" s="77">
        <f t="shared" si="71"/>
        <v>171.321548</v>
      </c>
      <c r="DL9" s="78"/>
      <c r="DM9" s="78">
        <f aca="true" t="shared" si="153" ref="DM9:DM27">C9*0.42162/100</f>
        <v>19668.573</v>
      </c>
      <c r="DN9" s="78">
        <f t="shared" si="72"/>
        <v>1741.606815</v>
      </c>
      <c r="DO9" s="78">
        <f t="shared" si="73"/>
        <v>21410.179815</v>
      </c>
      <c r="DP9" s="79">
        <f t="shared" si="74"/>
        <v>464.78967179999995</v>
      </c>
      <c r="DQ9" s="77">
        <f t="shared" si="75"/>
        <v>27.784758</v>
      </c>
      <c r="DR9" s="78"/>
      <c r="DS9" s="78">
        <f aca="true" t="shared" si="154" ref="DS9:DS27">C9*2.16282/100</f>
        <v>100895.55300000001</v>
      </c>
      <c r="DT9" s="78">
        <f t="shared" si="76"/>
        <v>8934.068715</v>
      </c>
      <c r="DU9" s="78">
        <f t="shared" si="77"/>
        <v>109829.62171500002</v>
      </c>
      <c r="DV9" s="79">
        <f t="shared" si="78"/>
        <v>2384.2711398</v>
      </c>
      <c r="DW9" s="77">
        <f t="shared" si="79"/>
        <v>142.529838</v>
      </c>
      <c r="DX9" s="78"/>
      <c r="DY9" s="78">
        <f aca="true" t="shared" si="155" ref="DY9:DY27">C9*0.01933/100</f>
        <v>901.7445</v>
      </c>
      <c r="DZ9" s="78">
        <f t="shared" si="80"/>
        <v>79.8473975</v>
      </c>
      <c r="EA9" s="78">
        <f t="shared" si="81"/>
        <v>981.5918975</v>
      </c>
      <c r="EB9" s="79">
        <f t="shared" si="82"/>
        <v>21.3091987</v>
      </c>
      <c r="EC9" s="77">
        <f t="shared" si="83"/>
        <v>1.273847</v>
      </c>
      <c r="ED9" s="78"/>
      <c r="EE9" s="78">
        <f aca="true" t="shared" si="156" ref="EE9:EE27">C9*0.02544/100</f>
        <v>1186.776</v>
      </c>
      <c r="EF9" s="78">
        <f t="shared" si="84"/>
        <v>105.08628</v>
      </c>
      <c r="EG9" s="78">
        <f t="shared" si="85"/>
        <v>1291.86228</v>
      </c>
      <c r="EH9" s="79">
        <f t="shared" si="86"/>
        <v>28.0448016</v>
      </c>
      <c r="EI9" s="77">
        <f t="shared" si="87"/>
        <v>1.676496</v>
      </c>
      <c r="EJ9" s="78"/>
      <c r="EK9" s="78">
        <f aca="true" t="shared" si="157" ref="EK9:EK27">C9*1.28187/100</f>
        <v>59799.23550000001</v>
      </c>
      <c r="EL9" s="78">
        <f t="shared" si="88"/>
        <v>5295.0845025</v>
      </c>
      <c r="EM9" s="78">
        <f t="shared" si="89"/>
        <v>65094.32000250001</v>
      </c>
      <c r="EN9" s="79">
        <f t="shared" si="90"/>
        <v>1413.1206693000001</v>
      </c>
      <c r="EO9" s="77">
        <f t="shared" si="91"/>
        <v>84.475233</v>
      </c>
      <c r="EP9" s="78"/>
      <c r="EQ9" s="78">
        <f aca="true" t="shared" si="158" ref="EQ9:EQ27">C9*0.0244/100</f>
        <v>1138.26</v>
      </c>
      <c r="ER9" s="78">
        <f t="shared" si="92"/>
        <v>100.7903</v>
      </c>
      <c r="ES9" s="78">
        <f t="shared" si="93"/>
        <v>1239.0502999999999</v>
      </c>
      <c r="ET9" s="79">
        <f t="shared" si="94"/>
        <v>26.898315999999998</v>
      </c>
      <c r="EU9" s="77">
        <f t="shared" si="95"/>
        <v>1.60796</v>
      </c>
      <c r="EV9" s="78"/>
      <c r="EW9" s="78">
        <f aca="true" t="shared" si="159" ref="EW9:EW27">C9*0.36459/100</f>
        <v>17008.1235</v>
      </c>
      <c r="EX9" s="78">
        <f t="shared" si="96"/>
        <v>1506.0301425</v>
      </c>
      <c r="EY9" s="78">
        <f t="shared" si="97"/>
        <v>18514.1536425</v>
      </c>
      <c r="EZ9" s="79">
        <f t="shared" si="98"/>
        <v>401.9203701</v>
      </c>
      <c r="FA9" s="77">
        <f t="shared" si="99"/>
        <v>24.026481</v>
      </c>
      <c r="FB9" s="78"/>
      <c r="FC9" s="78">
        <f aca="true" t="shared" si="160" ref="FC9:FC27">C9*0.25327/100</f>
        <v>11815.0455</v>
      </c>
      <c r="FD9" s="78">
        <f t="shared" si="100"/>
        <v>1046.1950525</v>
      </c>
      <c r="FE9" s="78">
        <f t="shared" si="101"/>
        <v>12861.2405525</v>
      </c>
      <c r="FF9" s="79">
        <f t="shared" si="102"/>
        <v>279.2023153</v>
      </c>
      <c r="FG9" s="77">
        <f t="shared" si="103"/>
        <v>16.690493</v>
      </c>
      <c r="FH9" s="78"/>
      <c r="FI9" s="78">
        <f aca="true" t="shared" si="161" ref="FI9:FI27">C9*0.09887/100</f>
        <v>4612.2855</v>
      </c>
      <c r="FJ9" s="78">
        <f t="shared" si="104"/>
        <v>408.4072525</v>
      </c>
      <c r="FK9" s="78">
        <f t="shared" si="105"/>
        <v>5020.6927525</v>
      </c>
      <c r="FL9" s="79">
        <f t="shared" si="106"/>
        <v>108.99329929999999</v>
      </c>
      <c r="FM9" s="77">
        <f t="shared" si="107"/>
        <v>6.515533</v>
      </c>
      <c r="FN9" s="78"/>
      <c r="FO9" s="78">
        <f aca="true" t="shared" si="162" ref="FO9:FO27">C9*1.11111/100</f>
        <v>51833.281500000005</v>
      </c>
      <c r="FP9" s="78">
        <f t="shared" si="108"/>
        <v>4589.7176325</v>
      </c>
      <c r="FQ9" s="78">
        <f t="shared" si="109"/>
        <v>56422.9991325</v>
      </c>
      <c r="FR9" s="79">
        <f t="shared" si="110"/>
        <v>1224.8765529</v>
      </c>
      <c r="FS9" s="77">
        <f t="shared" si="111"/>
        <v>73.222149</v>
      </c>
      <c r="FT9" s="78"/>
      <c r="FU9" s="78">
        <f aca="true" t="shared" si="163" ref="FU9:FU27">C9*2.50422/100</f>
        <v>116821.86300000001</v>
      </c>
      <c r="FV9" s="78">
        <f t="shared" si="112"/>
        <v>10344.306765000001</v>
      </c>
      <c r="FW9" s="78">
        <f t="shared" si="113"/>
        <v>127166.16976500001</v>
      </c>
      <c r="FX9" s="79">
        <f t="shared" si="114"/>
        <v>2760.6270858000003</v>
      </c>
      <c r="FY9" s="77">
        <f t="shared" si="115"/>
        <v>165.028098</v>
      </c>
      <c r="FZ9" s="78"/>
      <c r="GA9" s="78">
        <f aca="true" t="shared" si="164" ref="GA9:GA27">C9*0.31957/100</f>
        <v>14907.9405</v>
      </c>
      <c r="GB9" s="78">
        <f t="shared" si="116"/>
        <v>1320.0637775000002</v>
      </c>
      <c r="GC9" s="78">
        <f t="shared" si="117"/>
        <v>16228.0042775</v>
      </c>
      <c r="GD9" s="79">
        <f t="shared" si="118"/>
        <v>352.2907723</v>
      </c>
      <c r="GE9" s="77">
        <f t="shared" si="119"/>
        <v>21.059663</v>
      </c>
      <c r="GF9" s="78"/>
      <c r="GG9" s="78">
        <f aca="true" t="shared" si="165" ref="GG9:GG27">C9*0.50748/100</f>
        <v>23673.942000000003</v>
      </c>
      <c r="GH9" s="78">
        <f t="shared" si="120"/>
        <v>2096.27301</v>
      </c>
      <c r="GI9" s="78">
        <f t="shared" si="121"/>
        <v>25770.215010000004</v>
      </c>
      <c r="GJ9" s="79">
        <f t="shared" si="122"/>
        <v>559.4408772</v>
      </c>
      <c r="GK9" s="77">
        <f t="shared" si="123"/>
        <v>33.442932</v>
      </c>
      <c r="GL9" s="78"/>
      <c r="GM9" s="78">
        <f aca="true" t="shared" si="166" ref="GM9:GM27">C9*2.35189/100</f>
        <v>109715.6685</v>
      </c>
      <c r="GN9" s="78">
        <f t="shared" si="124"/>
        <v>9715.0696175</v>
      </c>
      <c r="GO9" s="78">
        <f t="shared" si="125"/>
        <v>119430.7381175</v>
      </c>
      <c r="GP9" s="79">
        <f t="shared" si="126"/>
        <v>2592.7000171</v>
      </c>
      <c r="GQ9" s="77">
        <f t="shared" si="127"/>
        <v>154.989551</v>
      </c>
      <c r="GR9" s="78"/>
      <c r="GS9" s="78">
        <f aca="true" t="shared" si="167" ref="GS9:GS27">C9*0.12482/100</f>
        <v>5822.853</v>
      </c>
      <c r="GT9" s="78">
        <f t="shared" si="128"/>
        <v>515.600215</v>
      </c>
      <c r="GU9" s="78">
        <f t="shared" si="129"/>
        <v>6338.4532150000005</v>
      </c>
      <c r="GV9" s="79">
        <f t="shared" si="130"/>
        <v>137.60031980000002</v>
      </c>
      <c r="GW9" s="77">
        <f t="shared" si="131"/>
        <v>8.225638</v>
      </c>
      <c r="GX9" s="78"/>
      <c r="GY9" s="78">
        <f aca="true" t="shared" si="168" ref="GY9:GY27">C9*0.71564/100</f>
        <v>33384.606</v>
      </c>
      <c r="GZ9" s="78">
        <f t="shared" si="132"/>
        <v>2956.12993</v>
      </c>
      <c r="HA9" s="78">
        <f t="shared" si="133"/>
        <v>36340.73593</v>
      </c>
      <c r="HB9" s="79">
        <f t="shared" si="134"/>
        <v>788.9143796000001</v>
      </c>
      <c r="HC9" s="77">
        <f t="shared" si="135"/>
        <v>47.160676</v>
      </c>
      <c r="HD9" s="78"/>
      <c r="HE9" s="78"/>
      <c r="HF9" s="78"/>
      <c r="HG9" s="78"/>
      <c r="HH9" s="78"/>
      <c r="HI9" s="78"/>
    </row>
    <row r="10" spans="1:217" ht="12">
      <c r="A10" s="19">
        <v>42278</v>
      </c>
      <c r="C10" s="36"/>
      <c r="D10" s="36">
        <v>343100</v>
      </c>
      <c r="E10" s="77">
        <f t="shared" si="0"/>
        <v>343100</v>
      </c>
      <c r="F10" s="77">
        <v>110239</v>
      </c>
      <c r="G10" s="77">
        <v>6590</v>
      </c>
      <c r="H10" s="78"/>
      <c r="I10" s="79"/>
      <c r="J10" s="79">
        <f t="shared" si="1"/>
        <v>186243.56629</v>
      </c>
      <c r="K10" s="79">
        <f t="shared" si="2"/>
        <v>186243.56629</v>
      </c>
      <c r="L10" s="79">
        <f t="shared" si="3"/>
        <v>59840.5843901</v>
      </c>
      <c r="M10" s="79">
        <f t="shared" si="3"/>
        <v>3577.2226809999993</v>
      </c>
      <c r="N10" s="78"/>
      <c r="O10" s="78"/>
      <c r="P10" s="78">
        <f t="shared" si="4"/>
        <v>22694.41812</v>
      </c>
      <c r="Q10" s="79">
        <f t="shared" si="5"/>
        <v>22694.41812</v>
      </c>
      <c r="R10" s="79">
        <f t="shared" si="6"/>
        <v>7291.7807028</v>
      </c>
      <c r="S10" s="77">
        <f t="shared" si="7"/>
        <v>435.896868</v>
      </c>
      <c r="T10" s="78"/>
      <c r="U10" s="78"/>
      <c r="V10" s="78">
        <f t="shared" si="8"/>
        <v>387.56576</v>
      </c>
      <c r="W10" s="78">
        <f t="shared" si="9"/>
        <v>387.56576</v>
      </c>
      <c r="X10" s="79">
        <f t="shared" si="10"/>
        <v>124.5259744</v>
      </c>
      <c r="Y10" s="77">
        <f t="shared" si="11"/>
        <v>7.444063999999999</v>
      </c>
      <c r="Z10" s="78"/>
      <c r="AA10" s="79"/>
      <c r="AB10" s="78">
        <f t="shared" si="12"/>
        <v>1749.60414</v>
      </c>
      <c r="AC10" s="78">
        <f t="shared" si="13"/>
        <v>1749.60414</v>
      </c>
      <c r="AD10" s="79">
        <f t="shared" si="14"/>
        <v>562.1527566</v>
      </c>
      <c r="AE10" s="77">
        <f t="shared" si="15"/>
        <v>33.605045999999994</v>
      </c>
      <c r="AF10" s="78"/>
      <c r="AG10" s="78"/>
      <c r="AH10" s="78">
        <f t="shared" si="16"/>
        <v>30426.00507</v>
      </c>
      <c r="AI10" s="78">
        <f t="shared" si="17"/>
        <v>30426.00507</v>
      </c>
      <c r="AJ10" s="79">
        <f t="shared" si="18"/>
        <v>9775.9614483</v>
      </c>
      <c r="AK10" s="77">
        <f t="shared" si="19"/>
        <v>584.399223</v>
      </c>
      <c r="AL10" s="78"/>
      <c r="AM10" s="78"/>
      <c r="AN10" s="78">
        <f t="shared" si="20"/>
        <v>368.55802000000006</v>
      </c>
      <c r="AO10" s="78">
        <f t="shared" si="21"/>
        <v>368.55802000000006</v>
      </c>
      <c r="AP10" s="79">
        <f t="shared" si="22"/>
        <v>118.4187338</v>
      </c>
      <c r="AQ10" s="77">
        <f t="shared" si="23"/>
        <v>7.078978</v>
      </c>
      <c r="AR10" s="78"/>
      <c r="AS10" s="78"/>
      <c r="AT10" s="78">
        <f t="shared" si="24"/>
        <v>310.81429</v>
      </c>
      <c r="AU10" s="78">
        <f t="shared" si="25"/>
        <v>310.81429</v>
      </c>
      <c r="AV10" s="79">
        <f t="shared" si="26"/>
        <v>99.8655101</v>
      </c>
      <c r="AW10" s="77">
        <f t="shared" si="27"/>
        <v>5.969881</v>
      </c>
      <c r="AX10" s="78"/>
      <c r="AY10" s="78"/>
      <c r="AZ10" s="78">
        <f t="shared" si="28"/>
        <v>12751.92908</v>
      </c>
      <c r="BA10" s="78">
        <f t="shared" si="29"/>
        <v>12751.92908</v>
      </c>
      <c r="BB10" s="79">
        <f t="shared" si="30"/>
        <v>4097.2308652</v>
      </c>
      <c r="BC10" s="77">
        <f t="shared" si="31"/>
        <v>244.929212</v>
      </c>
      <c r="BD10" s="78"/>
      <c r="BE10" s="78"/>
      <c r="BF10" s="78">
        <f t="shared" si="32"/>
        <v>26165.595129999998</v>
      </c>
      <c r="BG10" s="78">
        <f t="shared" si="33"/>
        <v>26165.595129999998</v>
      </c>
      <c r="BH10" s="79">
        <f t="shared" si="34"/>
        <v>8407.0796897</v>
      </c>
      <c r="BI10" s="77">
        <f t="shared" si="35"/>
        <v>502.56855700000006</v>
      </c>
      <c r="BJ10" s="78"/>
      <c r="BK10" s="78"/>
      <c r="BL10" s="78">
        <f t="shared" si="36"/>
        <v>302.06523999999996</v>
      </c>
      <c r="BM10" s="78">
        <f t="shared" si="37"/>
        <v>302.06523999999996</v>
      </c>
      <c r="BN10" s="79">
        <f t="shared" si="38"/>
        <v>97.0544156</v>
      </c>
      <c r="BO10" s="77">
        <f t="shared" si="39"/>
        <v>5.801836000000001</v>
      </c>
      <c r="BP10" s="78"/>
      <c r="BQ10" s="78"/>
      <c r="BR10" s="78">
        <f t="shared" si="40"/>
        <v>202.90934000000001</v>
      </c>
      <c r="BS10" s="78">
        <f t="shared" si="41"/>
        <v>202.90934000000001</v>
      </c>
      <c r="BT10" s="79">
        <f t="shared" si="42"/>
        <v>65.1953446</v>
      </c>
      <c r="BU10" s="77">
        <f t="shared" si="43"/>
        <v>3.8973259999999996</v>
      </c>
      <c r="BV10" s="78"/>
      <c r="BW10" s="78"/>
      <c r="BX10" s="78">
        <f t="shared" si="44"/>
        <v>-30.227110000000003</v>
      </c>
      <c r="BY10" s="78">
        <f t="shared" si="45"/>
        <v>-30.227110000000003</v>
      </c>
      <c r="BZ10" s="79">
        <f t="shared" si="46"/>
        <v>-9.7120559</v>
      </c>
      <c r="CA10" s="77">
        <f t="shared" si="47"/>
        <v>-0.580579</v>
      </c>
      <c r="CB10" s="78"/>
      <c r="CC10" s="78"/>
      <c r="CD10" s="78">
        <f t="shared" si="48"/>
        <v>-19.69394</v>
      </c>
      <c r="CE10" s="78">
        <f t="shared" si="49"/>
        <v>-19.69394</v>
      </c>
      <c r="CF10" s="79">
        <f t="shared" si="50"/>
        <v>-6.3277186</v>
      </c>
      <c r="CG10" s="77">
        <f t="shared" si="51"/>
        <v>-0.378266</v>
      </c>
      <c r="CH10" s="78"/>
      <c r="CI10" s="78"/>
      <c r="CJ10" s="78">
        <f t="shared" si="52"/>
        <v>732.38126</v>
      </c>
      <c r="CK10" s="78">
        <f t="shared" si="53"/>
        <v>732.38126</v>
      </c>
      <c r="CL10" s="79">
        <f t="shared" si="54"/>
        <v>235.3161694</v>
      </c>
      <c r="CM10" s="77">
        <f t="shared" si="55"/>
        <v>14.067014</v>
      </c>
      <c r="CN10" s="78"/>
      <c r="CO10" s="78"/>
      <c r="CP10" s="78">
        <f t="shared" si="56"/>
        <v>4503.8737</v>
      </c>
      <c r="CQ10" s="78">
        <f t="shared" si="57"/>
        <v>4503.8737</v>
      </c>
      <c r="CR10" s="79">
        <f t="shared" si="58"/>
        <v>1447.1073529999999</v>
      </c>
      <c r="CS10" s="77">
        <f t="shared" si="59"/>
        <v>86.50693</v>
      </c>
      <c r="CT10" s="78"/>
      <c r="CU10" s="78"/>
      <c r="CV10" s="78">
        <f t="shared" si="60"/>
        <v>30256.30781</v>
      </c>
      <c r="CW10" s="78">
        <f t="shared" si="61"/>
        <v>30256.30781</v>
      </c>
      <c r="CX10" s="79">
        <f t="shared" si="62"/>
        <v>9721.4372389</v>
      </c>
      <c r="CY10" s="77">
        <f t="shared" si="63"/>
        <v>581.139809</v>
      </c>
      <c r="CZ10" s="78"/>
      <c r="DA10" s="78"/>
      <c r="DB10" s="78">
        <f t="shared" si="64"/>
        <v>4365.32992</v>
      </c>
      <c r="DC10" s="78">
        <f t="shared" si="65"/>
        <v>4365.32992</v>
      </c>
      <c r="DD10" s="79">
        <f t="shared" si="66"/>
        <v>1402.5928448</v>
      </c>
      <c r="DE10" s="77">
        <f t="shared" si="67"/>
        <v>83.845888</v>
      </c>
      <c r="DF10" s="78"/>
      <c r="DG10" s="78"/>
      <c r="DH10" s="78">
        <f t="shared" si="68"/>
        <v>8919.63932</v>
      </c>
      <c r="DI10" s="78">
        <f t="shared" si="69"/>
        <v>8919.63932</v>
      </c>
      <c r="DJ10" s="79">
        <f t="shared" si="70"/>
        <v>2865.9053308000002</v>
      </c>
      <c r="DK10" s="77">
        <f t="shared" si="71"/>
        <v>171.321548</v>
      </c>
      <c r="DL10" s="78"/>
      <c r="DM10" s="78"/>
      <c r="DN10" s="78">
        <f t="shared" si="72"/>
        <v>1446.5782199999999</v>
      </c>
      <c r="DO10" s="78">
        <f t="shared" si="73"/>
        <v>1446.5782199999999</v>
      </c>
      <c r="DP10" s="79">
        <f t="shared" si="74"/>
        <v>464.78967179999995</v>
      </c>
      <c r="DQ10" s="77">
        <f t="shared" si="75"/>
        <v>27.784758</v>
      </c>
      <c r="DR10" s="78"/>
      <c r="DS10" s="78"/>
      <c r="DT10" s="78">
        <f t="shared" si="76"/>
        <v>7420.6354200000005</v>
      </c>
      <c r="DU10" s="78">
        <f t="shared" si="77"/>
        <v>7420.6354200000005</v>
      </c>
      <c r="DV10" s="79">
        <f t="shared" si="78"/>
        <v>2384.2711398</v>
      </c>
      <c r="DW10" s="77">
        <f t="shared" si="79"/>
        <v>142.529838</v>
      </c>
      <c r="DX10" s="78"/>
      <c r="DY10" s="78"/>
      <c r="DZ10" s="78">
        <f t="shared" si="80"/>
        <v>66.32123</v>
      </c>
      <c r="EA10" s="78">
        <f t="shared" si="81"/>
        <v>66.32123</v>
      </c>
      <c r="EB10" s="79">
        <f t="shared" si="82"/>
        <v>21.3091987</v>
      </c>
      <c r="EC10" s="77">
        <f t="shared" si="83"/>
        <v>1.273847</v>
      </c>
      <c r="ED10" s="78"/>
      <c r="EE10" s="78"/>
      <c r="EF10" s="78">
        <f t="shared" si="84"/>
        <v>87.28464</v>
      </c>
      <c r="EG10" s="78">
        <f t="shared" si="85"/>
        <v>87.28464</v>
      </c>
      <c r="EH10" s="79">
        <f t="shared" si="86"/>
        <v>28.0448016</v>
      </c>
      <c r="EI10" s="77">
        <f t="shared" si="87"/>
        <v>1.676496</v>
      </c>
      <c r="EJ10" s="78"/>
      <c r="EK10" s="78"/>
      <c r="EL10" s="78">
        <f t="shared" si="88"/>
        <v>4398.09597</v>
      </c>
      <c r="EM10" s="78">
        <f t="shared" si="89"/>
        <v>4398.09597</v>
      </c>
      <c r="EN10" s="79">
        <f t="shared" si="90"/>
        <v>1413.1206693000001</v>
      </c>
      <c r="EO10" s="77">
        <f t="shared" si="91"/>
        <v>84.475233</v>
      </c>
      <c r="EP10" s="78"/>
      <c r="EQ10" s="78"/>
      <c r="ER10" s="78">
        <f t="shared" si="92"/>
        <v>83.71640000000001</v>
      </c>
      <c r="ES10" s="78">
        <f t="shared" si="93"/>
        <v>83.71640000000001</v>
      </c>
      <c r="ET10" s="79">
        <f t="shared" si="94"/>
        <v>26.898315999999998</v>
      </c>
      <c r="EU10" s="77">
        <f t="shared" si="95"/>
        <v>1.60796</v>
      </c>
      <c r="EV10" s="78"/>
      <c r="EW10" s="78"/>
      <c r="EX10" s="78">
        <f t="shared" si="96"/>
        <v>1250.90829</v>
      </c>
      <c r="EY10" s="78">
        <f t="shared" si="97"/>
        <v>1250.90829</v>
      </c>
      <c r="EZ10" s="79">
        <f t="shared" si="98"/>
        <v>401.9203701</v>
      </c>
      <c r="FA10" s="77">
        <f t="shared" si="99"/>
        <v>24.026481</v>
      </c>
      <c r="FB10" s="78"/>
      <c r="FC10" s="78"/>
      <c r="FD10" s="78">
        <f t="shared" si="100"/>
        <v>868.96937</v>
      </c>
      <c r="FE10" s="78">
        <f t="shared" si="101"/>
        <v>868.96937</v>
      </c>
      <c r="FF10" s="79">
        <f t="shared" si="102"/>
        <v>279.2023153</v>
      </c>
      <c r="FG10" s="77">
        <f t="shared" si="103"/>
        <v>16.690493</v>
      </c>
      <c r="FH10" s="78"/>
      <c r="FI10" s="78"/>
      <c r="FJ10" s="78">
        <f t="shared" si="104"/>
        <v>339.22297</v>
      </c>
      <c r="FK10" s="78">
        <f t="shared" si="105"/>
        <v>339.22297</v>
      </c>
      <c r="FL10" s="79">
        <f t="shared" si="106"/>
        <v>108.99329929999999</v>
      </c>
      <c r="FM10" s="77">
        <f t="shared" si="107"/>
        <v>6.515533</v>
      </c>
      <c r="FN10" s="78"/>
      <c r="FO10" s="78"/>
      <c r="FP10" s="78">
        <f t="shared" si="108"/>
        <v>3812.21841</v>
      </c>
      <c r="FQ10" s="78">
        <f t="shared" si="109"/>
        <v>3812.21841</v>
      </c>
      <c r="FR10" s="79">
        <f t="shared" si="110"/>
        <v>1224.8765529</v>
      </c>
      <c r="FS10" s="77">
        <f t="shared" si="111"/>
        <v>73.222149</v>
      </c>
      <c r="FT10" s="78"/>
      <c r="FU10" s="78"/>
      <c r="FV10" s="78">
        <f t="shared" si="112"/>
        <v>8591.97882</v>
      </c>
      <c r="FW10" s="78">
        <f t="shared" si="113"/>
        <v>8591.97882</v>
      </c>
      <c r="FX10" s="79">
        <f t="shared" si="114"/>
        <v>2760.6270858000003</v>
      </c>
      <c r="FY10" s="77">
        <f t="shared" si="115"/>
        <v>165.028098</v>
      </c>
      <c r="FZ10" s="78"/>
      <c r="GA10" s="78"/>
      <c r="GB10" s="78">
        <f t="shared" si="116"/>
        <v>1096.44467</v>
      </c>
      <c r="GC10" s="78">
        <f t="shared" si="117"/>
        <v>1096.44467</v>
      </c>
      <c r="GD10" s="79">
        <f t="shared" si="118"/>
        <v>352.2907723</v>
      </c>
      <c r="GE10" s="77">
        <f t="shared" si="119"/>
        <v>21.059663</v>
      </c>
      <c r="GF10" s="78"/>
      <c r="GG10" s="78"/>
      <c r="GH10" s="78">
        <f t="shared" si="120"/>
        <v>1741.16388</v>
      </c>
      <c r="GI10" s="78">
        <f t="shared" si="121"/>
        <v>1741.16388</v>
      </c>
      <c r="GJ10" s="79">
        <f t="shared" si="122"/>
        <v>559.4408772</v>
      </c>
      <c r="GK10" s="77">
        <f t="shared" si="123"/>
        <v>33.442932</v>
      </c>
      <c r="GL10" s="78"/>
      <c r="GM10" s="78"/>
      <c r="GN10" s="78">
        <f t="shared" si="124"/>
        <v>8069.33459</v>
      </c>
      <c r="GO10" s="78">
        <f t="shared" si="125"/>
        <v>8069.33459</v>
      </c>
      <c r="GP10" s="79">
        <f t="shared" si="126"/>
        <v>2592.7000171</v>
      </c>
      <c r="GQ10" s="77">
        <f t="shared" si="127"/>
        <v>154.989551</v>
      </c>
      <c r="GR10" s="78"/>
      <c r="GS10" s="78"/>
      <c r="GT10" s="78">
        <f t="shared" si="128"/>
        <v>428.25741999999997</v>
      </c>
      <c r="GU10" s="78">
        <f t="shared" si="129"/>
        <v>428.25741999999997</v>
      </c>
      <c r="GV10" s="79">
        <f t="shared" si="130"/>
        <v>137.60031980000002</v>
      </c>
      <c r="GW10" s="77">
        <f t="shared" si="131"/>
        <v>8.225638</v>
      </c>
      <c r="GX10" s="78"/>
      <c r="GY10" s="78"/>
      <c r="GZ10" s="78">
        <f t="shared" si="132"/>
        <v>2455.3608400000003</v>
      </c>
      <c r="HA10" s="78">
        <f t="shared" si="133"/>
        <v>2455.3608400000003</v>
      </c>
      <c r="HB10" s="79">
        <f t="shared" si="134"/>
        <v>788.9143796000001</v>
      </c>
      <c r="HC10" s="77">
        <f t="shared" si="135"/>
        <v>47.160676</v>
      </c>
      <c r="HD10" s="78"/>
      <c r="HE10" s="78"/>
      <c r="HF10" s="78"/>
      <c r="HG10" s="78"/>
      <c r="HH10" s="78"/>
      <c r="HI10" s="78"/>
    </row>
    <row r="11" spans="1:217" ht="12">
      <c r="A11" s="19">
        <v>42461</v>
      </c>
      <c r="C11" s="36"/>
      <c r="D11" s="36">
        <v>343100</v>
      </c>
      <c r="E11" s="77">
        <f t="shared" si="0"/>
        <v>343100</v>
      </c>
      <c r="F11" s="77">
        <v>110239</v>
      </c>
      <c r="G11" s="77">
        <v>6590</v>
      </c>
      <c r="H11" s="78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186243.56629</v>
      </c>
      <c r="K11" s="79">
        <f t="shared" si="2"/>
        <v>186243.56629</v>
      </c>
      <c r="L11" s="79">
        <f t="shared" si="3"/>
        <v>59840.5843901</v>
      </c>
      <c r="M11" s="79">
        <f t="shared" si="3"/>
        <v>3577.2226809999993</v>
      </c>
      <c r="N11" s="78"/>
      <c r="O11" s="78">
        <f t="shared" si="136"/>
        <v>0</v>
      </c>
      <c r="P11" s="78">
        <f t="shared" si="4"/>
        <v>22694.41812</v>
      </c>
      <c r="Q11" s="79">
        <f t="shared" si="5"/>
        <v>22694.41812</v>
      </c>
      <c r="R11" s="79">
        <f t="shared" si="6"/>
        <v>7291.7807028</v>
      </c>
      <c r="S11" s="77">
        <f t="shared" si="7"/>
        <v>435.896868</v>
      </c>
      <c r="T11" s="78"/>
      <c r="U11" s="78">
        <f t="shared" si="137"/>
        <v>0</v>
      </c>
      <c r="V11" s="78">
        <f t="shared" si="8"/>
        <v>387.56576</v>
      </c>
      <c r="W11" s="78">
        <f t="shared" si="9"/>
        <v>387.56576</v>
      </c>
      <c r="X11" s="79">
        <f t="shared" si="10"/>
        <v>124.5259744</v>
      </c>
      <c r="Y11" s="77">
        <f t="shared" si="11"/>
        <v>7.444063999999999</v>
      </c>
      <c r="Z11" s="78"/>
      <c r="AA11" s="79">
        <f t="shared" si="138"/>
        <v>0</v>
      </c>
      <c r="AB11" s="78">
        <f t="shared" si="12"/>
        <v>1749.60414</v>
      </c>
      <c r="AC11" s="78">
        <f t="shared" si="13"/>
        <v>1749.60414</v>
      </c>
      <c r="AD11" s="79">
        <f t="shared" si="14"/>
        <v>562.1527566</v>
      </c>
      <c r="AE11" s="77">
        <f t="shared" si="15"/>
        <v>33.605045999999994</v>
      </c>
      <c r="AF11" s="78"/>
      <c r="AG11" s="78">
        <f t="shared" si="139"/>
        <v>0</v>
      </c>
      <c r="AH11" s="78">
        <f t="shared" si="16"/>
        <v>30426.00507</v>
      </c>
      <c r="AI11" s="78">
        <f t="shared" si="17"/>
        <v>30426.00507</v>
      </c>
      <c r="AJ11" s="79">
        <f t="shared" si="18"/>
        <v>9775.9614483</v>
      </c>
      <c r="AK11" s="77">
        <f t="shared" si="19"/>
        <v>584.399223</v>
      </c>
      <c r="AL11" s="78"/>
      <c r="AM11" s="78">
        <f t="shared" si="140"/>
        <v>0</v>
      </c>
      <c r="AN11" s="78">
        <f t="shared" si="20"/>
        <v>368.55802000000006</v>
      </c>
      <c r="AO11" s="78">
        <f t="shared" si="21"/>
        <v>368.55802000000006</v>
      </c>
      <c r="AP11" s="79">
        <f t="shared" si="22"/>
        <v>118.4187338</v>
      </c>
      <c r="AQ11" s="77">
        <f t="shared" si="23"/>
        <v>7.078978</v>
      </c>
      <c r="AR11" s="78"/>
      <c r="AS11" s="78">
        <f t="shared" si="141"/>
        <v>0</v>
      </c>
      <c r="AT11" s="78">
        <f t="shared" si="24"/>
        <v>310.81429</v>
      </c>
      <c r="AU11" s="78">
        <f t="shared" si="25"/>
        <v>310.81429</v>
      </c>
      <c r="AV11" s="79">
        <f t="shared" si="26"/>
        <v>99.8655101</v>
      </c>
      <c r="AW11" s="77">
        <f t="shared" si="27"/>
        <v>5.969881</v>
      </c>
      <c r="AX11" s="78"/>
      <c r="AY11" s="78">
        <f t="shared" si="142"/>
        <v>0</v>
      </c>
      <c r="AZ11" s="78">
        <f t="shared" si="28"/>
        <v>12751.92908</v>
      </c>
      <c r="BA11" s="78">
        <f t="shared" si="29"/>
        <v>12751.92908</v>
      </c>
      <c r="BB11" s="79">
        <f t="shared" si="30"/>
        <v>4097.2308652</v>
      </c>
      <c r="BC11" s="77">
        <f t="shared" si="31"/>
        <v>244.929212</v>
      </c>
      <c r="BD11" s="78"/>
      <c r="BE11" s="78">
        <f t="shared" si="143"/>
        <v>0</v>
      </c>
      <c r="BF11" s="78">
        <f t="shared" si="32"/>
        <v>26165.595129999998</v>
      </c>
      <c r="BG11" s="78">
        <f t="shared" si="33"/>
        <v>26165.595129999998</v>
      </c>
      <c r="BH11" s="79">
        <f t="shared" si="34"/>
        <v>8407.0796897</v>
      </c>
      <c r="BI11" s="77">
        <f t="shared" si="35"/>
        <v>502.56855700000006</v>
      </c>
      <c r="BJ11" s="78"/>
      <c r="BK11" s="78">
        <f t="shared" si="144"/>
        <v>0</v>
      </c>
      <c r="BL11" s="78">
        <f t="shared" si="36"/>
        <v>302.06523999999996</v>
      </c>
      <c r="BM11" s="78">
        <f t="shared" si="37"/>
        <v>302.06523999999996</v>
      </c>
      <c r="BN11" s="79">
        <f t="shared" si="38"/>
        <v>97.0544156</v>
      </c>
      <c r="BO11" s="77">
        <f t="shared" si="39"/>
        <v>5.801836000000001</v>
      </c>
      <c r="BP11" s="78"/>
      <c r="BQ11" s="78">
        <f t="shared" si="145"/>
        <v>0</v>
      </c>
      <c r="BR11" s="78">
        <f t="shared" si="40"/>
        <v>202.90934000000001</v>
      </c>
      <c r="BS11" s="78">
        <f t="shared" si="41"/>
        <v>202.90934000000001</v>
      </c>
      <c r="BT11" s="79">
        <f t="shared" si="42"/>
        <v>65.1953446</v>
      </c>
      <c r="BU11" s="77">
        <f t="shared" si="43"/>
        <v>3.8973259999999996</v>
      </c>
      <c r="BV11" s="78"/>
      <c r="BW11" s="78">
        <f t="shared" si="146"/>
        <v>0</v>
      </c>
      <c r="BX11" s="78">
        <f t="shared" si="44"/>
        <v>-30.227110000000003</v>
      </c>
      <c r="BY11" s="78">
        <f t="shared" si="45"/>
        <v>-30.227110000000003</v>
      </c>
      <c r="BZ11" s="79">
        <f t="shared" si="46"/>
        <v>-9.7120559</v>
      </c>
      <c r="CA11" s="77">
        <f t="shared" si="47"/>
        <v>-0.580579</v>
      </c>
      <c r="CB11" s="78"/>
      <c r="CC11" s="78">
        <f t="shared" si="147"/>
        <v>0</v>
      </c>
      <c r="CD11" s="78">
        <f t="shared" si="48"/>
        <v>-19.69394</v>
      </c>
      <c r="CE11" s="78">
        <f t="shared" si="49"/>
        <v>-19.69394</v>
      </c>
      <c r="CF11" s="79">
        <f t="shared" si="50"/>
        <v>-6.3277186</v>
      </c>
      <c r="CG11" s="77">
        <f t="shared" si="51"/>
        <v>-0.378266</v>
      </c>
      <c r="CH11" s="78"/>
      <c r="CI11" s="78">
        <f t="shared" si="148"/>
        <v>0</v>
      </c>
      <c r="CJ11" s="78">
        <f t="shared" si="52"/>
        <v>732.38126</v>
      </c>
      <c r="CK11" s="78">
        <f t="shared" si="53"/>
        <v>732.38126</v>
      </c>
      <c r="CL11" s="79">
        <f t="shared" si="54"/>
        <v>235.3161694</v>
      </c>
      <c r="CM11" s="77">
        <f t="shared" si="55"/>
        <v>14.067014</v>
      </c>
      <c r="CN11" s="78"/>
      <c r="CO11" s="78">
        <f t="shared" si="149"/>
        <v>0</v>
      </c>
      <c r="CP11" s="78">
        <f t="shared" si="56"/>
        <v>4503.8737</v>
      </c>
      <c r="CQ11" s="78">
        <f t="shared" si="57"/>
        <v>4503.8737</v>
      </c>
      <c r="CR11" s="79">
        <f t="shared" si="58"/>
        <v>1447.1073529999999</v>
      </c>
      <c r="CS11" s="77">
        <f t="shared" si="59"/>
        <v>86.50693</v>
      </c>
      <c r="CT11" s="78"/>
      <c r="CU11" s="78">
        <f t="shared" si="150"/>
        <v>0</v>
      </c>
      <c r="CV11" s="78">
        <f t="shared" si="60"/>
        <v>30256.30781</v>
      </c>
      <c r="CW11" s="78">
        <f t="shared" si="61"/>
        <v>30256.30781</v>
      </c>
      <c r="CX11" s="79">
        <f t="shared" si="62"/>
        <v>9721.4372389</v>
      </c>
      <c r="CY11" s="77">
        <f t="shared" si="63"/>
        <v>581.139809</v>
      </c>
      <c r="CZ11" s="78"/>
      <c r="DA11" s="78">
        <f t="shared" si="151"/>
        <v>0</v>
      </c>
      <c r="DB11" s="78">
        <f t="shared" si="64"/>
        <v>4365.32992</v>
      </c>
      <c r="DC11" s="78">
        <f t="shared" si="65"/>
        <v>4365.32992</v>
      </c>
      <c r="DD11" s="79">
        <f t="shared" si="66"/>
        <v>1402.5928448</v>
      </c>
      <c r="DE11" s="77">
        <f t="shared" si="67"/>
        <v>83.845888</v>
      </c>
      <c r="DF11" s="78"/>
      <c r="DG11" s="78">
        <f t="shared" si="152"/>
        <v>0</v>
      </c>
      <c r="DH11" s="78">
        <f t="shared" si="68"/>
        <v>8919.63932</v>
      </c>
      <c r="DI11" s="78">
        <f t="shared" si="69"/>
        <v>8919.63932</v>
      </c>
      <c r="DJ11" s="79">
        <f t="shared" si="70"/>
        <v>2865.9053308000002</v>
      </c>
      <c r="DK11" s="77">
        <f t="shared" si="71"/>
        <v>171.321548</v>
      </c>
      <c r="DL11" s="78"/>
      <c r="DM11" s="78">
        <f t="shared" si="153"/>
        <v>0</v>
      </c>
      <c r="DN11" s="78">
        <f t="shared" si="72"/>
        <v>1446.5782199999999</v>
      </c>
      <c r="DO11" s="78">
        <f t="shared" si="73"/>
        <v>1446.5782199999999</v>
      </c>
      <c r="DP11" s="79">
        <f t="shared" si="74"/>
        <v>464.78967179999995</v>
      </c>
      <c r="DQ11" s="77">
        <f t="shared" si="75"/>
        <v>27.784758</v>
      </c>
      <c r="DR11" s="78"/>
      <c r="DS11" s="78">
        <f t="shared" si="154"/>
        <v>0</v>
      </c>
      <c r="DT11" s="78">
        <f t="shared" si="76"/>
        <v>7420.6354200000005</v>
      </c>
      <c r="DU11" s="78">
        <f t="shared" si="77"/>
        <v>7420.6354200000005</v>
      </c>
      <c r="DV11" s="79">
        <f t="shared" si="78"/>
        <v>2384.2711398</v>
      </c>
      <c r="DW11" s="77">
        <f t="shared" si="79"/>
        <v>142.529838</v>
      </c>
      <c r="DX11" s="78"/>
      <c r="DY11" s="78">
        <f t="shared" si="155"/>
        <v>0</v>
      </c>
      <c r="DZ11" s="78">
        <f t="shared" si="80"/>
        <v>66.32123</v>
      </c>
      <c r="EA11" s="78">
        <f t="shared" si="81"/>
        <v>66.32123</v>
      </c>
      <c r="EB11" s="79">
        <f t="shared" si="82"/>
        <v>21.3091987</v>
      </c>
      <c r="EC11" s="77">
        <f t="shared" si="83"/>
        <v>1.273847</v>
      </c>
      <c r="ED11" s="78"/>
      <c r="EE11" s="78">
        <f t="shared" si="156"/>
        <v>0</v>
      </c>
      <c r="EF11" s="78">
        <f t="shared" si="84"/>
        <v>87.28464</v>
      </c>
      <c r="EG11" s="78">
        <f t="shared" si="85"/>
        <v>87.28464</v>
      </c>
      <c r="EH11" s="79">
        <f t="shared" si="86"/>
        <v>28.0448016</v>
      </c>
      <c r="EI11" s="77">
        <f t="shared" si="87"/>
        <v>1.676496</v>
      </c>
      <c r="EJ11" s="78"/>
      <c r="EK11" s="78">
        <f t="shared" si="157"/>
        <v>0</v>
      </c>
      <c r="EL11" s="78">
        <f t="shared" si="88"/>
        <v>4398.09597</v>
      </c>
      <c r="EM11" s="78">
        <f t="shared" si="89"/>
        <v>4398.09597</v>
      </c>
      <c r="EN11" s="79">
        <f t="shared" si="90"/>
        <v>1413.1206693000001</v>
      </c>
      <c r="EO11" s="77">
        <f t="shared" si="91"/>
        <v>84.475233</v>
      </c>
      <c r="EP11" s="78"/>
      <c r="EQ11" s="78">
        <f t="shared" si="158"/>
        <v>0</v>
      </c>
      <c r="ER11" s="78">
        <f t="shared" si="92"/>
        <v>83.71640000000001</v>
      </c>
      <c r="ES11" s="78">
        <f t="shared" si="93"/>
        <v>83.71640000000001</v>
      </c>
      <c r="ET11" s="79">
        <f t="shared" si="94"/>
        <v>26.898315999999998</v>
      </c>
      <c r="EU11" s="77">
        <f t="shared" si="95"/>
        <v>1.60796</v>
      </c>
      <c r="EV11" s="78"/>
      <c r="EW11" s="78">
        <f t="shared" si="159"/>
        <v>0</v>
      </c>
      <c r="EX11" s="78">
        <f t="shared" si="96"/>
        <v>1250.90829</v>
      </c>
      <c r="EY11" s="78">
        <f t="shared" si="97"/>
        <v>1250.90829</v>
      </c>
      <c r="EZ11" s="79">
        <f t="shared" si="98"/>
        <v>401.9203701</v>
      </c>
      <c r="FA11" s="77">
        <f t="shared" si="99"/>
        <v>24.026481</v>
      </c>
      <c r="FB11" s="78"/>
      <c r="FC11" s="78">
        <f t="shared" si="160"/>
        <v>0</v>
      </c>
      <c r="FD11" s="78">
        <f t="shared" si="100"/>
        <v>868.96937</v>
      </c>
      <c r="FE11" s="78">
        <f t="shared" si="101"/>
        <v>868.96937</v>
      </c>
      <c r="FF11" s="79">
        <f t="shared" si="102"/>
        <v>279.2023153</v>
      </c>
      <c r="FG11" s="77">
        <f t="shared" si="103"/>
        <v>16.690493</v>
      </c>
      <c r="FH11" s="78"/>
      <c r="FI11" s="78">
        <f t="shared" si="161"/>
        <v>0</v>
      </c>
      <c r="FJ11" s="78">
        <f t="shared" si="104"/>
        <v>339.22297</v>
      </c>
      <c r="FK11" s="78">
        <f t="shared" si="105"/>
        <v>339.22297</v>
      </c>
      <c r="FL11" s="79">
        <f t="shared" si="106"/>
        <v>108.99329929999999</v>
      </c>
      <c r="FM11" s="77">
        <f t="shared" si="107"/>
        <v>6.515533</v>
      </c>
      <c r="FN11" s="78"/>
      <c r="FO11" s="78">
        <f t="shared" si="162"/>
        <v>0</v>
      </c>
      <c r="FP11" s="78">
        <f t="shared" si="108"/>
        <v>3812.21841</v>
      </c>
      <c r="FQ11" s="78">
        <f t="shared" si="109"/>
        <v>3812.21841</v>
      </c>
      <c r="FR11" s="79">
        <f t="shared" si="110"/>
        <v>1224.8765529</v>
      </c>
      <c r="FS11" s="77">
        <f t="shared" si="111"/>
        <v>73.222149</v>
      </c>
      <c r="FT11" s="78"/>
      <c r="FU11" s="78">
        <f t="shared" si="163"/>
        <v>0</v>
      </c>
      <c r="FV11" s="78">
        <f t="shared" si="112"/>
        <v>8591.97882</v>
      </c>
      <c r="FW11" s="78">
        <f t="shared" si="113"/>
        <v>8591.97882</v>
      </c>
      <c r="FX11" s="79">
        <f t="shared" si="114"/>
        <v>2760.6270858000003</v>
      </c>
      <c r="FY11" s="77">
        <f t="shared" si="115"/>
        <v>165.028098</v>
      </c>
      <c r="FZ11" s="78"/>
      <c r="GA11" s="78">
        <f t="shared" si="164"/>
        <v>0</v>
      </c>
      <c r="GB11" s="78">
        <f t="shared" si="116"/>
        <v>1096.44467</v>
      </c>
      <c r="GC11" s="78">
        <f t="shared" si="117"/>
        <v>1096.44467</v>
      </c>
      <c r="GD11" s="79">
        <f t="shared" si="118"/>
        <v>352.2907723</v>
      </c>
      <c r="GE11" s="77">
        <f t="shared" si="119"/>
        <v>21.059663</v>
      </c>
      <c r="GF11" s="78"/>
      <c r="GG11" s="78">
        <f t="shared" si="165"/>
        <v>0</v>
      </c>
      <c r="GH11" s="78">
        <f t="shared" si="120"/>
        <v>1741.16388</v>
      </c>
      <c r="GI11" s="78">
        <f t="shared" si="121"/>
        <v>1741.16388</v>
      </c>
      <c r="GJ11" s="79">
        <f t="shared" si="122"/>
        <v>559.4408772</v>
      </c>
      <c r="GK11" s="77">
        <f t="shared" si="123"/>
        <v>33.442932</v>
      </c>
      <c r="GL11" s="78"/>
      <c r="GM11" s="78">
        <f t="shared" si="166"/>
        <v>0</v>
      </c>
      <c r="GN11" s="78">
        <f t="shared" si="124"/>
        <v>8069.33459</v>
      </c>
      <c r="GO11" s="78">
        <f t="shared" si="125"/>
        <v>8069.33459</v>
      </c>
      <c r="GP11" s="79">
        <f t="shared" si="126"/>
        <v>2592.7000171</v>
      </c>
      <c r="GQ11" s="77">
        <f t="shared" si="127"/>
        <v>154.989551</v>
      </c>
      <c r="GR11" s="78"/>
      <c r="GS11" s="78">
        <f t="shared" si="167"/>
        <v>0</v>
      </c>
      <c r="GT11" s="78">
        <f t="shared" si="128"/>
        <v>428.25741999999997</v>
      </c>
      <c r="GU11" s="78">
        <f t="shared" si="129"/>
        <v>428.25741999999997</v>
      </c>
      <c r="GV11" s="79">
        <f t="shared" si="130"/>
        <v>137.60031980000002</v>
      </c>
      <c r="GW11" s="77">
        <f t="shared" si="131"/>
        <v>8.225638</v>
      </c>
      <c r="GX11" s="78"/>
      <c r="GY11" s="78">
        <f t="shared" si="168"/>
        <v>0</v>
      </c>
      <c r="GZ11" s="78">
        <f t="shared" si="132"/>
        <v>2455.3608400000003</v>
      </c>
      <c r="HA11" s="78">
        <f t="shared" si="133"/>
        <v>2455.3608400000003</v>
      </c>
      <c r="HB11" s="79">
        <f t="shared" si="134"/>
        <v>788.9143796000001</v>
      </c>
      <c r="HC11" s="77">
        <f t="shared" si="135"/>
        <v>47.160676</v>
      </c>
      <c r="HD11" s="78"/>
      <c r="HE11" s="78"/>
      <c r="HF11" s="78"/>
      <c r="HG11" s="78"/>
      <c r="HH11" s="78"/>
      <c r="HI11" s="78"/>
    </row>
    <row r="12" spans="1:217" ht="12">
      <c r="A12" s="19">
        <v>42644</v>
      </c>
      <c r="C12" s="36"/>
      <c r="D12" s="36">
        <v>343100</v>
      </c>
      <c r="E12" s="77">
        <f t="shared" si="0"/>
        <v>343100</v>
      </c>
      <c r="F12" s="77">
        <v>110239</v>
      </c>
      <c r="G12" s="77">
        <v>6590</v>
      </c>
      <c r="H12" s="78"/>
      <c r="I12" s="79"/>
      <c r="J12" s="79">
        <f t="shared" si="1"/>
        <v>186243.56629</v>
      </c>
      <c r="K12" s="79">
        <f t="shared" si="2"/>
        <v>186243.56629</v>
      </c>
      <c r="L12" s="79">
        <f t="shared" si="3"/>
        <v>59840.5843901</v>
      </c>
      <c r="M12" s="79">
        <f t="shared" si="3"/>
        <v>3577.2226809999993</v>
      </c>
      <c r="N12" s="78"/>
      <c r="O12" s="78"/>
      <c r="P12" s="78">
        <f t="shared" si="4"/>
        <v>22694.41812</v>
      </c>
      <c r="Q12" s="79">
        <f t="shared" si="5"/>
        <v>22694.41812</v>
      </c>
      <c r="R12" s="79">
        <f t="shared" si="6"/>
        <v>7291.7807028</v>
      </c>
      <c r="S12" s="77">
        <f t="shared" si="7"/>
        <v>435.896868</v>
      </c>
      <c r="T12" s="78"/>
      <c r="U12" s="78"/>
      <c r="V12" s="78">
        <f t="shared" si="8"/>
        <v>387.56576</v>
      </c>
      <c r="W12" s="78">
        <f t="shared" si="9"/>
        <v>387.56576</v>
      </c>
      <c r="X12" s="79">
        <f t="shared" si="10"/>
        <v>124.5259744</v>
      </c>
      <c r="Y12" s="77">
        <f t="shared" si="11"/>
        <v>7.444063999999999</v>
      </c>
      <c r="Z12" s="78"/>
      <c r="AA12" s="79"/>
      <c r="AB12" s="78">
        <f t="shared" si="12"/>
        <v>1749.60414</v>
      </c>
      <c r="AC12" s="78">
        <f t="shared" si="13"/>
        <v>1749.60414</v>
      </c>
      <c r="AD12" s="79">
        <f t="shared" si="14"/>
        <v>562.1527566</v>
      </c>
      <c r="AE12" s="77">
        <f t="shared" si="15"/>
        <v>33.605045999999994</v>
      </c>
      <c r="AF12" s="78"/>
      <c r="AG12" s="78"/>
      <c r="AH12" s="78">
        <f t="shared" si="16"/>
        <v>30426.00507</v>
      </c>
      <c r="AI12" s="78">
        <f t="shared" si="17"/>
        <v>30426.00507</v>
      </c>
      <c r="AJ12" s="79">
        <f t="shared" si="18"/>
        <v>9775.9614483</v>
      </c>
      <c r="AK12" s="77">
        <f t="shared" si="19"/>
        <v>584.399223</v>
      </c>
      <c r="AL12" s="78"/>
      <c r="AM12" s="78"/>
      <c r="AN12" s="78">
        <f t="shared" si="20"/>
        <v>368.55802000000006</v>
      </c>
      <c r="AO12" s="78">
        <f t="shared" si="21"/>
        <v>368.55802000000006</v>
      </c>
      <c r="AP12" s="79">
        <f t="shared" si="22"/>
        <v>118.4187338</v>
      </c>
      <c r="AQ12" s="77">
        <f t="shared" si="23"/>
        <v>7.078978</v>
      </c>
      <c r="AR12" s="78"/>
      <c r="AS12" s="78"/>
      <c r="AT12" s="78">
        <f t="shared" si="24"/>
        <v>310.81429</v>
      </c>
      <c r="AU12" s="78">
        <f t="shared" si="25"/>
        <v>310.81429</v>
      </c>
      <c r="AV12" s="79">
        <f t="shared" si="26"/>
        <v>99.8655101</v>
      </c>
      <c r="AW12" s="77">
        <f t="shared" si="27"/>
        <v>5.969881</v>
      </c>
      <c r="AX12" s="78"/>
      <c r="AY12" s="78"/>
      <c r="AZ12" s="78">
        <f t="shared" si="28"/>
        <v>12751.92908</v>
      </c>
      <c r="BA12" s="78">
        <f t="shared" si="29"/>
        <v>12751.92908</v>
      </c>
      <c r="BB12" s="79">
        <f t="shared" si="30"/>
        <v>4097.2308652</v>
      </c>
      <c r="BC12" s="77">
        <f t="shared" si="31"/>
        <v>244.929212</v>
      </c>
      <c r="BD12" s="78"/>
      <c r="BE12" s="78"/>
      <c r="BF12" s="78">
        <f t="shared" si="32"/>
        <v>26165.595129999998</v>
      </c>
      <c r="BG12" s="78">
        <f t="shared" si="33"/>
        <v>26165.595129999998</v>
      </c>
      <c r="BH12" s="79">
        <f t="shared" si="34"/>
        <v>8407.0796897</v>
      </c>
      <c r="BI12" s="77">
        <f t="shared" si="35"/>
        <v>502.56855700000006</v>
      </c>
      <c r="BJ12" s="78"/>
      <c r="BK12" s="78"/>
      <c r="BL12" s="78">
        <f t="shared" si="36"/>
        <v>302.06523999999996</v>
      </c>
      <c r="BM12" s="78">
        <f t="shared" si="37"/>
        <v>302.06523999999996</v>
      </c>
      <c r="BN12" s="79">
        <f t="shared" si="38"/>
        <v>97.0544156</v>
      </c>
      <c r="BO12" s="77">
        <f t="shared" si="39"/>
        <v>5.801836000000001</v>
      </c>
      <c r="BP12" s="78"/>
      <c r="BQ12" s="78"/>
      <c r="BR12" s="78">
        <f t="shared" si="40"/>
        <v>202.90934000000001</v>
      </c>
      <c r="BS12" s="78">
        <f t="shared" si="41"/>
        <v>202.90934000000001</v>
      </c>
      <c r="BT12" s="79">
        <f t="shared" si="42"/>
        <v>65.1953446</v>
      </c>
      <c r="BU12" s="77">
        <f t="shared" si="43"/>
        <v>3.8973259999999996</v>
      </c>
      <c r="BV12" s="78"/>
      <c r="BW12" s="78"/>
      <c r="BX12" s="78">
        <f t="shared" si="44"/>
        <v>-30.227110000000003</v>
      </c>
      <c r="BY12" s="78">
        <f t="shared" si="45"/>
        <v>-30.227110000000003</v>
      </c>
      <c r="BZ12" s="79">
        <f t="shared" si="46"/>
        <v>-9.7120559</v>
      </c>
      <c r="CA12" s="77">
        <f t="shared" si="47"/>
        <v>-0.580579</v>
      </c>
      <c r="CB12" s="78"/>
      <c r="CC12" s="78"/>
      <c r="CD12" s="78">
        <f t="shared" si="48"/>
        <v>-19.69394</v>
      </c>
      <c r="CE12" s="78">
        <f t="shared" si="49"/>
        <v>-19.69394</v>
      </c>
      <c r="CF12" s="79">
        <f t="shared" si="50"/>
        <v>-6.3277186</v>
      </c>
      <c r="CG12" s="77">
        <f t="shared" si="51"/>
        <v>-0.378266</v>
      </c>
      <c r="CH12" s="78"/>
      <c r="CI12" s="78"/>
      <c r="CJ12" s="78">
        <f t="shared" si="52"/>
        <v>732.38126</v>
      </c>
      <c r="CK12" s="78">
        <f t="shared" si="53"/>
        <v>732.38126</v>
      </c>
      <c r="CL12" s="79">
        <f t="shared" si="54"/>
        <v>235.3161694</v>
      </c>
      <c r="CM12" s="77">
        <f t="shared" si="55"/>
        <v>14.067014</v>
      </c>
      <c r="CN12" s="78"/>
      <c r="CO12" s="78"/>
      <c r="CP12" s="78">
        <f t="shared" si="56"/>
        <v>4503.8737</v>
      </c>
      <c r="CQ12" s="78">
        <f t="shared" si="57"/>
        <v>4503.8737</v>
      </c>
      <c r="CR12" s="79">
        <f t="shared" si="58"/>
        <v>1447.1073529999999</v>
      </c>
      <c r="CS12" s="77">
        <f t="shared" si="59"/>
        <v>86.50693</v>
      </c>
      <c r="CT12" s="78"/>
      <c r="CU12" s="78"/>
      <c r="CV12" s="78">
        <f t="shared" si="60"/>
        <v>30256.30781</v>
      </c>
      <c r="CW12" s="78">
        <f t="shared" si="61"/>
        <v>30256.30781</v>
      </c>
      <c r="CX12" s="79">
        <f t="shared" si="62"/>
        <v>9721.4372389</v>
      </c>
      <c r="CY12" s="77">
        <f t="shared" si="63"/>
        <v>581.139809</v>
      </c>
      <c r="CZ12" s="78"/>
      <c r="DA12" s="78"/>
      <c r="DB12" s="78">
        <f t="shared" si="64"/>
        <v>4365.32992</v>
      </c>
      <c r="DC12" s="78">
        <f t="shared" si="65"/>
        <v>4365.32992</v>
      </c>
      <c r="DD12" s="79">
        <f t="shared" si="66"/>
        <v>1402.5928448</v>
      </c>
      <c r="DE12" s="77">
        <f t="shared" si="67"/>
        <v>83.845888</v>
      </c>
      <c r="DF12" s="78"/>
      <c r="DG12" s="78"/>
      <c r="DH12" s="78">
        <f t="shared" si="68"/>
        <v>8919.63932</v>
      </c>
      <c r="DI12" s="78">
        <f t="shared" si="69"/>
        <v>8919.63932</v>
      </c>
      <c r="DJ12" s="79">
        <f t="shared" si="70"/>
        <v>2865.9053308000002</v>
      </c>
      <c r="DK12" s="77">
        <f t="shared" si="71"/>
        <v>171.321548</v>
      </c>
      <c r="DL12" s="78"/>
      <c r="DM12" s="78"/>
      <c r="DN12" s="78">
        <f t="shared" si="72"/>
        <v>1446.5782199999999</v>
      </c>
      <c r="DO12" s="78">
        <f t="shared" si="73"/>
        <v>1446.5782199999999</v>
      </c>
      <c r="DP12" s="79">
        <f t="shared" si="74"/>
        <v>464.78967179999995</v>
      </c>
      <c r="DQ12" s="77">
        <f t="shared" si="75"/>
        <v>27.784758</v>
      </c>
      <c r="DR12" s="78"/>
      <c r="DS12" s="78"/>
      <c r="DT12" s="78">
        <f t="shared" si="76"/>
        <v>7420.6354200000005</v>
      </c>
      <c r="DU12" s="78">
        <f t="shared" si="77"/>
        <v>7420.6354200000005</v>
      </c>
      <c r="DV12" s="79">
        <f t="shared" si="78"/>
        <v>2384.2711398</v>
      </c>
      <c r="DW12" s="77">
        <f t="shared" si="79"/>
        <v>142.529838</v>
      </c>
      <c r="DX12" s="78"/>
      <c r="DY12" s="78"/>
      <c r="DZ12" s="78">
        <f t="shared" si="80"/>
        <v>66.32123</v>
      </c>
      <c r="EA12" s="78">
        <f t="shared" si="81"/>
        <v>66.32123</v>
      </c>
      <c r="EB12" s="79">
        <f t="shared" si="82"/>
        <v>21.3091987</v>
      </c>
      <c r="EC12" s="77">
        <f t="shared" si="83"/>
        <v>1.273847</v>
      </c>
      <c r="ED12" s="78"/>
      <c r="EE12" s="78"/>
      <c r="EF12" s="78">
        <f t="shared" si="84"/>
        <v>87.28464</v>
      </c>
      <c r="EG12" s="78">
        <f t="shared" si="85"/>
        <v>87.28464</v>
      </c>
      <c r="EH12" s="79">
        <f t="shared" si="86"/>
        <v>28.0448016</v>
      </c>
      <c r="EI12" s="77">
        <f t="shared" si="87"/>
        <v>1.676496</v>
      </c>
      <c r="EJ12" s="78"/>
      <c r="EK12" s="78"/>
      <c r="EL12" s="78">
        <f t="shared" si="88"/>
        <v>4398.09597</v>
      </c>
      <c r="EM12" s="78">
        <f t="shared" si="89"/>
        <v>4398.09597</v>
      </c>
      <c r="EN12" s="79">
        <f t="shared" si="90"/>
        <v>1413.1206693000001</v>
      </c>
      <c r="EO12" s="77">
        <f t="shared" si="91"/>
        <v>84.475233</v>
      </c>
      <c r="EP12" s="78"/>
      <c r="EQ12" s="78"/>
      <c r="ER12" s="78">
        <f t="shared" si="92"/>
        <v>83.71640000000001</v>
      </c>
      <c r="ES12" s="78">
        <f t="shared" si="93"/>
        <v>83.71640000000001</v>
      </c>
      <c r="ET12" s="79">
        <f t="shared" si="94"/>
        <v>26.898315999999998</v>
      </c>
      <c r="EU12" s="77">
        <f t="shared" si="95"/>
        <v>1.60796</v>
      </c>
      <c r="EV12" s="78"/>
      <c r="EW12" s="78"/>
      <c r="EX12" s="78">
        <f t="shared" si="96"/>
        <v>1250.90829</v>
      </c>
      <c r="EY12" s="78">
        <f t="shared" si="97"/>
        <v>1250.90829</v>
      </c>
      <c r="EZ12" s="79">
        <f t="shared" si="98"/>
        <v>401.9203701</v>
      </c>
      <c r="FA12" s="77">
        <f t="shared" si="99"/>
        <v>24.026481</v>
      </c>
      <c r="FB12" s="78"/>
      <c r="FC12" s="78"/>
      <c r="FD12" s="78">
        <f t="shared" si="100"/>
        <v>868.96937</v>
      </c>
      <c r="FE12" s="78">
        <f t="shared" si="101"/>
        <v>868.96937</v>
      </c>
      <c r="FF12" s="79">
        <f t="shared" si="102"/>
        <v>279.2023153</v>
      </c>
      <c r="FG12" s="77">
        <f t="shared" si="103"/>
        <v>16.690493</v>
      </c>
      <c r="FH12" s="78"/>
      <c r="FI12" s="78"/>
      <c r="FJ12" s="78">
        <f t="shared" si="104"/>
        <v>339.22297</v>
      </c>
      <c r="FK12" s="78">
        <f t="shared" si="105"/>
        <v>339.22297</v>
      </c>
      <c r="FL12" s="79">
        <f t="shared" si="106"/>
        <v>108.99329929999999</v>
      </c>
      <c r="FM12" s="77">
        <f t="shared" si="107"/>
        <v>6.515533</v>
      </c>
      <c r="FN12" s="78"/>
      <c r="FO12" s="78"/>
      <c r="FP12" s="78">
        <f t="shared" si="108"/>
        <v>3812.21841</v>
      </c>
      <c r="FQ12" s="78">
        <f t="shared" si="109"/>
        <v>3812.21841</v>
      </c>
      <c r="FR12" s="79">
        <f t="shared" si="110"/>
        <v>1224.8765529</v>
      </c>
      <c r="FS12" s="77">
        <f t="shared" si="111"/>
        <v>73.222149</v>
      </c>
      <c r="FT12" s="78"/>
      <c r="FU12" s="78"/>
      <c r="FV12" s="78">
        <f t="shared" si="112"/>
        <v>8591.97882</v>
      </c>
      <c r="FW12" s="78">
        <f t="shared" si="113"/>
        <v>8591.97882</v>
      </c>
      <c r="FX12" s="79">
        <f t="shared" si="114"/>
        <v>2760.6270858000003</v>
      </c>
      <c r="FY12" s="77">
        <f t="shared" si="115"/>
        <v>165.028098</v>
      </c>
      <c r="FZ12" s="78"/>
      <c r="GA12" s="78"/>
      <c r="GB12" s="78">
        <f t="shared" si="116"/>
        <v>1096.44467</v>
      </c>
      <c r="GC12" s="78">
        <f t="shared" si="117"/>
        <v>1096.44467</v>
      </c>
      <c r="GD12" s="79">
        <f t="shared" si="118"/>
        <v>352.2907723</v>
      </c>
      <c r="GE12" s="77">
        <f t="shared" si="119"/>
        <v>21.059663</v>
      </c>
      <c r="GF12" s="78"/>
      <c r="GG12" s="78"/>
      <c r="GH12" s="78">
        <f t="shared" si="120"/>
        <v>1741.16388</v>
      </c>
      <c r="GI12" s="78">
        <f t="shared" si="121"/>
        <v>1741.16388</v>
      </c>
      <c r="GJ12" s="79">
        <f t="shared" si="122"/>
        <v>559.4408772</v>
      </c>
      <c r="GK12" s="77">
        <f t="shared" si="123"/>
        <v>33.442932</v>
      </c>
      <c r="GL12" s="78"/>
      <c r="GM12" s="78"/>
      <c r="GN12" s="78">
        <f t="shared" si="124"/>
        <v>8069.33459</v>
      </c>
      <c r="GO12" s="78">
        <f t="shared" si="125"/>
        <v>8069.33459</v>
      </c>
      <c r="GP12" s="79">
        <f t="shared" si="126"/>
        <v>2592.7000171</v>
      </c>
      <c r="GQ12" s="77">
        <f t="shared" si="127"/>
        <v>154.989551</v>
      </c>
      <c r="GR12" s="78"/>
      <c r="GS12" s="78"/>
      <c r="GT12" s="78">
        <f t="shared" si="128"/>
        <v>428.25741999999997</v>
      </c>
      <c r="GU12" s="78">
        <f t="shared" si="129"/>
        <v>428.25741999999997</v>
      </c>
      <c r="GV12" s="79">
        <f t="shared" si="130"/>
        <v>137.60031980000002</v>
      </c>
      <c r="GW12" s="77">
        <f t="shared" si="131"/>
        <v>8.225638</v>
      </c>
      <c r="GX12" s="78"/>
      <c r="GY12" s="78"/>
      <c r="GZ12" s="78">
        <f t="shared" si="132"/>
        <v>2455.3608400000003</v>
      </c>
      <c r="HA12" s="78">
        <f t="shared" si="133"/>
        <v>2455.3608400000003</v>
      </c>
      <c r="HB12" s="79">
        <f t="shared" si="134"/>
        <v>788.9143796000001</v>
      </c>
      <c r="HC12" s="77">
        <f t="shared" si="135"/>
        <v>47.160676</v>
      </c>
      <c r="HD12" s="78"/>
      <c r="HE12" s="78"/>
      <c r="HF12" s="78"/>
      <c r="HG12" s="78"/>
      <c r="HH12" s="78"/>
      <c r="HI12" s="78"/>
    </row>
    <row r="13" spans="1:217" ht="12">
      <c r="A13" s="19">
        <v>42826</v>
      </c>
      <c r="C13" s="36"/>
      <c r="D13" s="36">
        <v>343100</v>
      </c>
      <c r="E13" s="77">
        <f t="shared" si="0"/>
        <v>343100</v>
      </c>
      <c r="F13" s="77">
        <v>110239</v>
      </c>
      <c r="G13" s="77">
        <v>6590</v>
      </c>
      <c r="H13" s="78"/>
      <c r="I13" s="79">
        <f>O13+U13+AA13+AG13+AM13+AS13+AY13+BE13+BK13+BQ13+BW13+CC13+CI13+CO13+CU13+DA13+DG13+DM13+DS13+DY13+EE13+EK13+EQ13+EW13+FC13+FI13+FO13+FU13+GA13+GG13+GM13+GS13+GY13</f>
        <v>0</v>
      </c>
      <c r="J13" s="79">
        <f t="shared" si="1"/>
        <v>186243.56629</v>
      </c>
      <c r="K13" s="79">
        <f t="shared" si="2"/>
        <v>186243.56629</v>
      </c>
      <c r="L13" s="79">
        <f t="shared" si="3"/>
        <v>59840.5843901</v>
      </c>
      <c r="M13" s="79">
        <f t="shared" si="3"/>
        <v>3577.2226809999993</v>
      </c>
      <c r="N13" s="78"/>
      <c r="O13" s="78">
        <f t="shared" si="136"/>
        <v>0</v>
      </c>
      <c r="P13" s="78">
        <f t="shared" si="4"/>
        <v>22694.41812</v>
      </c>
      <c r="Q13" s="79">
        <f t="shared" si="5"/>
        <v>22694.41812</v>
      </c>
      <c r="R13" s="79">
        <f t="shared" si="6"/>
        <v>7291.7807028</v>
      </c>
      <c r="S13" s="77">
        <f t="shared" si="7"/>
        <v>435.896868</v>
      </c>
      <c r="T13" s="78"/>
      <c r="U13" s="78">
        <f t="shared" si="137"/>
        <v>0</v>
      </c>
      <c r="V13" s="78">
        <f t="shared" si="8"/>
        <v>387.56576</v>
      </c>
      <c r="W13" s="78">
        <f t="shared" si="9"/>
        <v>387.56576</v>
      </c>
      <c r="X13" s="79">
        <f t="shared" si="10"/>
        <v>124.5259744</v>
      </c>
      <c r="Y13" s="77">
        <f t="shared" si="11"/>
        <v>7.444063999999999</v>
      </c>
      <c r="Z13" s="78"/>
      <c r="AA13" s="79">
        <f t="shared" si="138"/>
        <v>0</v>
      </c>
      <c r="AB13" s="78">
        <f t="shared" si="12"/>
        <v>1749.60414</v>
      </c>
      <c r="AC13" s="78">
        <f t="shared" si="13"/>
        <v>1749.60414</v>
      </c>
      <c r="AD13" s="79">
        <f t="shared" si="14"/>
        <v>562.1527566</v>
      </c>
      <c r="AE13" s="77">
        <f t="shared" si="15"/>
        <v>33.605045999999994</v>
      </c>
      <c r="AF13" s="78"/>
      <c r="AG13" s="78">
        <f t="shared" si="139"/>
        <v>0</v>
      </c>
      <c r="AH13" s="78">
        <f t="shared" si="16"/>
        <v>30426.00507</v>
      </c>
      <c r="AI13" s="78">
        <f t="shared" si="17"/>
        <v>30426.00507</v>
      </c>
      <c r="AJ13" s="79">
        <f t="shared" si="18"/>
        <v>9775.9614483</v>
      </c>
      <c r="AK13" s="77">
        <f t="shared" si="19"/>
        <v>584.399223</v>
      </c>
      <c r="AL13" s="78"/>
      <c r="AM13" s="78">
        <f t="shared" si="140"/>
        <v>0</v>
      </c>
      <c r="AN13" s="78">
        <f t="shared" si="20"/>
        <v>368.55802000000006</v>
      </c>
      <c r="AO13" s="78">
        <f t="shared" si="21"/>
        <v>368.55802000000006</v>
      </c>
      <c r="AP13" s="79">
        <f t="shared" si="22"/>
        <v>118.4187338</v>
      </c>
      <c r="AQ13" s="77">
        <f t="shared" si="23"/>
        <v>7.078978</v>
      </c>
      <c r="AR13" s="78"/>
      <c r="AS13" s="78">
        <f t="shared" si="141"/>
        <v>0</v>
      </c>
      <c r="AT13" s="78">
        <f t="shared" si="24"/>
        <v>310.81429</v>
      </c>
      <c r="AU13" s="78">
        <f t="shared" si="25"/>
        <v>310.81429</v>
      </c>
      <c r="AV13" s="79">
        <f t="shared" si="26"/>
        <v>99.8655101</v>
      </c>
      <c r="AW13" s="77">
        <f t="shared" si="27"/>
        <v>5.969881</v>
      </c>
      <c r="AX13" s="78"/>
      <c r="AY13" s="78">
        <f t="shared" si="142"/>
        <v>0</v>
      </c>
      <c r="AZ13" s="78">
        <f t="shared" si="28"/>
        <v>12751.92908</v>
      </c>
      <c r="BA13" s="78">
        <f t="shared" si="29"/>
        <v>12751.92908</v>
      </c>
      <c r="BB13" s="79">
        <f t="shared" si="30"/>
        <v>4097.2308652</v>
      </c>
      <c r="BC13" s="77">
        <f t="shared" si="31"/>
        <v>244.929212</v>
      </c>
      <c r="BD13" s="78"/>
      <c r="BE13" s="78">
        <f t="shared" si="143"/>
        <v>0</v>
      </c>
      <c r="BF13" s="78">
        <f t="shared" si="32"/>
        <v>26165.595129999998</v>
      </c>
      <c r="BG13" s="78">
        <f t="shared" si="33"/>
        <v>26165.595129999998</v>
      </c>
      <c r="BH13" s="79">
        <f t="shared" si="34"/>
        <v>8407.0796897</v>
      </c>
      <c r="BI13" s="77">
        <f t="shared" si="35"/>
        <v>502.56855700000006</v>
      </c>
      <c r="BJ13" s="78"/>
      <c r="BK13" s="78">
        <f t="shared" si="144"/>
        <v>0</v>
      </c>
      <c r="BL13" s="78">
        <f t="shared" si="36"/>
        <v>302.06523999999996</v>
      </c>
      <c r="BM13" s="78">
        <f t="shared" si="37"/>
        <v>302.06523999999996</v>
      </c>
      <c r="BN13" s="79">
        <f t="shared" si="38"/>
        <v>97.0544156</v>
      </c>
      <c r="BO13" s="77">
        <f t="shared" si="39"/>
        <v>5.801836000000001</v>
      </c>
      <c r="BP13" s="78"/>
      <c r="BQ13" s="78">
        <f t="shared" si="145"/>
        <v>0</v>
      </c>
      <c r="BR13" s="78">
        <f t="shared" si="40"/>
        <v>202.90934000000001</v>
      </c>
      <c r="BS13" s="78">
        <f t="shared" si="41"/>
        <v>202.90934000000001</v>
      </c>
      <c r="BT13" s="79">
        <f t="shared" si="42"/>
        <v>65.1953446</v>
      </c>
      <c r="BU13" s="77">
        <f t="shared" si="43"/>
        <v>3.8973259999999996</v>
      </c>
      <c r="BV13" s="78"/>
      <c r="BW13" s="78">
        <f t="shared" si="146"/>
        <v>0</v>
      </c>
      <c r="BX13" s="78">
        <f t="shared" si="44"/>
        <v>-30.227110000000003</v>
      </c>
      <c r="BY13" s="78">
        <f t="shared" si="45"/>
        <v>-30.227110000000003</v>
      </c>
      <c r="BZ13" s="79">
        <f t="shared" si="46"/>
        <v>-9.7120559</v>
      </c>
      <c r="CA13" s="77">
        <f t="shared" si="47"/>
        <v>-0.580579</v>
      </c>
      <c r="CB13" s="78"/>
      <c r="CC13" s="78">
        <f t="shared" si="147"/>
        <v>0</v>
      </c>
      <c r="CD13" s="78">
        <f t="shared" si="48"/>
        <v>-19.69394</v>
      </c>
      <c r="CE13" s="78">
        <f t="shared" si="49"/>
        <v>-19.69394</v>
      </c>
      <c r="CF13" s="79">
        <f t="shared" si="50"/>
        <v>-6.3277186</v>
      </c>
      <c r="CG13" s="77">
        <f t="shared" si="51"/>
        <v>-0.378266</v>
      </c>
      <c r="CH13" s="78"/>
      <c r="CI13" s="78">
        <f t="shared" si="148"/>
        <v>0</v>
      </c>
      <c r="CJ13" s="78">
        <f t="shared" si="52"/>
        <v>732.38126</v>
      </c>
      <c r="CK13" s="78">
        <f t="shared" si="53"/>
        <v>732.38126</v>
      </c>
      <c r="CL13" s="79">
        <f t="shared" si="54"/>
        <v>235.3161694</v>
      </c>
      <c r="CM13" s="77">
        <f t="shared" si="55"/>
        <v>14.067014</v>
      </c>
      <c r="CN13" s="78"/>
      <c r="CO13" s="78">
        <f t="shared" si="149"/>
        <v>0</v>
      </c>
      <c r="CP13" s="78">
        <f t="shared" si="56"/>
        <v>4503.8737</v>
      </c>
      <c r="CQ13" s="78">
        <f t="shared" si="57"/>
        <v>4503.8737</v>
      </c>
      <c r="CR13" s="79">
        <f t="shared" si="58"/>
        <v>1447.1073529999999</v>
      </c>
      <c r="CS13" s="77">
        <f t="shared" si="59"/>
        <v>86.50693</v>
      </c>
      <c r="CT13" s="78"/>
      <c r="CU13" s="78">
        <f t="shared" si="150"/>
        <v>0</v>
      </c>
      <c r="CV13" s="78">
        <f t="shared" si="60"/>
        <v>30256.30781</v>
      </c>
      <c r="CW13" s="78">
        <f t="shared" si="61"/>
        <v>30256.30781</v>
      </c>
      <c r="CX13" s="79">
        <f t="shared" si="62"/>
        <v>9721.4372389</v>
      </c>
      <c r="CY13" s="77">
        <f t="shared" si="63"/>
        <v>581.139809</v>
      </c>
      <c r="CZ13" s="78"/>
      <c r="DA13" s="78">
        <f t="shared" si="151"/>
        <v>0</v>
      </c>
      <c r="DB13" s="78">
        <f t="shared" si="64"/>
        <v>4365.32992</v>
      </c>
      <c r="DC13" s="78">
        <f t="shared" si="65"/>
        <v>4365.32992</v>
      </c>
      <c r="DD13" s="79">
        <f t="shared" si="66"/>
        <v>1402.5928448</v>
      </c>
      <c r="DE13" s="77">
        <f t="shared" si="67"/>
        <v>83.845888</v>
      </c>
      <c r="DF13" s="78"/>
      <c r="DG13" s="78">
        <f t="shared" si="152"/>
        <v>0</v>
      </c>
      <c r="DH13" s="78">
        <f t="shared" si="68"/>
        <v>8919.63932</v>
      </c>
      <c r="DI13" s="78">
        <f t="shared" si="69"/>
        <v>8919.63932</v>
      </c>
      <c r="DJ13" s="79">
        <f t="shared" si="70"/>
        <v>2865.9053308000002</v>
      </c>
      <c r="DK13" s="77">
        <f t="shared" si="71"/>
        <v>171.321548</v>
      </c>
      <c r="DL13" s="78"/>
      <c r="DM13" s="78">
        <f t="shared" si="153"/>
        <v>0</v>
      </c>
      <c r="DN13" s="78">
        <f t="shared" si="72"/>
        <v>1446.5782199999999</v>
      </c>
      <c r="DO13" s="78">
        <f t="shared" si="73"/>
        <v>1446.5782199999999</v>
      </c>
      <c r="DP13" s="79">
        <f t="shared" si="74"/>
        <v>464.78967179999995</v>
      </c>
      <c r="DQ13" s="77">
        <f t="shared" si="75"/>
        <v>27.784758</v>
      </c>
      <c r="DR13" s="78"/>
      <c r="DS13" s="78">
        <f t="shared" si="154"/>
        <v>0</v>
      </c>
      <c r="DT13" s="78">
        <f t="shared" si="76"/>
        <v>7420.6354200000005</v>
      </c>
      <c r="DU13" s="78">
        <f t="shared" si="77"/>
        <v>7420.6354200000005</v>
      </c>
      <c r="DV13" s="79">
        <f t="shared" si="78"/>
        <v>2384.2711398</v>
      </c>
      <c r="DW13" s="77">
        <f t="shared" si="79"/>
        <v>142.529838</v>
      </c>
      <c r="DX13" s="78"/>
      <c r="DY13" s="78">
        <f t="shared" si="155"/>
        <v>0</v>
      </c>
      <c r="DZ13" s="78">
        <f t="shared" si="80"/>
        <v>66.32123</v>
      </c>
      <c r="EA13" s="78">
        <f t="shared" si="81"/>
        <v>66.32123</v>
      </c>
      <c r="EB13" s="79">
        <f t="shared" si="82"/>
        <v>21.3091987</v>
      </c>
      <c r="EC13" s="77">
        <f t="shared" si="83"/>
        <v>1.273847</v>
      </c>
      <c r="ED13" s="78"/>
      <c r="EE13" s="78">
        <f t="shared" si="156"/>
        <v>0</v>
      </c>
      <c r="EF13" s="78">
        <f t="shared" si="84"/>
        <v>87.28464</v>
      </c>
      <c r="EG13" s="78">
        <f t="shared" si="85"/>
        <v>87.28464</v>
      </c>
      <c r="EH13" s="79">
        <f t="shared" si="86"/>
        <v>28.0448016</v>
      </c>
      <c r="EI13" s="77">
        <f t="shared" si="87"/>
        <v>1.676496</v>
      </c>
      <c r="EJ13" s="78"/>
      <c r="EK13" s="78">
        <f t="shared" si="157"/>
        <v>0</v>
      </c>
      <c r="EL13" s="78">
        <f t="shared" si="88"/>
        <v>4398.09597</v>
      </c>
      <c r="EM13" s="78">
        <f t="shared" si="89"/>
        <v>4398.09597</v>
      </c>
      <c r="EN13" s="79">
        <f t="shared" si="90"/>
        <v>1413.1206693000001</v>
      </c>
      <c r="EO13" s="77">
        <f t="shared" si="91"/>
        <v>84.475233</v>
      </c>
      <c r="EP13" s="78"/>
      <c r="EQ13" s="78">
        <f t="shared" si="158"/>
        <v>0</v>
      </c>
      <c r="ER13" s="78">
        <f t="shared" si="92"/>
        <v>83.71640000000001</v>
      </c>
      <c r="ES13" s="78">
        <f t="shared" si="93"/>
        <v>83.71640000000001</v>
      </c>
      <c r="ET13" s="79">
        <f t="shared" si="94"/>
        <v>26.898315999999998</v>
      </c>
      <c r="EU13" s="77">
        <f t="shared" si="95"/>
        <v>1.60796</v>
      </c>
      <c r="EV13" s="78"/>
      <c r="EW13" s="78">
        <f t="shared" si="159"/>
        <v>0</v>
      </c>
      <c r="EX13" s="78">
        <f t="shared" si="96"/>
        <v>1250.90829</v>
      </c>
      <c r="EY13" s="78">
        <f t="shared" si="97"/>
        <v>1250.90829</v>
      </c>
      <c r="EZ13" s="79">
        <f t="shared" si="98"/>
        <v>401.9203701</v>
      </c>
      <c r="FA13" s="77">
        <f t="shared" si="99"/>
        <v>24.026481</v>
      </c>
      <c r="FB13" s="78"/>
      <c r="FC13" s="78">
        <f t="shared" si="160"/>
        <v>0</v>
      </c>
      <c r="FD13" s="78">
        <f t="shared" si="100"/>
        <v>868.96937</v>
      </c>
      <c r="FE13" s="78">
        <f t="shared" si="101"/>
        <v>868.96937</v>
      </c>
      <c r="FF13" s="79">
        <f t="shared" si="102"/>
        <v>279.2023153</v>
      </c>
      <c r="FG13" s="77">
        <f t="shared" si="103"/>
        <v>16.690493</v>
      </c>
      <c r="FH13" s="78"/>
      <c r="FI13" s="78">
        <f t="shared" si="161"/>
        <v>0</v>
      </c>
      <c r="FJ13" s="78">
        <f t="shared" si="104"/>
        <v>339.22297</v>
      </c>
      <c r="FK13" s="78">
        <f t="shared" si="105"/>
        <v>339.22297</v>
      </c>
      <c r="FL13" s="79">
        <f t="shared" si="106"/>
        <v>108.99329929999999</v>
      </c>
      <c r="FM13" s="77">
        <f t="shared" si="107"/>
        <v>6.515533</v>
      </c>
      <c r="FN13" s="78"/>
      <c r="FO13" s="78">
        <f t="shared" si="162"/>
        <v>0</v>
      </c>
      <c r="FP13" s="78">
        <f t="shared" si="108"/>
        <v>3812.21841</v>
      </c>
      <c r="FQ13" s="78">
        <f t="shared" si="109"/>
        <v>3812.21841</v>
      </c>
      <c r="FR13" s="79">
        <f t="shared" si="110"/>
        <v>1224.8765529</v>
      </c>
      <c r="FS13" s="77">
        <f t="shared" si="111"/>
        <v>73.222149</v>
      </c>
      <c r="FT13" s="78"/>
      <c r="FU13" s="78">
        <f t="shared" si="163"/>
        <v>0</v>
      </c>
      <c r="FV13" s="78">
        <f t="shared" si="112"/>
        <v>8591.97882</v>
      </c>
      <c r="FW13" s="78">
        <f t="shared" si="113"/>
        <v>8591.97882</v>
      </c>
      <c r="FX13" s="79">
        <f t="shared" si="114"/>
        <v>2760.6270858000003</v>
      </c>
      <c r="FY13" s="77">
        <f t="shared" si="115"/>
        <v>165.028098</v>
      </c>
      <c r="FZ13" s="78"/>
      <c r="GA13" s="78">
        <f t="shared" si="164"/>
        <v>0</v>
      </c>
      <c r="GB13" s="78">
        <f t="shared" si="116"/>
        <v>1096.44467</v>
      </c>
      <c r="GC13" s="78">
        <f t="shared" si="117"/>
        <v>1096.44467</v>
      </c>
      <c r="GD13" s="79">
        <f t="shared" si="118"/>
        <v>352.2907723</v>
      </c>
      <c r="GE13" s="77">
        <f t="shared" si="119"/>
        <v>21.059663</v>
      </c>
      <c r="GF13" s="78"/>
      <c r="GG13" s="78">
        <f t="shared" si="165"/>
        <v>0</v>
      </c>
      <c r="GH13" s="78">
        <f t="shared" si="120"/>
        <v>1741.16388</v>
      </c>
      <c r="GI13" s="78">
        <f t="shared" si="121"/>
        <v>1741.16388</v>
      </c>
      <c r="GJ13" s="79">
        <f t="shared" si="122"/>
        <v>559.4408772</v>
      </c>
      <c r="GK13" s="77">
        <f t="shared" si="123"/>
        <v>33.442932</v>
      </c>
      <c r="GL13" s="78"/>
      <c r="GM13" s="78">
        <f t="shared" si="166"/>
        <v>0</v>
      </c>
      <c r="GN13" s="78">
        <f t="shared" si="124"/>
        <v>8069.33459</v>
      </c>
      <c r="GO13" s="78">
        <f t="shared" si="125"/>
        <v>8069.33459</v>
      </c>
      <c r="GP13" s="79">
        <f t="shared" si="126"/>
        <v>2592.7000171</v>
      </c>
      <c r="GQ13" s="77">
        <f t="shared" si="127"/>
        <v>154.989551</v>
      </c>
      <c r="GR13" s="78"/>
      <c r="GS13" s="78">
        <f t="shared" si="167"/>
        <v>0</v>
      </c>
      <c r="GT13" s="78">
        <f t="shared" si="128"/>
        <v>428.25741999999997</v>
      </c>
      <c r="GU13" s="78">
        <f t="shared" si="129"/>
        <v>428.25741999999997</v>
      </c>
      <c r="GV13" s="79">
        <f t="shared" si="130"/>
        <v>137.60031980000002</v>
      </c>
      <c r="GW13" s="77">
        <f t="shared" si="131"/>
        <v>8.225638</v>
      </c>
      <c r="GX13" s="78"/>
      <c r="GY13" s="78">
        <f t="shared" si="168"/>
        <v>0</v>
      </c>
      <c r="GZ13" s="78">
        <f t="shared" si="132"/>
        <v>2455.3608400000003</v>
      </c>
      <c r="HA13" s="78">
        <f t="shared" si="133"/>
        <v>2455.3608400000003</v>
      </c>
      <c r="HB13" s="79">
        <f t="shared" si="134"/>
        <v>788.9143796000001</v>
      </c>
      <c r="HC13" s="77">
        <f t="shared" si="135"/>
        <v>47.160676</v>
      </c>
      <c r="HD13" s="78"/>
      <c r="HE13" s="78"/>
      <c r="HF13" s="78"/>
      <c r="HG13" s="78"/>
      <c r="HH13" s="78"/>
      <c r="HI13" s="78"/>
    </row>
    <row r="14" spans="1:217" ht="12">
      <c r="A14" s="19">
        <v>43009</v>
      </c>
      <c r="C14" s="36"/>
      <c r="D14" s="36">
        <v>343100</v>
      </c>
      <c r="E14" s="77">
        <f t="shared" si="0"/>
        <v>343100</v>
      </c>
      <c r="F14" s="77">
        <v>110239</v>
      </c>
      <c r="G14" s="77">
        <v>6590</v>
      </c>
      <c r="H14" s="78"/>
      <c r="I14" s="79"/>
      <c r="J14" s="79">
        <f t="shared" si="1"/>
        <v>186243.56629</v>
      </c>
      <c r="K14" s="79">
        <f t="shared" si="2"/>
        <v>186243.56629</v>
      </c>
      <c r="L14" s="79">
        <f t="shared" si="3"/>
        <v>59840.5843901</v>
      </c>
      <c r="M14" s="79">
        <f t="shared" si="3"/>
        <v>3577.2226809999993</v>
      </c>
      <c r="N14" s="78"/>
      <c r="O14" s="78"/>
      <c r="P14" s="78">
        <f t="shared" si="4"/>
        <v>22694.41812</v>
      </c>
      <c r="Q14" s="79">
        <f t="shared" si="5"/>
        <v>22694.41812</v>
      </c>
      <c r="R14" s="79">
        <f t="shared" si="6"/>
        <v>7291.7807028</v>
      </c>
      <c r="S14" s="77">
        <f t="shared" si="7"/>
        <v>435.896868</v>
      </c>
      <c r="T14" s="78"/>
      <c r="U14" s="78"/>
      <c r="V14" s="78">
        <f t="shared" si="8"/>
        <v>387.56576</v>
      </c>
      <c r="W14" s="78">
        <f t="shared" si="9"/>
        <v>387.56576</v>
      </c>
      <c r="X14" s="79">
        <f t="shared" si="10"/>
        <v>124.5259744</v>
      </c>
      <c r="Y14" s="77">
        <f t="shared" si="11"/>
        <v>7.444063999999999</v>
      </c>
      <c r="Z14" s="78"/>
      <c r="AA14" s="79"/>
      <c r="AB14" s="78">
        <f t="shared" si="12"/>
        <v>1749.60414</v>
      </c>
      <c r="AC14" s="78">
        <f t="shared" si="13"/>
        <v>1749.60414</v>
      </c>
      <c r="AD14" s="79">
        <f t="shared" si="14"/>
        <v>562.1527566</v>
      </c>
      <c r="AE14" s="77">
        <f t="shared" si="15"/>
        <v>33.605045999999994</v>
      </c>
      <c r="AF14" s="78"/>
      <c r="AG14" s="78"/>
      <c r="AH14" s="78">
        <f t="shared" si="16"/>
        <v>30426.00507</v>
      </c>
      <c r="AI14" s="78">
        <f t="shared" si="17"/>
        <v>30426.00507</v>
      </c>
      <c r="AJ14" s="79">
        <f t="shared" si="18"/>
        <v>9775.9614483</v>
      </c>
      <c r="AK14" s="77">
        <f t="shared" si="19"/>
        <v>584.399223</v>
      </c>
      <c r="AL14" s="78"/>
      <c r="AM14" s="78"/>
      <c r="AN14" s="78">
        <f t="shared" si="20"/>
        <v>368.55802000000006</v>
      </c>
      <c r="AO14" s="78">
        <f t="shared" si="21"/>
        <v>368.55802000000006</v>
      </c>
      <c r="AP14" s="79">
        <f t="shared" si="22"/>
        <v>118.4187338</v>
      </c>
      <c r="AQ14" s="77">
        <f t="shared" si="23"/>
        <v>7.078978</v>
      </c>
      <c r="AR14" s="78"/>
      <c r="AS14" s="78"/>
      <c r="AT14" s="78">
        <f t="shared" si="24"/>
        <v>310.81429</v>
      </c>
      <c r="AU14" s="78">
        <f t="shared" si="25"/>
        <v>310.81429</v>
      </c>
      <c r="AV14" s="79">
        <f t="shared" si="26"/>
        <v>99.8655101</v>
      </c>
      <c r="AW14" s="77">
        <f t="shared" si="27"/>
        <v>5.969881</v>
      </c>
      <c r="AX14" s="78"/>
      <c r="AY14" s="78"/>
      <c r="AZ14" s="78">
        <f t="shared" si="28"/>
        <v>12751.92908</v>
      </c>
      <c r="BA14" s="78">
        <f t="shared" si="29"/>
        <v>12751.92908</v>
      </c>
      <c r="BB14" s="79">
        <f t="shared" si="30"/>
        <v>4097.2308652</v>
      </c>
      <c r="BC14" s="77">
        <f t="shared" si="31"/>
        <v>244.929212</v>
      </c>
      <c r="BD14" s="78"/>
      <c r="BE14" s="78"/>
      <c r="BF14" s="78">
        <f t="shared" si="32"/>
        <v>26165.595129999998</v>
      </c>
      <c r="BG14" s="78">
        <f t="shared" si="33"/>
        <v>26165.595129999998</v>
      </c>
      <c r="BH14" s="79">
        <f t="shared" si="34"/>
        <v>8407.0796897</v>
      </c>
      <c r="BI14" s="77">
        <f t="shared" si="35"/>
        <v>502.56855700000006</v>
      </c>
      <c r="BJ14" s="78"/>
      <c r="BK14" s="78"/>
      <c r="BL14" s="78">
        <f t="shared" si="36"/>
        <v>302.06523999999996</v>
      </c>
      <c r="BM14" s="78">
        <f t="shared" si="37"/>
        <v>302.06523999999996</v>
      </c>
      <c r="BN14" s="79">
        <f t="shared" si="38"/>
        <v>97.0544156</v>
      </c>
      <c r="BO14" s="77">
        <f t="shared" si="39"/>
        <v>5.801836000000001</v>
      </c>
      <c r="BP14" s="78"/>
      <c r="BQ14" s="78"/>
      <c r="BR14" s="78">
        <f t="shared" si="40"/>
        <v>202.90934000000001</v>
      </c>
      <c r="BS14" s="78">
        <f t="shared" si="41"/>
        <v>202.90934000000001</v>
      </c>
      <c r="BT14" s="79">
        <f t="shared" si="42"/>
        <v>65.1953446</v>
      </c>
      <c r="BU14" s="77">
        <f t="shared" si="43"/>
        <v>3.8973259999999996</v>
      </c>
      <c r="BV14" s="78"/>
      <c r="BW14" s="78"/>
      <c r="BX14" s="78">
        <f t="shared" si="44"/>
        <v>-30.227110000000003</v>
      </c>
      <c r="BY14" s="78">
        <f t="shared" si="45"/>
        <v>-30.227110000000003</v>
      </c>
      <c r="BZ14" s="79">
        <f t="shared" si="46"/>
        <v>-9.7120559</v>
      </c>
      <c r="CA14" s="77">
        <f t="shared" si="47"/>
        <v>-0.580579</v>
      </c>
      <c r="CB14" s="78"/>
      <c r="CC14" s="78"/>
      <c r="CD14" s="78">
        <f t="shared" si="48"/>
        <v>-19.69394</v>
      </c>
      <c r="CE14" s="78">
        <f t="shared" si="49"/>
        <v>-19.69394</v>
      </c>
      <c r="CF14" s="79">
        <f t="shared" si="50"/>
        <v>-6.3277186</v>
      </c>
      <c r="CG14" s="77">
        <f t="shared" si="51"/>
        <v>-0.378266</v>
      </c>
      <c r="CH14" s="78"/>
      <c r="CI14" s="78"/>
      <c r="CJ14" s="78">
        <f t="shared" si="52"/>
        <v>732.38126</v>
      </c>
      <c r="CK14" s="78">
        <f t="shared" si="53"/>
        <v>732.38126</v>
      </c>
      <c r="CL14" s="79">
        <f t="shared" si="54"/>
        <v>235.3161694</v>
      </c>
      <c r="CM14" s="77">
        <f t="shared" si="55"/>
        <v>14.067014</v>
      </c>
      <c r="CN14" s="78"/>
      <c r="CO14" s="78"/>
      <c r="CP14" s="78">
        <f t="shared" si="56"/>
        <v>4503.8737</v>
      </c>
      <c r="CQ14" s="78">
        <f t="shared" si="57"/>
        <v>4503.8737</v>
      </c>
      <c r="CR14" s="79">
        <f t="shared" si="58"/>
        <v>1447.1073529999999</v>
      </c>
      <c r="CS14" s="77">
        <f t="shared" si="59"/>
        <v>86.50693</v>
      </c>
      <c r="CT14" s="78"/>
      <c r="CU14" s="78"/>
      <c r="CV14" s="78">
        <f t="shared" si="60"/>
        <v>30256.30781</v>
      </c>
      <c r="CW14" s="78">
        <f t="shared" si="61"/>
        <v>30256.30781</v>
      </c>
      <c r="CX14" s="79">
        <f t="shared" si="62"/>
        <v>9721.4372389</v>
      </c>
      <c r="CY14" s="77">
        <f t="shared" si="63"/>
        <v>581.139809</v>
      </c>
      <c r="CZ14" s="78"/>
      <c r="DA14" s="78"/>
      <c r="DB14" s="78">
        <f t="shared" si="64"/>
        <v>4365.32992</v>
      </c>
      <c r="DC14" s="78">
        <f t="shared" si="65"/>
        <v>4365.32992</v>
      </c>
      <c r="DD14" s="79">
        <f t="shared" si="66"/>
        <v>1402.5928448</v>
      </c>
      <c r="DE14" s="77">
        <f t="shared" si="67"/>
        <v>83.845888</v>
      </c>
      <c r="DF14" s="78"/>
      <c r="DG14" s="78"/>
      <c r="DH14" s="78">
        <f t="shared" si="68"/>
        <v>8919.63932</v>
      </c>
      <c r="DI14" s="78">
        <f t="shared" si="69"/>
        <v>8919.63932</v>
      </c>
      <c r="DJ14" s="79">
        <f t="shared" si="70"/>
        <v>2865.9053308000002</v>
      </c>
      <c r="DK14" s="77">
        <f t="shared" si="71"/>
        <v>171.321548</v>
      </c>
      <c r="DL14" s="78"/>
      <c r="DM14" s="78"/>
      <c r="DN14" s="78">
        <f t="shared" si="72"/>
        <v>1446.5782199999999</v>
      </c>
      <c r="DO14" s="78">
        <f t="shared" si="73"/>
        <v>1446.5782199999999</v>
      </c>
      <c r="DP14" s="79">
        <f t="shared" si="74"/>
        <v>464.78967179999995</v>
      </c>
      <c r="DQ14" s="77">
        <f t="shared" si="75"/>
        <v>27.784758</v>
      </c>
      <c r="DR14" s="78"/>
      <c r="DS14" s="78"/>
      <c r="DT14" s="78">
        <f t="shared" si="76"/>
        <v>7420.6354200000005</v>
      </c>
      <c r="DU14" s="78">
        <f t="shared" si="77"/>
        <v>7420.6354200000005</v>
      </c>
      <c r="DV14" s="79">
        <f t="shared" si="78"/>
        <v>2384.2711398</v>
      </c>
      <c r="DW14" s="77">
        <f t="shared" si="79"/>
        <v>142.529838</v>
      </c>
      <c r="DX14" s="78"/>
      <c r="DY14" s="78"/>
      <c r="DZ14" s="78">
        <f t="shared" si="80"/>
        <v>66.32123</v>
      </c>
      <c r="EA14" s="78">
        <f t="shared" si="81"/>
        <v>66.32123</v>
      </c>
      <c r="EB14" s="79">
        <f t="shared" si="82"/>
        <v>21.3091987</v>
      </c>
      <c r="EC14" s="77">
        <f t="shared" si="83"/>
        <v>1.273847</v>
      </c>
      <c r="ED14" s="78"/>
      <c r="EE14" s="78"/>
      <c r="EF14" s="78">
        <f t="shared" si="84"/>
        <v>87.28464</v>
      </c>
      <c r="EG14" s="78">
        <f t="shared" si="85"/>
        <v>87.28464</v>
      </c>
      <c r="EH14" s="79">
        <f t="shared" si="86"/>
        <v>28.0448016</v>
      </c>
      <c r="EI14" s="77">
        <f t="shared" si="87"/>
        <v>1.676496</v>
      </c>
      <c r="EJ14" s="78"/>
      <c r="EK14" s="78"/>
      <c r="EL14" s="78">
        <f t="shared" si="88"/>
        <v>4398.09597</v>
      </c>
      <c r="EM14" s="78">
        <f t="shared" si="89"/>
        <v>4398.09597</v>
      </c>
      <c r="EN14" s="79">
        <f t="shared" si="90"/>
        <v>1413.1206693000001</v>
      </c>
      <c r="EO14" s="77">
        <f t="shared" si="91"/>
        <v>84.475233</v>
      </c>
      <c r="EP14" s="78"/>
      <c r="EQ14" s="78"/>
      <c r="ER14" s="78">
        <f t="shared" si="92"/>
        <v>83.71640000000001</v>
      </c>
      <c r="ES14" s="78">
        <f t="shared" si="93"/>
        <v>83.71640000000001</v>
      </c>
      <c r="ET14" s="79">
        <f t="shared" si="94"/>
        <v>26.898315999999998</v>
      </c>
      <c r="EU14" s="77">
        <f t="shared" si="95"/>
        <v>1.60796</v>
      </c>
      <c r="EV14" s="78"/>
      <c r="EW14" s="78"/>
      <c r="EX14" s="78">
        <f t="shared" si="96"/>
        <v>1250.90829</v>
      </c>
      <c r="EY14" s="78">
        <f t="shared" si="97"/>
        <v>1250.90829</v>
      </c>
      <c r="EZ14" s="79">
        <f t="shared" si="98"/>
        <v>401.9203701</v>
      </c>
      <c r="FA14" s="77">
        <f t="shared" si="99"/>
        <v>24.026481</v>
      </c>
      <c r="FB14" s="78"/>
      <c r="FC14" s="78"/>
      <c r="FD14" s="78">
        <f t="shared" si="100"/>
        <v>868.96937</v>
      </c>
      <c r="FE14" s="78">
        <f t="shared" si="101"/>
        <v>868.96937</v>
      </c>
      <c r="FF14" s="79">
        <f t="shared" si="102"/>
        <v>279.2023153</v>
      </c>
      <c r="FG14" s="77">
        <f t="shared" si="103"/>
        <v>16.690493</v>
      </c>
      <c r="FH14" s="78"/>
      <c r="FI14" s="78"/>
      <c r="FJ14" s="78">
        <f t="shared" si="104"/>
        <v>339.22297</v>
      </c>
      <c r="FK14" s="78">
        <f t="shared" si="105"/>
        <v>339.22297</v>
      </c>
      <c r="FL14" s="79">
        <f t="shared" si="106"/>
        <v>108.99329929999999</v>
      </c>
      <c r="FM14" s="77">
        <f t="shared" si="107"/>
        <v>6.515533</v>
      </c>
      <c r="FN14" s="78"/>
      <c r="FO14" s="78"/>
      <c r="FP14" s="78">
        <f t="shared" si="108"/>
        <v>3812.21841</v>
      </c>
      <c r="FQ14" s="78">
        <f t="shared" si="109"/>
        <v>3812.21841</v>
      </c>
      <c r="FR14" s="79">
        <f t="shared" si="110"/>
        <v>1224.8765529</v>
      </c>
      <c r="FS14" s="77">
        <f t="shared" si="111"/>
        <v>73.222149</v>
      </c>
      <c r="FT14" s="78"/>
      <c r="FU14" s="78"/>
      <c r="FV14" s="78">
        <f t="shared" si="112"/>
        <v>8591.97882</v>
      </c>
      <c r="FW14" s="78">
        <f t="shared" si="113"/>
        <v>8591.97882</v>
      </c>
      <c r="FX14" s="79">
        <f t="shared" si="114"/>
        <v>2760.6270858000003</v>
      </c>
      <c r="FY14" s="77">
        <f t="shared" si="115"/>
        <v>165.028098</v>
      </c>
      <c r="FZ14" s="78"/>
      <c r="GA14" s="78"/>
      <c r="GB14" s="78">
        <f t="shared" si="116"/>
        <v>1096.44467</v>
      </c>
      <c r="GC14" s="78">
        <f t="shared" si="117"/>
        <v>1096.44467</v>
      </c>
      <c r="GD14" s="79">
        <f t="shared" si="118"/>
        <v>352.2907723</v>
      </c>
      <c r="GE14" s="77">
        <f t="shared" si="119"/>
        <v>21.059663</v>
      </c>
      <c r="GF14" s="78"/>
      <c r="GG14" s="78"/>
      <c r="GH14" s="78">
        <f t="shared" si="120"/>
        <v>1741.16388</v>
      </c>
      <c r="GI14" s="78">
        <f t="shared" si="121"/>
        <v>1741.16388</v>
      </c>
      <c r="GJ14" s="79">
        <f t="shared" si="122"/>
        <v>559.4408772</v>
      </c>
      <c r="GK14" s="77">
        <f t="shared" si="123"/>
        <v>33.442932</v>
      </c>
      <c r="GL14" s="78"/>
      <c r="GM14" s="78"/>
      <c r="GN14" s="78">
        <f t="shared" si="124"/>
        <v>8069.33459</v>
      </c>
      <c r="GO14" s="78">
        <f t="shared" si="125"/>
        <v>8069.33459</v>
      </c>
      <c r="GP14" s="79">
        <f t="shared" si="126"/>
        <v>2592.7000171</v>
      </c>
      <c r="GQ14" s="77">
        <f t="shared" si="127"/>
        <v>154.989551</v>
      </c>
      <c r="GR14" s="78"/>
      <c r="GS14" s="78"/>
      <c r="GT14" s="78">
        <f t="shared" si="128"/>
        <v>428.25741999999997</v>
      </c>
      <c r="GU14" s="78">
        <f t="shared" si="129"/>
        <v>428.25741999999997</v>
      </c>
      <c r="GV14" s="79">
        <f t="shared" si="130"/>
        <v>137.60031980000002</v>
      </c>
      <c r="GW14" s="77">
        <f t="shared" si="131"/>
        <v>8.225638</v>
      </c>
      <c r="GX14" s="78"/>
      <c r="GY14" s="78"/>
      <c r="GZ14" s="78">
        <f t="shared" si="132"/>
        <v>2455.3608400000003</v>
      </c>
      <c r="HA14" s="78">
        <f t="shared" si="133"/>
        <v>2455.3608400000003</v>
      </c>
      <c r="HB14" s="79">
        <f t="shared" si="134"/>
        <v>788.9143796000001</v>
      </c>
      <c r="HC14" s="77">
        <f t="shared" si="135"/>
        <v>47.160676</v>
      </c>
      <c r="HD14" s="78"/>
      <c r="HE14" s="78"/>
      <c r="HF14" s="78"/>
      <c r="HG14" s="78"/>
      <c r="HH14" s="78"/>
      <c r="HI14" s="78"/>
    </row>
    <row r="15" spans="1:217" s="52" customFormat="1" ht="12">
      <c r="A15" s="51">
        <v>43191</v>
      </c>
      <c r="C15" s="42">
        <v>5315000</v>
      </c>
      <c r="D15" s="42">
        <v>343100</v>
      </c>
      <c r="E15" s="77">
        <f t="shared" si="0"/>
        <v>5658100</v>
      </c>
      <c r="F15" s="77">
        <v>110239</v>
      </c>
      <c r="G15" s="77">
        <v>6590</v>
      </c>
      <c r="H15" s="79"/>
      <c r="I15" s="79">
        <f>O15+U15+AA15+AG15+AM15+AS15+AY15+BE15+BK15+BQ15+BW15+CC15+CI15+CO15+CU15+DA15+DG15+DM15+DS15+DY15+EE15+EK15+EQ15+EW15+FC15+FI15+FO15+FU15+GA15+GG15+GM15+GS15+GY15</f>
        <v>2885119.6584999994</v>
      </c>
      <c r="J15" s="79">
        <f t="shared" si="1"/>
        <v>186243.56629</v>
      </c>
      <c r="K15" s="79">
        <f t="shared" si="2"/>
        <v>3071363.2247899994</v>
      </c>
      <c r="L15" s="79">
        <f t="shared" si="3"/>
        <v>59840.5843901</v>
      </c>
      <c r="M15" s="79">
        <f t="shared" si="3"/>
        <v>3577.2226809999993</v>
      </c>
      <c r="N15" s="79"/>
      <c r="O15" s="78">
        <f t="shared" si="136"/>
        <v>351561.73799999995</v>
      </c>
      <c r="P15" s="78">
        <f t="shared" si="4"/>
        <v>22694.41812</v>
      </c>
      <c r="Q15" s="79">
        <f t="shared" si="5"/>
        <v>374256.15611999994</v>
      </c>
      <c r="R15" s="79">
        <f t="shared" si="6"/>
        <v>7291.7807028</v>
      </c>
      <c r="S15" s="77">
        <f t="shared" si="7"/>
        <v>435.896868</v>
      </c>
      <c r="T15" s="79"/>
      <c r="U15" s="78">
        <f t="shared" si="137"/>
        <v>6003.8240000000005</v>
      </c>
      <c r="V15" s="78">
        <f t="shared" si="8"/>
        <v>387.56576</v>
      </c>
      <c r="W15" s="78">
        <f t="shared" si="9"/>
        <v>6391.389760000001</v>
      </c>
      <c r="X15" s="79">
        <f t="shared" si="10"/>
        <v>124.5259744</v>
      </c>
      <c r="Y15" s="77">
        <f t="shared" si="11"/>
        <v>7.444063999999999</v>
      </c>
      <c r="Z15" s="79"/>
      <c r="AA15" s="79">
        <f t="shared" si="138"/>
        <v>27103.310999999998</v>
      </c>
      <c r="AB15" s="78">
        <f t="shared" si="12"/>
        <v>1749.60414</v>
      </c>
      <c r="AC15" s="78">
        <f t="shared" si="13"/>
        <v>28852.915139999997</v>
      </c>
      <c r="AD15" s="79">
        <f t="shared" si="14"/>
        <v>562.1527566</v>
      </c>
      <c r="AE15" s="77">
        <f t="shared" si="15"/>
        <v>33.605045999999994</v>
      </c>
      <c r="AF15" s="79"/>
      <c r="AG15" s="78">
        <f t="shared" si="139"/>
        <v>471332.60549999995</v>
      </c>
      <c r="AH15" s="78">
        <f t="shared" si="16"/>
        <v>30426.00507</v>
      </c>
      <c r="AI15" s="78">
        <f t="shared" si="17"/>
        <v>501758.61056999996</v>
      </c>
      <c r="AJ15" s="79">
        <f t="shared" si="18"/>
        <v>9775.9614483</v>
      </c>
      <c r="AK15" s="77">
        <f t="shared" si="19"/>
        <v>584.399223</v>
      </c>
      <c r="AL15" s="79"/>
      <c r="AM15" s="78">
        <f t="shared" si="140"/>
        <v>5709.3730000000005</v>
      </c>
      <c r="AN15" s="78">
        <f t="shared" si="20"/>
        <v>368.55802000000006</v>
      </c>
      <c r="AO15" s="78">
        <f t="shared" si="21"/>
        <v>6077.931020000001</v>
      </c>
      <c r="AP15" s="79">
        <f t="shared" si="22"/>
        <v>118.4187338</v>
      </c>
      <c r="AQ15" s="77">
        <f t="shared" si="23"/>
        <v>7.078978</v>
      </c>
      <c r="AR15" s="78"/>
      <c r="AS15" s="78">
        <f t="shared" si="141"/>
        <v>4814.8585</v>
      </c>
      <c r="AT15" s="78">
        <f t="shared" si="24"/>
        <v>310.81429</v>
      </c>
      <c r="AU15" s="78">
        <f t="shared" si="25"/>
        <v>5125.6727900000005</v>
      </c>
      <c r="AV15" s="79">
        <f t="shared" si="26"/>
        <v>99.8655101</v>
      </c>
      <c r="AW15" s="77">
        <f t="shared" si="27"/>
        <v>5.969881</v>
      </c>
      <c r="AX15" s="79"/>
      <c r="AY15" s="78">
        <f t="shared" si="142"/>
        <v>197541.542</v>
      </c>
      <c r="AZ15" s="78">
        <f t="shared" si="28"/>
        <v>12751.92908</v>
      </c>
      <c r="BA15" s="78">
        <f t="shared" si="29"/>
        <v>210293.47108</v>
      </c>
      <c r="BB15" s="79">
        <f t="shared" si="30"/>
        <v>4097.2308652</v>
      </c>
      <c r="BC15" s="77">
        <f t="shared" si="31"/>
        <v>244.929212</v>
      </c>
      <c r="BD15" s="79"/>
      <c r="BE15" s="78">
        <f t="shared" si="143"/>
        <v>405334.1245</v>
      </c>
      <c r="BF15" s="78">
        <f t="shared" si="32"/>
        <v>26165.595129999998</v>
      </c>
      <c r="BG15" s="78">
        <f t="shared" si="33"/>
        <v>431499.71962999995</v>
      </c>
      <c r="BH15" s="79">
        <f t="shared" si="34"/>
        <v>8407.0796897</v>
      </c>
      <c r="BI15" s="77">
        <f t="shared" si="35"/>
        <v>502.56855700000006</v>
      </c>
      <c r="BJ15" s="79"/>
      <c r="BK15" s="78">
        <f t="shared" si="144"/>
        <v>4679.326</v>
      </c>
      <c r="BL15" s="78">
        <f t="shared" si="36"/>
        <v>302.06523999999996</v>
      </c>
      <c r="BM15" s="78">
        <f t="shared" si="37"/>
        <v>4981.39124</v>
      </c>
      <c r="BN15" s="79">
        <f t="shared" si="38"/>
        <v>97.0544156</v>
      </c>
      <c r="BO15" s="77">
        <f t="shared" si="39"/>
        <v>5.801836000000001</v>
      </c>
      <c r="BP15" s="79"/>
      <c r="BQ15" s="78">
        <f t="shared" si="145"/>
        <v>3143.2909999999997</v>
      </c>
      <c r="BR15" s="78">
        <f t="shared" si="40"/>
        <v>202.90934000000001</v>
      </c>
      <c r="BS15" s="78">
        <f t="shared" si="41"/>
        <v>3346.20034</v>
      </c>
      <c r="BT15" s="79">
        <f t="shared" si="42"/>
        <v>65.1953446</v>
      </c>
      <c r="BU15" s="77">
        <f t="shared" si="43"/>
        <v>3.8973259999999996</v>
      </c>
      <c r="BV15" s="79"/>
      <c r="BW15" s="78">
        <f t="shared" si="146"/>
        <v>-468.2515</v>
      </c>
      <c r="BX15" s="78">
        <f t="shared" si="44"/>
        <v>-30.227110000000003</v>
      </c>
      <c r="BY15" s="78">
        <f t="shared" si="45"/>
        <v>-498.47861</v>
      </c>
      <c r="BZ15" s="79">
        <f t="shared" si="46"/>
        <v>-9.7120559</v>
      </c>
      <c r="CA15" s="77">
        <f t="shared" si="47"/>
        <v>-0.580579</v>
      </c>
      <c r="CB15" s="78"/>
      <c r="CC15" s="78">
        <f t="shared" si="147"/>
        <v>-305.081</v>
      </c>
      <c r="CD15" s="78">
        <f t="shared" si="48"/>
        <v>-19.69394</v>
      </c>
      <c r="CE15" s="78">
        <f t="shared" si="49"/>
        <v>-324.77494</v>
      </c>
      <c r="CF15" s="79">
        <f t="shared" si="50"/>
        <v>-6.3277186</v>
      </c>
      <c r="CG15" s="77">
        <f t="shared" si="51"/>
        <v>-0.378266</v>
      </c>
      <c r="CH15" s="79"/>
      <c r="CI15" s="78">
        <f t="shared" si="148"/>
        <v>11345.399000000001</v>
      </c>
      <c r="CJ15" s="78">
        <f t="shared" si="52"/>
        <v>732.38126</v>
      </c>
      <c r="CK15" s="78">
        <f t="shared" si="53"/>
        <v>12077.780260000001</v>
      </c>
      <c r="CL15" s="79">
        <f t="shared" si="54"/>
        <v>235.3161694</v>
      </c>
      <c r="CM15" s="77">
        <f t="shared" si="55"/>
        <v>14.067014</v>
      </c>
      <c r="CN15" s="79"/>
      <c r="CO15" s="78">
        <f t="shared" si="149"/>
        <v>69770.005</v>
      </c>
      <c r="CP15" s="78">
        <f t="shared" si="56"/>
        <v>4503.8737</v>
      </c>
      <c r="CQ15" s="78">
        <f t="shared" si="57"/>
        <v>74273.8787</v>
      </c>
      <c r="CR15" s="79">
        <f t="shared" si="58"/>
        <v>1447.1073529999999</v>
      </c>
      <c r="CS15" s="77">
        <f t="shared" si="59"/>
        <v>86.50693</v>
      </c>
      <c r="CT15" s="79"/>
      <c r="CU15" s="78">
        <f t="shared" si="150"/>
        <v>468703.8065</v>
      </c>
      <c r="CV15" s="78">
        <f t="shared" si="60"/>
        <v>30256.30781</v>
      </c>
      <c r="CW15" s="78">
        <f t="shared" si="61"/>
        <v>498960.11431</v>
      </c>
      <c r="CX15" s="79">
        <f t="shared" si="62"/>
        <v>9721.4372389</v>
      </c>
      <c r="CY15" s="77">
        <f t="shared" si="63"/>
        <v>581.139809</v>
      </c>
      <c r="CZ15" s="79"/>
      <c r="DA15" s="78">
        <f t="shared" si="151"/>
        <v>67623.808</v>
      </c>
      <c r="DB15" s="78">
        <f t="shared" si="64"/>
        <v>4365.32992</v>
      </c>
      <c r="DC15" s="78">
        <f t="shared" si="65"/>
        <v>71989.13792000001</v>
      </c>
      <c r="DD15" s="79">
        <f t="shared" si="66"/>
        <v>1402.5928448</v>
      </c>
      <c r="DE15" s="77">
        <f t="shared" si="67"/>
        <v>83.845888</v>
      </c>
      <c r="DF15" s="79"/>
      <c r="DG15" s="78">
        <f t="shared" si="152"/>
        <v>138175.11800000002</v>
      </c>
      <c r="DH15" s="78">
        <f t="shared" si="68"/>
        <v>8919.63932</v>
      </c>
      <c r="DI15" s="78">
        <f t="shared" si="69"/>
        <v>147094.75732</v>
      </c>
      <c r="DJ15" s="79">
        <f t="shared" si="70"/>
        <v>2865.9053308000002</v>
      </c>
      <c r="DK15" s="77">
        <f t="shared" si="71"/>
        <v>171.321548</v>
      </c>
      <c r="DL15" s="79"/>
      <c r="DM15" s="78">
        <f t="shared" si="153"/>
        <v>22409.103</v>
      </c>
      <c r="DN15" s="78">
        <f t="shared" si="72"/>
        <v>1446.5782199999999</v>
      </c>
      <c r="DO15" s="78">
        <f t="shared" si="73"/>
        <v>23855.68122</v>
      </c>
      <c r="DP15" s="79">
        <f t="shared" si="74"/>
        <v>464.78967179999995</v>
      </c>
      <c r="DQ15" s="77">
        <f t="shared" si="75"/>
        <v>27.784758</v>
      </c>
      <c r="DR15" s="79"/>
      <c r="DS15" s="78">
        <f t="shared" si="154"/>
        <v>114953.88299999999</v>
      </c>
      <c r="DT15" s="78">
        <f t="shared" si="76"/>
        <v>7420.6354200000005</v>
      </c>
      <c r="DU15" s="78">
        <f t="shared" si="77"/>
        <v>122374.51842</v>
      </c>
      <c r="DV15" s="79">
        <f t="shared" si="78"/>
        <v>2384.2711398</v>
      </c>
      <c r="DW15" s="77">
        <f t="shared" si="79"/>
        <v>142.529838</v>
      </c>
      <c r="DX15" s="79"/>
      <c r="DY15" s="78">
        <f t="shared" si="155"/>
        <v>1027.3895</v>
      </c>
      <c r="DZ15" s="78">
        <f t="shared" si="80"/>
        <v>66.32123</v>
      </c>
      <c r="EA15" s="78">
        <f t="shared" si="81"/>
        <v>1093.71073</v>
      </c>
      <c r="EB15" s="79">
        <f t="shared" si="82"/>
        <v>21.3091987</v>
      </c>
      <c r="EC15" s="77">
        <f t="shared" si="83"/>
        <v>1.273847</v>
      </c>
      <c r="ED15" s="79"/>
      <c r="EE15" s="78">
        <f t="shared" si="156"/>
        <v>1352.136</v>
      </c>
      <c r="EF15" s="78">
        <f t="shared" si="84"/>
        <v>87.28464</v>
      </c>
      <c r="EG15" s="78">
        <f t="shared" si="85"/>
        <v>1439.42064</v>
      </c>
      <c r="EH15" s="79">
        <f t="shared" si="86"/>
        <v>28.0448016</v>
      </c>
      <c r="EI15" s="77">
        <f t="shared" si="87"/>
        <v>1.676496</v>
      </c>
      <c r="EJ15" s="79"/>
      <c r="EK15" s="78">
        <f t="shared" si="157"/>
        <v>68131.39050000001</v>
      </c>
      <c r="EL15" s="78">
        <f t="shared" si="88"/>
        <v>4398.09597</v>
      </c>
      <c r="EM15" s="78">
        <f t="shared" si="89"/>
        <v>72529.48647</v>
      </c>
      <c r="EN15" s="79">
        <f t="shared" si="90"/>
        <v>1413.1206693000001</v>
      </c>
      <c r="EO15" s="77">
        <f t="shared" si="91"/>
        <v>84.475233</v>
      </c>
      <c r="EP15" s="79"/>
      <c r="EQ15" s="78">
        <f t="shared" si="158"/>
        <v>1296.8600000000001</v>
      </c>
      <c r="ER15" s="78">
        <f t="shared" si="92"/>
        <v>83.71640000000001</v>
      </c>
      <c r="ES15" s="78">
        <f t="shared" si="93"/>
        <v>1380.5764000000001</v>
      </c>
      <c r="ET15" s="79">
        <f t="shared" si="94"/>
        <v>26.898315999999998</v>
      </c>
      <c r="EU15" s="77">
        <f t="shared" si="95"/>
        <v>1.60796</v>
      </c>
      <c r="EV15" s="79"/>
      <c r="EW15" s="78">
        <f t="shared" si="159"/>
        <v>19377.9585</v>
      </c>
      <c r="EX15" s="78">
        <f t="shared" si="96"/>
        <v>1250.90829</v>
      </c>
      <c r="EY15" s="78">
        <f t="shared" si="97"/>
        <v>20628.86679</v>
      </c>
      <c r="EZ15" s="79">
        <f t="shared" si="98"/>
        <v>401.9203701</v>
      </c>
      <c r="FA15" s="77">
        <f t="shared" si="99"/>
        <v>24.026481</v>
      </c>
      <c r="FB15" s="79"/>
      <c r="FC15" s="78">
        <f t="shared" si="160"/>
        <v>13461.300500000001</v>
      </c>
      <c r="FD15" s="78">
        <f t="shared" si="100"/>
        <v>868.96937</v>
      </c>
      <c r="FE15" s="78">
        <f t="shared" si="101"/>
        <v>14330.269870000002</v>
      </c>
      <c r="FF15" s="79">
        <f t="shared" si="102"/>
        <v>279.2023153</v>
      </c>
      <c r="FG15" s="77">
        <f t="shared" si="103"/>
        <v>16.690493</v>
      </c>
      <c r="FH15" s="79"/>
      <c r="FI15" s="78">
        <f t="shared" si="161"/>
        <v>5254.940500000001</v>
      </c>
      <c r="FJ15" s="78">
        <f t="shared" si="104"/>
        <v>339.22297</v>
      </c>
      <c r="FK15" s="78">
        <f t="shared" si="105"/>
        <v>5594.16347</v>
      </c>
      <c r="FL15" s="79">
        <f t="shared" si="106"/>
        <v>108.99329929999999</v>
      </c>
      <c r="FM15" s="77">
        <f t="shared" si="107"/>
        <v>6.515533</v>
      </c>
      <c r="FN15" s="79"/>
      <c r="FO15" s="78">
        <f t="shared" si="162"/>
        <v>59055.4965</v>
      </c>
      <c r="FP15" s="78">
        <f t="shared" si="108"/>
        <v>3812.21841</v>
      </c>
      <c r="FQ15" s="78">
        <f t="shared" si="109"/>
        <v>62867.71491</v>
      </c>
      <c r="FR15" s="79">
        <f t="shared" si="110"/>
        <v>1224.8765529</v>
      </c>
      <c r="FS15" s="77">
        <f t="shared" si="111"/>
        <v>73.222149</v>
      </c>
      <c r="FT15" s="79"/>
      <c r="FU15" s="78">
        <f t="shared" si="163"/>
        <v>133099.293</v>
      </c>
      <c r="FV15" s="78">
        <f t="shared" si="112"/>
        <v>8591.97882</v>
      </c>
      <c r="FW15" s="78">
        <f t="shared" si="113"/>
        <v>141691.27182</v>
      </c>
      <c r="FX15" s="79">
        <f t="shared" si="114"/>
        <v>2760.6270858000003</v>
      </c>
      <c r="FY15" s="77">
        <f t="shared" si="115"/>
        <v>165.028098</v>
      </c>
      <c r="FZ15" s="79"/>
      <c r="GA15" s="78">
        <f t="shared" si="164"/>
        <v>16985.1455</v>
      </c>
      <c r="GB15" s="78">
        <f t="shared" si="116"/>
        <v>1096.44467</v>
      </c>
      <c r="GC15" s="78">
        <f t="shared" si="117"/>
        <v>18081.59017</v>
      </c>
      <c r="GD15" s="79">
        <f t="shared" si="118"/>
        <v>352.2907723</v>
      </c>
      <c r="GE15" s="77">
        <f t="shared" si="119"/>
        <v>21.059663</v>
      </c>
      <c r="GF15" s="79"/>
      <c r="GG15" s="78">
        <f t="shared" si="165"/>
        <v>26972.562</v>
      </c>
      <c r="GH15" s="78">
        <f t="shared" si="120"/>
        <v>1741.16388</v>
      </c>
      <c r="GI15" s="78">
        <f t="shared" si="121"/>
        <v>28713.72588</v>
      </c>
      <c r="GJ15" s="79">
        <f t="shared" si="122"/>
        <v>559.4408772</v>
      </c>
      <c r="GK15" s="77">
        <f t="shared" si="123"/>
        <v>33.442932</v>
      </c>
      <c r="GL15" s="79"/>
      <c r="GM15" s="78">
        <f t="shared" si="166"/>
        <v>125002.9535</v>
      </c>
      <c r="GN15" s="78">
        <f t="shared" si="124"/>
        <v>8069.33459</v>
      </c>
      <c r="GO15" s="78">
        <f t="shared" si="125"/>
        <v>133072.28809000002</v>
      </c>
      <c r="GP15" s="79">
        <f t="shared" si="126"/>
        <v>2592.7000171</v>
      </c>
      <c r="GQ15" s="77">
        <f t="shared" si="127"/>
        <v>154.989551</v>
      </c>
      <c r="GR15" s="79"/>
      <c r="GS15" s="78">
        <f t="shared" si="167"/>
        <v>6634.183000000001</v>
      </c>
      <c r="GT15" s="78">
        <f t="shared" si="128"/>
        <v>428.25741999999997</v>
      </c>
      <c r="GU15" s="78">
        <f t="shared" si="129"/>
        <v>7062.440420000001</v>
      </c>
      <c r="GV15" s="79">
        <f t="shared" si="130"/>
        <v>137.60031980000002</v>
      </c>
      <c r="GW15" s="77">
        <f t="shared" si="131"/>
        <v>8.225638</v>
      </c>
      <c r="GX15" s="79"/>
      <c r="GY15" s="78">
        <f t="shared" si="168"/>
        <v>38036.266</v>
      </c>
      <c r="GZ15" s="78">
        <f t="shared" si="132"/>
        <v>2455.3608400000003</v>
      </c>
      <c r="HA15" s="78">
        <f t="shared" si="133"/>
        <v>40491.626840000004</v>
      </c>
      <c r="HB15" s="79">
        <f t="shared" si="134"/>
        <v>788.9143796000001</v>
      </c>
      <c r="HC15" s="77">
        <f t="shared" si="135"/>
        <v>47.160676</v>
      </c>
      <c r="HD15" s="79"/>
      <c r="HE15" s="79"/>
      <c r="HF15" s="79"/>
      <c r="HG15" s="79"/>
      <c r="HH15" s="79"/>
      <c r="HI15" s="79"/>
    </row>
    <row r="16" spans="1:217" s="52" customFormat="1" ht="12">
      <c r="A16" s="51">
        <v>43374</v>
      </c>
      <c r="C16" s="42"/>
      <c r="D16" s="42">
        <v>236800</v>
      </c>
      <c r="E16" s="77">
        <f t="shared" si="0"/>
        <v>236800</v>
      </c>
      <c r="F16" s="77">
        <v>110239</v>
      </c>
      <c r="G16" s="77">
        <v>6590</v>
      </c>
      <c r="H16" s="79"/>
      <c r="I16" s="79"/>
      <c r="J16" s="79">
        <f t="shared" si="1"/>
        <v>128541.17312</v>
      </c>
      <c r="K16" s="79">
        <f t="shared" si="2"/>
        <v>128541.17312</v>
      </c>
      <c r="L16" s="79">
        <f t="shared" si="3"/>
        <v>59840.5843901</v>
      </c>
      <c r="M16" s="79">
        <f t="shared" si="3"/>
        <v>3577.2226809999993</v>
      </c>
      <c r="N16" s="79"/>
      <c r="O16" s="78"/>
      <c r="P16" s="78">
        <f t="shared" si="4"/>
        <v>15663.183359999999</v>
      </c>
      <c r="Q16" s="79">
        <f t="shared" si="5"/>
        <v>15663.183359999999</v>
      </c>
      <c r="R16" s="79">
        <f t="shared" si="6"/>
        <v>7291.7807028</v>
      </c>
      <c r="S16" s="77">
        <f t="shared" si="7"/>
        <v>435.896868</v>
      </c>
      <c r="T16" s="79"/>
      <c r="U16" s="78"/>
      <c r="V16" s="78">
        <f t="shared" si="8"/>
        <v>267.48928</v>
      </c>
      <c r="W16" s="78">
        <f t="shared" si="9"/>
        <v>267.48928</v>
      </c>
      <c r="X16" s="79">
        <f t="shared" si="10"/>
        <v>124.5259744</v>
      </c>
      <c r="Y16" s="77">
        <f t="shared" si="11"/>
        <v>7.444063999999999</v>
      </c>
      <c r="Z16" s="79"/>
      <c r="AA16" s="79"/>
      <c r="AB16" s="78">
        <f t="shared" si="12"/>
        <v>1207.5379199999998</v>
      </c>
      <c r="AC16" s="78">
        <f t="shared" si="13"/>
        <v>1207.5379199999998</v>
      </c>
      <c r="AD16" s="79">
        <f t="shared" si="14"/>
        <v>562.1527566</v>
      </c>
      <c r="AE16" s="77">
        <f t="shared" si="15"/>
        <v>33.605045999999994</v>
      </c>
      <c r="AF16" s="79"/>
      <c r="AG16" s="78"/>
      <c r="AH16" s="78">
        <f t="shared" si="16"/>
        <v>20999.35296</v>
      </c>
      <c r="AI16" s="78">
        <f t="shared" si="17"/>
        <v>20999.35296</v>
      </c>
      <c r="AJ16" s="79">
        <f t="shared" si="18"/>
        <v>9775.9614483</v>
      </c>
      <c r="AK16" s="77">
        <f t="shared" si="19"/>
        <v>584.399223</v>
      </c>
      <c r="AL16" s="79"/>
      <c r="AM16" s="78"/>
      <c r="AN16" s="78">
        <f t="shared" si="20"/>
        <v>254.37056</v>
      </c>
      <c r="AO16" s="78">
        <f t="shared" si="21"/>
        <v>254.37056</v>
      </c>
      <c r="AP16" s="79">
        <f t="shared" si="22"/>
        <v>118.4187338</v>
      </c>
      <c r="AQ16" s="77">
        <f t="shared" si="23"/>
        <v>7.078978</v>
      </c>
      <c r="AR16" s="78"/>
      <c r="AS16" s="78"/>
      <c r="AT16" s="78">
        <f t="shared" si="24"/>
        <v>214.51712</v>
      </c>
      <c r="AU16" s="78">
        <f t="shared" si="25"/>
        <v>214.51712</v>
      </c>
      <c r="AV16" s="79">
        <f t="shared" si="26"/>
        <v>99.8655101</v>
      </c>
      <c r="AW16" s="77">
        <f t="shared" si="27"/>
        <v>5.969881</v>
      </c>
      <c r="AX16" s="79"/>
      <c r="AY16" s="78"/>
      <c r="AZ16" s="78">
        <f t="shared" si="28"/>
        <v>8801.09824</v>
      </c>
      <c r="BA16" s="78">
        <f t="shared" si="29"/>
        <v>8801.09824</v>
      </c>
      <c r="BB16" s="79">
        <f t="shared" si="30"/>
        <v>4097.2308652</v>
      </c>
      <c r="BC16" s="77">
        <f t="shared" si="31"/>
        <v>244.929212</v>
      </c>
      <c r="BD16" s="79"/>
      <c r="BE16" s="78"/>
      <c r="BF16" s="78">
        <f t="shared" si="32"/>
        <v>18058.91264</v>
      </c>
      <c r="BG16" s="78">
        <f t="shared" si="33"/>
        <v>18058.91264</v>
      </c>
      <c r="BH16" s="79">
        <f t="shared" si="34"/>
        <v>8407.0796897</v>
      </c>
      <c r="BI16" s="77">
        <f t="shared" si="35"/>
        <v>502.56855700000006</v>
      </c>
      <c r="BJ16" s="79"/>
      <c r="BK16" s="78"/>
      <c r="BL16" s="78">
        <f t="shared" si="36"/>
        <v>208.47871999999998</v>
      </c>
      <c r="BM16" s="78">
        <f t="shared" si="37"/>
        <v>208.47871999999998</v>
      </c>
      <c r="BN16" s="79">
        <f t="shared" si="38"/>
        <v>97.0544156</v>
      </c>
      <c r="BO16" s="77">
        <f t="shared" si="39"/>
        <v>5.801836000000001</v>
      </c>
      <c r="BP16" s="79"/>
      <c r="BQ16" s="78"/>
      <c r="BR16" s="78">
        <f t="shared" si="40"/>
        <v>140.04352</v>
      </c>
      <c r="BS16" s="78">
        <f t="shared" si="41"/>
        <v>140.04352</v>
      </c>
      <c r="BT16" s="79">
        <f t="shared" si="42"/>
        <v>65.1953446</v>
      </c>
      <c r="BU16" s="77">
        <f t="shared" si="43"/>
        <v>3.8973259999999996</v>
      </c>
      <c r="BV16" s="79"/>
      <c r="BW16" s="78"/>
      <c r="BX16" s="78">
        <f t="shared" si="44"/>
        <v>-20.862080000000002</v>
      </c>
      <c r="BY16" s="78">
        <f t="shared" si="45"/>
        <v>-20.862080000000002</v>
      </c>
      <c r="BZ16" s="79">
        <f t="shared" si="46"/>
        <v>-9.7120559</v>
      </c>
      <c r="CA16" s="77">
        <f t="shared" si="47"/>
        <v>-0.580579</v>
      </c>
      <c r="CB16" s="78"/>
      <c r="CC16" s="78"/>
      <c r="CD16" s="78">
        <f t="shared" si="48"/>
        <v>-13.592319999999999</v>
      </c>
      <c r="CE16" s="78">
        <f t="shared" si="49"/>
        <v>-13.592319999999999</v>
      </c>
      <c r="CF16" s="79">
        <f t="shared" si="50"/>
        <v>-6.3277186</v>
      </c>
      <c r="CG16" s="77">
        <f t="shared" si="51"/>
        <v>-0.378266</v>
      </c>
      <c r="CH16" s="79"/>
      <c r="CI16" s="78"/>
      <c r="CJ16" s="78">
        <f t="shared" si="52"/>
        <v>505.47328</v>
      </c>
      <c r="CK16" s="78">
        <f t="shared" si="53"/>
        <v>505.47328</v>
      </c>
      <c r="CL16" s="79">
        <f t="shared" si="54"/>
        <v>235.3161694</v>
      </c>
      <c r="CM16" s="77">
        <f t="shared" si="55"/>
        <v>14.067014</v>
      </c>
      <c r="CN16" s="79"/>
      <c r="CO16" s="78"/>
      <c r="CP16" s="78">
        <f t="shared" si="56"/>
        <v>3108.4736</v>
      </c>
      <c r="CQ16" s="78">
        <f t="shared" si="57"/>
        <v>3108.4736</v>
      </c>
      <c r="CR16" s="79">
        <f t="shared" si="58"/>
        <v>1447.1073529999999</v>
      </c>
      <c r="CS16" s="77">
        <f t="shared" si="59"/>
        <v>86.50693</v>
      </c>
      <c r="CT16" s="79"/>
      <c r="CU16" s="78"/>
      <c r="CV16" s="78">
        <f t="shared" si="60"/>
        <v>20882.23168</v>
      </c>
      <c r="CW16" s="78">
        <f t="shared" si="61"/>
        <v>20882.23168</v>
      </c>
      <c r="CX16" s="79">
        <f t="shared" si="62"/>
        <v>9721.4372389</v>
      </c>
      <c r="CY16" s="77">
        <f t="shared" si="63"/>
        <v>581.139809</v>
      </c>
      <c r="CZ16" s="79"/>
      <c r="DA16" s="78"/>
      <c r="DB16" s="78">
        <f t="shared" si="64"/>
        <v>3012.85376</v>
      </c>
      <c r="DC16" s="78">
        <f t="shared" si="65"/>
        <v>3012.85376</v>
      </c>
      <c r="DD16" s="79">
        <f t="shared" si="66"/>
        <v>1402.5928448</v>
      </c>
      <c r="DE16" s="77">
        <f t="shared" si="67"/>
        <v>83.845888</v>
      </c>
      <c r="DF16" s="79"/>
      <c r="DG16" s="78"/>
      <c r="DH16" s="78">
        <f t="shared" si="68"/>
        <v>6156.13696</v>
      </c>
      <c r="DI16" s="78">
        <f t="shared" si="69"/>
        <v>6156.13696</v>
      </c>
      <c r="DJ16" s="79">
        <f t="shared" si="70"/>
        <v>2865.9053308000002</v>
      </c>
      <c r="DK16" s="77">
        <f t="shared" si="71"/>
        <v>171.321548</v>
      </c>
      <c r="DL16" s="79"/>
      <c r="DM16" s="78"/>
      <c r="DN16" s="78">
        <f t="shared" si="72"/>
        <v>998.3961599999999</v>
      </c>
      <c r="DO16" s="78">
        <f t="shared" si="73"/>
        <v>998.3961599999999</v>
      </c>
      <c r="DP16" s="79">
        <f t="shared" si="74"/>
        <v>464.78967179999995</v>
      </c>
      <c r="DQ16" s="77">
        <f t="shared" si="75"/>
        <v>27.784758</v>
      </c>
      <c r="DR16" s="79"/>
      <c r="DS16" s="78"/>
      <c r="DT16" s="78">
        <f t="shared" si="76"/>
        <v>5121.55776</v>
      </c>
      <c r="DU16" s="78">
        <f t="shared" si="77"/>
        <v>5121.55776</v>
      </c>
      <c r="DV16" s="79">
        <f t="shared" si="78"/>
        <v>2384.2711398</v>
      </c>
      <c r="DW16" s="77">
        <f t="shared" si="79"/>
        <v>142.529838</v>
      </c>
      <c r="DX16" s="79"/>
      <c r="DY16" s="78"/>
      <c r="DZ16" s="78">
        <f t="shared" si="80"/>
        <v>45.77344</v>
      </c>
      <c r="EA16" s="78">
        <f t="shared" si="81"/>
        <v>45.77344</v>
      </c>
      <c r="EB16" s="79">
        <f t="shared" si="82"/>
        <v>21.3091987</v>
      </c>
      <c r="EC16" s="77">
        <f t="shared" si="83"/>
        <v>1.273847</v>
      </c>
      <c r="ED16" s="79"/>
      <c r="EE16" s="78"/>
      <c r="EF16" s="78">
        <f t="shared" si="84"/>
        <v>60.24192</v>
      </c>
      <c r="EG16" s="78">
        <f t="shared" si="85"/>
        <v>60.24192</v>
      </c>
      <c r="EH16" s="79">
        <f t="shared" si="86"/>
        <v>28.0448016</v>
      </c>
      <c r="EI16" s="77">
        <f t="shared" si="87"/>
        <v>1.676496</v>
      </c>
      <c r="EJ16" s="79"/>
      <c r="EK16" s="78"/>
      <c r="EL16" s="78">
        <f t="shared" si="88"/>
        <v>3035.46816</v>
      </c>
      <c r="EM16" s="78">
        <f t="shared" si="89"/>
        <v>3035.46816</v>
      </c>
      <c r="EN16" s="79">
        <f t="shared" si="90"/>
        <v>1413.1206693000001</v>
      </c>
      <c r="EO16" s="77">
        <f t="shared" si="91"/>
        <v>84.475233</v>
      </c>
      <c r="EP16" s="79"/>
      <c r="EQ16" s="78"/>
      <c r="ER16" s="78">
        <f t="shared" si="92"/>
        <v>57.7792</v>
      </c>
      <c r="ES16" s="78">
        <f t="shared" si="93"/>
        <v>57.7792</v>
      </c>
      <c r="ET16" s="79">
        <f t="shared" si="94"/>
        <v>26.898315999999998</v>
      </c>
      <c r="EU16" s="77">
        <f t="shared" si="95"/>
        <v>1.60796</v>
      </c>
      <c r="EV16" s="79"/>
      <c r="EW16" s="78"/>
      <c r="EX16" s="78">
        <f t="shared" si="96"/>
        <v>863.3491200000001</v>
      </c>
      <c r="EY16" s="78">
        <f t="shared" si="97"/>
        <v>863.3491200000001</v>
      </c>
      <c r="EZ16" s="79">
        <f t="shared" si="98"/>
        <v>401.9203701</v>
      </c>
      <c r="FA16" s="77">
        <f t="shared" si="99"/>
        <v>24.026481</v>
      </c>
      <c r="FB16" s="79"/>
      <c r="FC16" s="78"/>
      <c r="FD16" s="78">
        <f t="shared" si="100"/>
        <v>599.7433599999999</v>
      </c>
      <c r="FE16" s="78">
        <f t="shared" si="101"/>
        <v>599.7433599999999</v>
      </c>
      <c r="FF16" s="79">
        <f t="shared" si="102"/>
        <v>279.2023153</v>
      </c>
      <c r="FG16" s="77">
        <f t="shared" si="103"/>
        <v>16.690493</v>
      </c>
      <c r="FH16" s="79"/>
      <c r="FI16" s="78"/>
      <c r="FJ16" s="78">
        <f t="shared" si="104"/>
        <v>234.12416000000002</v>
      </c>
      <c r="FK16" s="78">
        <f t="shared" si="105"/>
        <v>234.12416000000002</v>
      </c>
      <c r="FL16" s="79">
        <f t="shared" si="106"/>
        <v>108.99329929999999</v>
      </c>
      <c r="FM16" s="77">
        <f t="shared" si="107"/>
        <v>6.515533</v>
      </c>
      <c r="FN16" s="79"/>
      <c r="FO16" s="78"/>
      <c r="FP16" s="78">
        <f t="shared" si="108"/>
        <v>2631.10848</v>
      </c>
      <c r="FQ16" s="78">
        <f t="shared" si="109"/>
        <v>2631.10848</v>
      </c>
      <c r="FR16" s="79">
        <f t="shared" si="110"/>
        <v>1224.8765529</v>
      </c>
      <c r="FS16" s="77">
        <f t="shared" si="111"/>
        <v>73.222149</v>
      </c>
      <c r="FT16" s="79"/>
      <c r="FU16" s="78"/>
      <c r="FV16" s="78">
        <f t="shared" si="112"/>
        <v>5929.99296</v>
      </c>
      <c r="FW16" s="78">
        <f t="shared" si="113"/>
        <v>5929.99296</v>
      </c>
      <c r="FX16" s="79">
        <f t="shared" si="114"/>
        <v>2760.6270858000003</v>
      </c>
      <c r="FY16" s="77">
        <f t="shared" si="115"/>
        <v>165.028098</v>
      </c>
      <c r="FZ16" s="79"/>
      <c r="GA16" s="78"/>
      <c r="GB16" s="78">
        <f t="shared" si="116"/>
        <v>756.7417600000001</v>
      </c>
      <c r="GC16" s="78">
        <f t="shared" si="117"/>
        <v>756.7417600000001</v>
      </c>
      <c r="GD16" s="79">
        <f t="shared" si="118"/>
        <v>352.2907723</v>
      </c>
      <c r="GE16" s="77">
        <f t="shared" si="119"/>
        <v>21.059663</v>
      </c>
      <c r="GF16" s="79"/>
      <c r="GG16" s="78"/>
      <c r="GH16" s="78">
        <f t="shared" si="120"/>
        <v>1201.7126400000002</v>
      </c>
      <c r="GI16" s="78">
        <f t="shared" si="121"/>
        <v>1201.7126400000002</v>
      </c>
      <c r="GJ16" s="79">
        <f t="shared" si="122"/>
        <v>559.4408772</v>
      </c>
      <c r="GK16" s="77">
        <f t="shared" si="123"/>
        <v>33.442932</v>
      </c>
      <c r="GL16" s="79"/>
      <c r="GM16" s="78"/>
      <c r="GN16" s="78">
        <f t="shared" si="124"/>
        <v>5569.27552</v>
      </c>
      <c r="GO16" s="78">
        <f t="shared" si="125"/>
        <v>5569.27552</v>
      </c>
      <c r="GP16" s="79">
        <f t="shared" si="126"/>
        <v>2592.7000171</v>
      </c>
      <c r="GQ16" s="77">
        <f t="shared" si="127"/>
        <v>154.989551</v>
      </c>
      <c r="GR16" s="79"/>
      <c r="GS16" s="78"/>
      <c r="GT16" s="78">
        <f t="shared" si="128"/>
        <v>295.57376</v>
      </c>
      <c r="GU16" s="78">
        <f t="shared" si="129"/>
        <v>295.57376</v>
      </c>
      <c r="GV16" s="79">
        <f t="shared" si="130"/>
        <v>137.60031980000002</v>
      </c>
      <c r="GW16" s="77">
        <f t="shared" si="131"/>
        <v>8.225638</v>
      </c>
      <c r="GX16" s="79"/>
      <c r="GY16" s="78"/>
      <c r="GZ16" s="78">
        <f t="shared" si="132"/>
        <v>1694.6355200000003</v>
      </c>
      <c r="HA16" s="78">
        <f t="shared" si="133"/>
        <v>1694.6355200000003</v>
      </c>
      <c r="HB16" s="79">
        <f t="shared" si="134"/>
        <v>788.9143796000001</v>
      </c>
      <c r="HC16" s="77">
        <f t="shared" si="135"/>
        <v>47.160676</v>
      </c>
      <c r="HD16" s="79"/>
      <c r="HE16" s="79"/>
      <c r="HF16" s="79"/>
      <c r="HG16" s="79"/>
      <c r="HH16" s="79"/>
      <c r="HI16" s="79"/>
    </row>
    <row r="17" spans="1:217" s="52" customFormat="1" ht="12">
      <c r="A17" s="51">
        <v>43556</v>
      </c>
      <c r="C17" s="42"/>
      <c r="D17" s="42">
        <v>236800</v>
      </c>
      <c r="E17" s="77">
        <f t="shared" si="0"/>
        <v>236800</v>
      </c>
      <c r="F17" s="77">
        <v>110239</v>
      </c>
      <c r="G17" s="77">
        <v>6590</v>
      </c>
      <c r="H17" s="79"/>
      <c r="I17" s="79">
        <f>O17+U17+AA17+AG17+AM17+AS17+AY17+BE17+BK17+BQ17+BW17+CC17+CI17+CO17+CU17+DA17+DG17+DM17+DS17+DY17+EE17+EK17+EQ17+EW17+FC17+FI17+FO17+FU17+GA17+GG17+GM17+GS17+GY17</f>
        <v>0</v>
      </c>
      <c r="J17" s="79">
        <f t="shared" si="1"/>
        <v>128541.17312</v>
      </c>
      <c r="K17" s="79">
        <f t="shared" si="2"/>
        <v>128541.17312</v>
      </c>
      <c r="L17" s="79">
        <f t="shared" si="3"/>
        <v>59840.5843901</v>
      </c>
      <c r="M17" s="79">
        <f t="shared" si="3"/>
        <v>3577.2226809999993</v>
      </c>
      <c r="N17" s="79"/>
      <c r="O17" s="78">
        <f t="shared" si="136"/>
        <v>0</v>
      </c>
      <c r="P17" s="78">
        <f t="shared" si="4"/>
        <v>15663.183359999999</v>
      </c>
      <c r="Q17" s="79">
        <f t="shared" si="5"/>
        <v>15663.183359999999</v>
      </c>
      <c r="R17" s="79">
        <f t="shared" si="6"/>
        <v>7291.7807028</v>
      </c>
      <c r="S17" s="77">
        <f t="shared" si="7"/>
        <v>435.896868</v>
      </c>
      <c r="T17" s="79"/>
      <c r="U17" s="78">
        <f t="shared" si="137"/>
        <v>0</v>
      </c>
      <c r="V17" s="78">
        <f t="shared" si="8"/>
        <v>267.48928</v>
      </c>
      <c r="W17" s="78">
        <f t="shared" si="9"/>
        <v>267.48928</v>
      </c>
      <c r="X17" s="79">
        <f t="shared" si="10"/>
        <v>124.5259744</v>
      </c>
      <c r="Y17" s="77">
        <f t="shared" si="11"/>
        <v>7.444063999999999</v>
      </c>
      <c r="Z17" s="79"/>
      <c r="AA17" s="79">
        <f t="shared" si="138"/>
        <v>0</v>
      </c>
      <c r="AB17" s="78">
        <f t="shared" si="12"/>
        <v>1207.5379199999998</v>
      </c>
      <c r="AC17" s="78">
        <f t="shared" si="13"/>
        <v>1207.5379199999998</v>
      </c>
      <c r="AD17" s="79">
        <f t="shared" si="14"/>
        <v>562.1527566</v>
      </c>
      <c r="AE17" s="77">
        <f t="shared" si="15"/>
        <v>33.605045999999994</v>
      </c>
      <c r="AF17" s="79"/>
      <c r="AG17" s="78">
        <f t="shared" si="139"/>
        <v>0</v>
      </c>
      <c r="AH17" s="78">
        <f t="shared" si="16"/>
        <v>20999.35296</v>
      </c>
      <c r="AI17" s="78">
        <f t="shared" si="17"/>
        <v>20999.35296</v>
      </c>
      <c r="AJ17" s="79">
        <f t="shared" si="18"/>
        <v>9775.9614483</v>
      </c>
      <c r="AK17" s="77">
        <f t="shared" si="19"/>
        <v>584.399223</v>
      </c>
      <c r="AL17" s="79"/>
      <c r="AM17" s="78">
        <f t="shared" si="140"/>
        <v>0</v>
      </c>
      <c r="AN17" s="78">
        <f t="shared" si="20"/>
        <v>254.37056</v>
      </c>
      <c r="AO17" s="78">
        <f t="shared" si="21"/>
        <v>254.37056</v>
      </c>
      <c r="AP17" s="79">
        <f t="shared" si="22"/>
        <v>118.4187338</v>
      </c>
      <c r="AQ17" s="77">
        <f t="shared" si="23"/>
        <v>7.078978</v>
      </c>
      <c r="AR17" s="78"/>
      <c r="AS17" s="78">
        <f t="shared" si="141"/>
        <v>0</v>
      </c>
      <c r="AT17" s="78">
        <f t="shared" si="24"/>
        <v>214.51712</v>
      </c>
      <c r="AU17" s="78">
        <f t="shared" si="25"/>
        <v>214.51712</v>
      </c>
      <c r="AV17" s="79">
        <f t="shared" si="26"/>
        <v>99.8655101</v>
      </c>
      <c r="AW17" s="77">
        <f t="shared" si="27"/>
        <v>5.969881</v>
      </c>
      <c r="AX17" s="79"/>
      <c r="AY17" s="78">
        <f t="shared" si="142"/>
        <v>0</v>
      </c>
      <c r="AZ17" s="78">
        <f t="shared" si="28"/>
        <v>8801.09824</v>
      </c>
      <c r="BA17" s="78">
        <f t="shared" si="29"/>
        <v>8801.09824</v>
      </c>
      <c r="BB17" s="79">
        <f t="shared" si="30"/>
        <v>4097.2308652</v>
      </c>
      <c r="BC17" s="77">
        <f t="shared" si="31"/>
        <v>244.929212</v>
      </c>
      <c r="BD17" s="79"/>
      <c r="BE17" s="78">
        <f t="shared" si="143"/>
        <v>0</v>
      </c>
      <c r="BF17" s="78">
        <f t="shared" si="32"/>
        <v>18058.91264</v>
      </c>
      <c r="BG17" s="78">
        <f t="shared" si="33"/>
        <v>18058.91264</v>
      </c>
      <c r="BH17" s="79">
        <f t="shared" si="34"/>
        <v>8407.0796897</v>
      </c>
      <c r="BI17" s="77">
        <f t="shared" si="35"/>
        <v>502.56855700000006</v>
      </c>
      <c r="BJ17" s="79"/>
      <c r="BK17" s="78">
        <f t="shared" si="144"/>
        <v>0</v>
      </c>
      <c r="BL17" s="78">
        <f t="shared" si="36"/>
        <v>208.47871999999998</v>
      </c>
      <c r="BM17" s="78">
        <f t="shared" si="37"/>
        <v>208.47871999999998</v>
      </c>
      <c r="BN17" s="79">
        <f t="shared" si="38"/>
        <v>97.0544156</v>
      </c>
      <c r="BO17" s="77">
        <f t="shared" si="39"/>
        <v>5.801836000000001</v>
      </c>
      <c r="BP17" s="79"/>
      <c r="BQ17" s="78">
        <f t="shared" si="145"/>
        <v>0</v>
      </c>
      <c r="BR17" s="78">
        <f t="shared" si="40"/>
        <v>140.04352</v>
      </c>
      <c r="BS17" s="78">
        <f t="shared" si="41"/>
        <v>140.04352</v>
      </c>
      <c r="BT17" s="79">
        <f t="shared" si="42"/>
        <v>65.1953446</v>
      </c>
      <c r="BU17" s="77">
        <f t="shared" si="43"/>
        <v>3.8973259999999996</v>
      </c>
      <c r="BV17" s="79"/>
      <c r="BW17" s="78">
        <f t="shared" si="146"/>
        <v>0</v>
      </c>
      <c r="BX17" s="78">
        <f t="shared" si="44"/>
        <v>-20.862080000000002</v>
      </c>
      <c r="BY17" s="78">
        <f t="shared" si="45"/>
        <v>-20.862080000000002</v>
      </c>
      <c r="BZ17" s="79">
        <f t="shared" si="46"/>
        <v>-9.7120559</v>
      </c>
      <c r="CA17" s="77">
        <f t="shared" si="47"/>
        <v>-0.580579</v>
      </c>
      <c r="CB17" s="78"/>
      <c r="CC17" s="78">
        <f t="shared" si="147"/>
        <v>0</v>
      </c>
      <c r="CD17" s="78">
        <f t="shared" si="48"/>
        <v>-13.592319999999999</v>
      </c>
      <c r="CE17" s="78">
        <f t="shared" si="49"/>
        <v>-13.592319999999999</v>
      </c>
      <c r="CF17" s="79">
        <f t="shared" si="50"/>
        <v>-6.3277186</v>
      </c>
      <c r="CG17" s="77">
        <f t="shared" si="51"/>
        <v>-0.378266</v>
      </c>
      <c r="CH17" s="79"/>
      <c r="CI17" s="78">
        <f t="shared" si="148"/>
        <v>0</v>
      </c>
      <c r="CJ17" s="78">
        <f t="shared" si="52"/>
        <v>505.47328</v>
      </c>
      <c r="CK17" s="78">
        <f t="shared" si="53"/>
        <v>505.47328</v>
      </c>
      <c r="CL17" s="79">
        <f t="shared" si="54"/>
        <v>235.3161694</v>
      </c>
      <c r="CM17" s="77">
        <f t="shared" si="55"/>
        <v>14.067014</v>
      </c>
      <c r="CN17" s="79"/>
      <c r="CO17" s="78">
        <f t="shared" si="149"/>
        <v>0</v>
      </c>
      <c r="CP17" s="78">
        <f t="shared" si="56"/>
        <v>3108.4736</v>
      </c>
      <c r="CQ17" s="78">
        <f t="shared" si="57"/>
        <v>3108.4736</v>
      </c>
      <c r="CR17" s="79">
        <f t="shared" si="58"/>
        <v>1447.1073529999999</v>
      </c>
      <c r="CS17" s="77">
        <f t="shared" si="59"/>
        <v>86.50693</v>
      </c>
      <c r="CT17" s="79"/>
      <c r="CU17" s="78">
        <f t="shared" si="150"/>
        <v>0</v>
      </c>
      <c r="CV17" s="78">
        <f t="shared" si="60"/>
        <v>20882.23168</v>
      </c>
      <c r="CW17" s="78">
        <f t="shared" si="61"/>
        <v>20882.23168</v>
      </c>
      <c r="CX17" s="79">
        <f t="shared" si="62"/>
        <v>9721.4372389</v>
      </c>
      <c r="CY17" s="77">
        <f t="shared" si="63"/>
        <v>581.139809</v>
      </c>
      <c r="CZ17" s="79"/>
      <c r="DA17" s="78">
        <f t="shared" si="151"/>
        <v>0</v>
      </c>
      <c r="DB17" s="78">
        <f t="shared" si="64"/>
        <v>3012.85376</v>
      </c>
      <c r="DC17" s="78">
        <f t="shared" si="65"/>
        <v>3012.85376</v>
      </c>
      <c r="DD17" s="79">
        <f t="shared" si="66"/>
        <v>1402.5928448</v>
      </c>
      <c r="DE17" s="77">
        <f t="shared" si="67"/>
        <v>83.845888</v>
      </c>
      <c r="DF17" s="79"/>
      <c r="DG17" s="78">
        <f t="shared" si="152"/>
        <v>0</v>
      </c>
      <c r="DH17" s="78">
        <f t="shared" si="68"/>
        <v>6156.13696</v>
      </c>
      <c r="DI17" s="78">
        <f t="shared" si="69"/>
        <v>6156.13696</v>
      </c>
      <c r="DJ17" s="79">
        <f t="shared" si="70"/>
        <v>2865.9053308000002</v>
      </c>
      <c r="DK17" s="77">
        <f t="shared" si="71"/>
        <v>171.321548</v>
      </c>
      <c r="DL17" s="79"/>
      <c r="DM17" s="78">
        <f t="shared" si="153"/>
        <v>0</v>
      </c>
      <c r="DN17" s="78">
        <f t="shared" si="72"/>
        <v>998.3961599999999</v>
      </c>
      <c r="DO17" s="78">
        <f t="shared" si="73"/>
        <v>998.3961599999999</v>
      </c>
      <c r="DP17" s="79">
        <f t="shared" si="74"/>
        <v>464.78967179999995</v>
      </c>
      <c r="DQ17" s="77">
        <f t="shared" si="75"/>
        <v>27.784758</v>
      </c>
      <c r="DR17" s="79"/>
      <c r="DS17" s="78">
        <f t="shared" si="154"/>
        <v>0</v>
      </c>
      <c r="DT17" s="78">
        <f t="shared" si="76"/>
        <v>5121.55776</v>
      </c>
      <c r="DU17" s="78">
        <f t="shared" si="77"/>
        <v>5121.55776</v>
      </c>
      <c r="DV17" s="79">
        <f t="shared" si="78"/>
        <v>2384.2711398</v>
      </c>
      <c r="DW17" s="77">
        <f t="shared" si="79"/>
        <v>142.529838</v>
      </c>
      <c r="DX17" s="79"/>
      <c r="DY17" s="78">
        <f t="shared" si="155"/>
        <v>0</v>
      </c>
      <c r="DZ17" s="78">
        <f t="shared" si="80"/>
        <v>45.77344</v>
      </c>
      <c r="EA17" s="78">
        <f t="shared" si="81"/>
        <v>45.77344</v>
      </c>
      <c r="EB17" s="79">
        <f t="shared" si="82"/>
        <v>21.3091987</v>
      </c>
      <c r="EC17" s="77">
        <f t="shared" si="83"/>
        <v>1.273847</v>
      </c>
      <c r="ED17" s="79"/>
      <c r="EE17" s="78">
        <f t="shared" si="156"/>
        <v>0</v>
      </c>
      <c r="EF17" s="78">
        <f t="shared" si="84"/>
        <v>60.24192</v>
      </c>
      <c r="EG17" s="78">
        <f t="shared" si="85"/>
        <v>60.24192</v>
      </c>
      <c r="EH17" s="79">
        <f t="shared" si="86"/>
        <v>28.0448016</v>
      </c>
      <c r="EI17" s="77">
        <f t="shared" si="87"/>
        <v>1.676496</v>
      </c>
      <c r="EJ17" s="79"/>
      <c r="EK17" s="78">
        <f t="shared" si="157"/>
        <v>0</v>
      </c>
      <c r="EL17" s="78">
        <f t="shared" si="88"/>
        <v>3035.46816</v>
      </c>
      <c r="EM17" s="78">
        <f t="shared" si="89"/>
        <v>3035.46816</v>
      </c>
      <c r="EN17" s="79">
        <f t="shared" si="90"/>
        <v>1413.1206693000001</v>
      </c>
      <c r="EO17" s="77">
        <f t="shared" si="91"/>
        <v>84.475233</v>
      </c>
      <c r="EP17" s="79"/>
      <c r="EQ17" s="78">
        <f t="shared" si="158"/>
        <v>0</v>
      </c>
      <c r="ER17" s="78">
        <f t="shared" si="92"/>
        <v>57.7792</v>
      </c>
      <c r="ES17" s="78">
        <f t="shared" si="93"/>
        <v>57.7792</v>
      </c>
      <c r="ET17" s="79">
        <f t="shared" si="94"/>
        <v>26.898315999999998</v>
      </c>
      <c r="EU17" s="77">
        <f t="shared" si="95"/>
        <v>1.60796</v>
      </c>
      <c r="EV17" s="79"/>
      <c r="EW17" s="78">
        <f t="shared" si="159"/>
        <v>0</v>
      </c>
      <c r="EX17" s="78">
        <f t="shared" si="96"/>
        <v>863.3491200000001</v>
      </c>
      <c r="EY17" s="78">
        <f t="shared" si="97"/>
        <v>863.3491200000001</v>
      </c>
      <c r="EZ17" s="79">
        <f t="shared" si="98"/>
        <v>401.9203701</v>
      </c>
      <c r="FA17" s="77">
        <f t="shared" si="99"/>
        <v>24.026481</v>
      </c>
      <c r="FB17" s="79"/>
      <c r="FC17" s="78">
        <f t="shared" si="160"/>
        <v>0</v>
      </c>
      <c r="FD17" s="78">
        <f t="shared" si="100"/>
        <v>599.7433599999999</v>
      </c>
      <c r="FE17" s="78">
        <f t="shared" si="101"/>
        <v>599.7433599999999</v>
      </c>
      <c r="FF17" s="79">
        <f t="shared" si="102"/>
        <v>279.2023153</v>
      </c>
      <c r="FG17" s="77">
        <f t="shared" si="103"/>
        <v>16.690493</v>
      </c>
      <c r="FH17" s="79"/>
      <c r="FI17" s="78">
        <f t="shared" si="161"/>
        <v>0</v>
      </c>
      <c r="FJ17" s="78">
        <f t="shared" si="104"/>
        <v>234.12416000000002</v>
      </c>
      <c r="FK17" s="78">
        <f t="shared" si="105"/>
        <v>234.12416000000002</v>
      </c>
      <c r="FL17" s="79">
        <f t="shared" si="106"/>
        <v>108.99329929999999</v>
      </c>
      <c r="FM17" s="77">
        <f t="shared" si="107"/>
        <v>6.515533</v>
      </c>
      <c r="FN17" s="79"/>
      <c r="FO17" s="78">
        <f t="shared" si="162"/>
        <v>0</v>
      </c>
      <c r="FP17" s="78">
        <f t="shared" si="108"/>
        <v>2631.10848</v>
      </c>
      <c r="FQ17" s="78">
        <f t="shared" si="109"/>
        <v>2631.10848</v>
      </c>
      <c r="FR17" s="79">
        <f t="shared" si="110"/>
        <v>1224.8765529</v>
      </c>
      <c r="FS17" s="77">
        <f t="shared" si="111"/>
        <v>73.222149</v>
      </c>
      <c r="FT17" s="79"/>
      <c r="FU17" s="78">
        <f t="shared" si="163"/>
        <v>0</v>
      </c>
      <c r="FV17" s="78">
        <f t="shared" si="112"/>
        <v>5929.99296</v>
      </c>
      <c r="FW17" s="78">
        <f t="shared" si="113"/>
        <v>5929.99296</v>
      </c>
      <c r="FX17" s="79">
        <f t="shared" si="114"/>
        <v>2760.6270858000003</v>
      </c>
      <c r="FY17" s="77">
        <f t="shared" si="115"/>
        <v>165.028098</v>
      </c>
      <c r="FZ17" s="79"/>
      <c r="GA17" s="78">
        <f t="shared" si="164"/>
        <v>0</v>
      </c>
      <c r="GB17" s="78">
        <f t="shared" si="116"/>
        <v>756.7417600000001</v>
      </c>
      <c r="GC17" s="78">
        <f t="shared" si="117"/>
        <v>756.7417600000001</v>
      </c>
      <c r="GD17" s="79">
        <f t="shared" si="118"/>
        <v>352.2907723</v>
      </c>
      <c r="GE17" s="77">
        <f t="shared" si="119"/>
        <v>21.059663</v>
      </c>
      <c r="GF17" s="79"/>
      <c r="GG17" s="78">
        <f t="shared" si="165"/>
        <v>0</v>
      </c>
      <c r="GH17" s="78">
        <f t="shared" si="120"/>
        <v>1201.7126400000002</v>
      </c>
      <c r="GI17" s="78">
        <f t="shared" si="121"/>
        <v>1201.7126400000002</v>
      </c>
      <c r="GJ17" s="79">
        <f t="shared" si="122"/>
        <v>559.4408772</v>
      </c>
      <c r="GK17" s="77">
        <f t="shared" si="123"/>
        <v>33.442932</v>
      </c>
      <c r="GL17" s="79"/>
      <c r="GM17" s="78">
        <f t="shared" si="166"/>
        <v>0</v>
      </c>
      <c r="GN17" s="78">
        <f t="shared" si="124"/>
        <v>5569.27552</v>
      </c>
      <c r="GO17" s="78">
        <f t="shared" si="125"/>
        <v>5569.27552</v>
      </c>
      <c r="GP17" s="79">
        <f t="shared" si="126"/>
        <v>2592.7000171</v>
      </c>
      <c r="GQ17" s="77">
        <f t="shared" si="127"/>
        <v>154.989551</v>
      </c>
      <c r="GR17" s="79"/>
      <c r="GS17" s="78">
        <f t="shared" si="167"/>
        <v>0</v>
      </c>
      <c r="GT17" s="78">
        <f t="shared" si="128"/>
        <v>295.57376</v>
      </c>
      <c r="GU17" s="78">
        <f t="shared" si="129"/>
        <v>295.57376</v>
      </c>
      <c r="GV17" s="79">
        <f t="shared" si="130"/>
        <v>137.60031980000002</v>
      </c>
      <c r="GW17" s="77">
        <f t="shared" si="131"/>
        <v>8.225638</v>
      </c>
      <c r="GX17" s="79"/>
      <c r="GY17" s="78">
        <f t="shared" si="168"/>
        <v>0</v>
      </c>
      <c r="GZ17" s="78">
        <f t="shared" si="132"/>
        <v>1694.6355200000003</v>
      </c>
      <c r="HA17" s="78">
        <f t="shared" si="133"/>
        <v>1694.6355200000003</v>
      </c>
      <c r="HB17" s="79">
        <f t="shared" si="134"/>
        <v>788.9143796000001</v>
      </c>
      <c r="HC17" s="77">
        <f t="shared" si="135"/>
        <v>47.160676</v>
      </c>
      <c r="HD17" s="79"/>
      <c r="HE17" s="79"/>
      <c r="HF17" s="79"/>
      <c r="HG17" s="79"/>
      <c r="HH17" s="79"/>
      <c r="HI17" s="79"/>
    </row>
    <row r="18" spans="1:217" s="52" customFormat="1" ht="12">
      <c r="A18" s="51">
        <v>43739</v>
      </c>
      <c r="C18" s="42"/>
      <c r="D18" s="42">
        <v>236800</v>
      </c>
      <c r="E18" s="77">
        <f t="shared" si="0"/>
        <v>236800</v>
      </c>
      <c r="F18" s="77">
        <v>110239</v>
      </c>
      <c r="G18" s="77">
        <v>6590</v>
      </c>
      <c r="H18" s="79"/>
      <c r="I18" s="79"/>
      <c r="J18" s="79">
        <f t="shared" si="1"/>
        <v>128541.17312</v>
      </c>
      <c r="K18" s="79">
        <f t="shared" si="2"/>
        <v>128541.17312</v>
      </c>
      <c r="L18" s="79">
        <f t="shared" si="3"/>
        <v>59840.5843901</v>
      </c>
      <c r="M18" s="79">
        <f t="shared" si="3"/>
        <v>3577.2226809999993</v>
      </c>
      <c r="N18" s="79"/>
      <c r="O18" s="78"/>
      <c r="P18" s="78">
        <f t="shared" si="4"/>
        <v>15663.183359999999</v>
      </c>
      <c r="Q18" s="79">
        <f t="shared" si="5"/>
        <v>15663.183359999999</v>
      </c>
      <c r="R18" s="79">
        <f t="shared" si="6"/>
        <v>7291.7807028</v>
      </c>
      <c r="S18" s="77">
        <f t="shared" si="7"/>
        <v>435.896868</v>
      </c>
      <c r="T18" s="79"/>
      <c r="U18" s="78"/>
      <c r="V18" s="78">
        <f t="shared" si="8"/>
        <v>267.48928</v>
      </c>
      <c r="W18" s="78">
        <f t="shared" si="9"/>
        <v>267.48928</v>
      </c>
      <c r="X18" s="79">
        <f t="shared" si="10"/>
        <v>124.5259744</v>
      </c>
      <c r="Y18" s="77">
        <f t="shared" si="11"/>
        <v>7.444063999999999</v>
      </c>
      <c r="Z18" s="79"/>
      <c r="AA18" s="79"/>
      <c r="AB18" s="78">
        <f t="shared" si="12"/>
        <v>1207.5379199999998</v>
      </c>
      <c r="AC18" s="78">
        <f t="shared" si="13"/>
        <v>1207.5379199999998</v>
      </c>
      <c r="AD18" s="79">
        <f t="shared" si="14"/>
        <v>562.1527566</v>
      </c>
      <c r="AE18" s="77">
        <f t="shared" si="15"/>
        <v>33.605045999999994</v>
      </c>
      <c r="AF18" s="79"/>
      <c r="AG18" s="78"/>
      <c r="AH18" s="78">
        <f t="shared" si="16"/>
        <v>20999.35296</v>
      </c>
      <c r="AI18" s="78">
        <f t="shared" si="17"/>
        <v>20999.35296</v>
      </c>
      <c r="AJ18" s="79">
        <f t="shared" si="18"/>
        <v>9775.9614483</v>
      </c>
      <c r="AK18" s="77">
        <f t="shared" si="19"/>
        <v>584.399223</v>
      </c>
      <c r="AL18" s="79"/>
      <c r="AM18" s="78"/>
      <c r="AN18" s="78">
        <f t="shared" si="20"/>
        <v>254.37056</v>
      </c>
      <c r="AO18" s="78">
        <f t="shared" si="21"/>
        <v>254.37056</v>
      </c>
      <c r="AP18" s="79">
        <f t="shared" si="22"/>
        <v>118.4187338</v>
      </c>
      <c r="AQ18" s="77">
        <f t="shared" si="23"/>
        <v>7.078978</v>
      </c>
      <c r="AR18" s="78"/>
      <c r="AS18" s="78"/>
      <c r="AT18" s="78">
        <f t="shared" si="24"/>
        <v>214.51712</v>
      </c>
      <c r="AU18" s="78">
        <f t="shared" si="25"/>
        <v>214.51712</v>
      </c>
      <c r="AV18" s="79">
        <f t="shared" si="26"/>
        <v>99.8655101</v>
      </c>
      <c r="AW18" s="77">
        <f t="shared" si="27"/>
        <v>5.969881</v>
      </c>
      <c r="AX18" s="79"/>
      <c r="AY18" s="78"/>
      <c r="AZ18" s="78">
        <f t="shared" si="28"/>
        <v>8801.09824</v>
      </c>
      <c r="BA18" s="78">
        <f t="shared" si="29"/>
        <v>8801.09824</v>
      </c>
      <c r="BB18" s="79">
        <f t="shared" si="30"/>
        <v>4097.2308652</v>
      </c>
      <c r="BC18" s="77">
        <f t="shared" si="31"/>
        <v>244.929212</v>
      </c>
      <c r="BD18" s="79"/>
      <c r="BE18" s="78"/>
      <c r="BF18" s="78">
        <f t="shared" si="32"/>
        <v>18058.91264</v>
      </c>
      <c r="BG18" s="78">
        <f t="shared" si="33"/>
        <v>18058.91264</v>
      </c>
      <c r="BH18" s="79">
        <f t="shared" si="34"/>
        <v>8407.0796897</v>
      </c>
      <c r="BI18" s="77">
        <f t="shared" si="35"/>
        <v>502.56855700000006</v>
      </c>
      <c r="BJ18" s="79"/>
      <c r="BK18" s="78"/>
      <c r="BL18" s="78">
        <f t="shared" si="36"/>
        <v>208.47871999999998</v>
      </c>
      <c r="BM18" s="78">
        <f t="shared" si="37"/>
        <v>208.47871999999998</v>
      </c>
      <c r="BN18" s="79">
        <f t="shared" si="38"/>
        <v>97.0544156</v>
      </c>
      <c r="BO18" s="77">
        <f t="shared" si="39"/>
        <v>5.801836000000001</v>
      </c>
      <c r="BP18" s="79"/>
      <c r="BQ18" s="78"/>
      <c r="BR18" s="78">
        <f t="shared" si="40"/>
        <v>140.04352</v>
      </c>
      <c r="BS18" s="78">
        <f t="shared" si="41"/>
        <v>140.04352</v>
      </c>
      <c r="BT18" s="79">
        <f t="shared" si="42"/>
        <v>65.1953446</v>
      </c>
      <c r="BU18" s="77">
        <f t="shared" si="43"/>
        <v>3.8973259999999996</v>
      </c>
      <c r="BV18" s="79"/>
      <c r="BW18" s="78"/>
      <c r="BX18" s="78">
        <f t="shared" si="44"/>
        <v>-20.862080000000002</v>
      </c>
      <c r="BY18" s="78">
        <f t="shared" si="45"/>
        <v>-20.862080000000002</v>
      </c>
      <c r="BZ18" s="79">
        <f t="shared" si="46"/>
        <v>-9.7120559</v>
      </c>
      <c r="CA18" s="77">
        <f t="shared" si="47"/>
        <v>-0.580579</v>
      </c>
      <c r="CB18" s="78"/>
      <c r="CC18" s="78"/>
      <c r="CD18" s="78">
        <f t="shared" si="48"/>
        <v>-13.592319999999999</v>
      </c>
      <c r="CE18" s="78">
        <f t="shared" si="49"/>
        <v>-13.592319999999999</v>
      </c>
      <c r="CF18" s="79">
        <f t="shared" si="50"/>
        <v>-6.3277186</v>
      </c>
      <c r="CG18" s="77">
        <f t="shared" si="51"/>
        <v>-0.378266</v>
      </c>
      <c r="CH18" s="79"/>
      <c r="CI18" s="78"/>
      <c r="CJ18" s="78">
        <f t="shared" si="52"/>
        <v>505.47328</v>
      </c>
      <c r="CK18" s="78">
        <f t="shared" si="53"/>
        <v>505.47328</v>
      </c>
      <c r="CL18" s="79">
        <f t="shared" si="54"/>
        <v>235.3161694</v>
      </c>
      <c r="CM18" s="77">
        <f t="shared" si="55"/>
        <v>14.067014</v>
      </c>
      <c r="CN18" s="79"/>
      <c r="CO18" s="78"/>
      <c r="CP18" s="78">
        <f t="shared" si="56"/>
        <v>3108.4736</v>
      </c>
      <c r="CQ18" s="78">
        <f t="shared" si="57"/>
        <v>3108.4736</v>
      </c>
      <c r="CR18" s="79">
        <f t="shared" si="58"/>
        <v>1447.1073529999999</v>
      </c>
      <c r="CS18" s="77">
        <f t="shared" si="59"/>
        <v>86.50693</v>
      </c>
      <c r="CT18" s="79"/>
      <c r="CU18" s="78"/>
      <c r="CV18" s="78">
        <f t="shared" si="60"/>
        <v>20882.23168</v>
      </c>
      <c r="CW18" s="78">
        <f t="shared" si="61"/>
        <v>20882.23168</v>
      </c>
      <c r="CX18" s="79">
        <f t="shared" si="62"/>
        <v>9721.4372389</v>
      </c>
      <c r="CY18" s="77">
        <f t="shared" si="63"/>
        <v>581.139809</v>
      </c>
      <c r="CZ18" s="79"/>
      <c r="DA18" s="78"/>
      <c r="DB18" s="78">
        <f t="shared" si="64"/>
        <v>3012.85376</v>
      </c>
      <c r="DC18" s="78">
        <f t="shared" si="65"/>
        <v>3012.85376</v>
      </c>
      <c r="DD18" s="79">
        <f t="shared" si="66"/>
        <v>1402.5928448</v>
      </c>
      <c r="DE18" s="77">
        <f t="shared" si="67"/>
        <v>83.845888</v>
      </c>
      <c r="DF18" s="79"/>
      <c r="DG18" s="78"/>
      <c r="DH18" s="78">
        <f t="shared" si="68"/>
        <v>6156.13696</v>
      </c>
      <c r="DI18" s="78">
        <f t="shared" si="69"/>
        <v>6156.13696</v>
      </c>
      <c r="DJ18" s="79">
        <f t="shared" si="70"/>
        <v>2865.9053308000002</v>
      </c>
      <c r="DK18" s="77">
        <f t="shared" si="71"/>
        <v>171.321548</v>
      </c>
      <c r="DL18" s="79"/>
      <c r="DM18" s="78"/>
      <c r="DN18" s="78">
        <f t="shared" si="72"/>
        <v>998.3961599999999</v>
      </c>
      <c r="DO18" s="78">
        <f t="shared" si="73"/>
        <v>998.3961599999999</v>
      </c>
      <c r="DP18" s="79">
        <f t="shared" si="74"/>
        <v>464.78967179999995</v>
      </c>
      <c r="DQ18" s="77">
        <f t="shared" si="75"/>
        <v>27.784758</v>
      </c>
      <c r="DR18" s="79"/>
      <c r="DS18" s="78"/>
      <c r="DT18" s="78">
        <f t="shared" si="76"/>
        <v>5121.55776</v>
      </c>
      <c r="DU18" s="78">
        <f t="shared" si="77"/>
        <v>5121.55776</v>
      </c>
      <c r="DV18" s="79">
        <f t="shared" si="78"/>
        <v>2384.2711398</v>
      </c>
      <c r="DW18" s="77">
        <f t="shared" si="79"/>
        <v>142.529838</v>
      </c>
      <c r="DX18" s="79"/>
      <c r="DY18" s="78"/>
      <c r="DZ18" s="78">
        <f t="shared" si="80"/>
        <v>45.77344</v>
      </c>
      <c r="EA18" s="78">
        <f t="shared" si="81"/>
        <v>45.77344</v>
      </c>
      <c r="EB18" s="79">
        <f t="shared" si="82"/>
        <v>21.3091987</v>
      </c>
      <c r="EC18" s="77">
        <f t="shared" si="83"/>
        <v>1.273847</v>
      </c>
      <c r="ED18" s="79"/>
      <c r="EE18" s="78"/>
      <c r="EF18" s="78">
        <f t="shared" si="84"/>
        <v>60.24192</v>
      </c>
      <c r="EG18" s="78">
        <f t="shared" si="85"/>
        <v>60.24192</v>
      </c>
      <c r="EH18" s="79">
        <f t="shared" si="86"/>
        <v>28.0448016</v>
      </c>
      <c r="EI18" s="77">
        <f t="shared" si="87"/>
        <v>1.676496</v>
      </c>
      <c r="EJ18" s="79"/>
      <c r="EK18" s="78"/>
      <c r="EL18" s="78">
        <f t="shared" si="88"/>
        <v>3035.46816</v>
      </c>
      <c r="EM18" s="78">
        <f t="shared" si="89"/>
        <v>3035.46816</v>
      </c>
      <c r="EN18" s="79">
        <f t="shared" si="90"/>
        <v>1413.1206693000001</v>
      </c>
      <c r="EO18" s="77">
        <f t="shared" si="91"/>
        <v>84.475233</v>
      </c>
      <c r="EP18" s="79"/>
      <c r="EQ18" s="78"/>
      <c r="ER18" s="78">
        <f t="shared" si="92"/>
        <v>57.7792</v>
      </c>
      <c r="ES18" s="78">
        <f t="shared" si="93"/>
        <v>57.7792</v>
      </c>
      <c r="ET18" s="79">
        <f t="shared" si="94"/>
        <v>26.898315999999998</v>
      </c>
      <c r="EU18" s="77">
        <f t="shared" si="95"/>
        <v>1.60796</v>
      </c>
      <c r="EV18" s="79"/>
      <c r="EW18" s="78"/>
      <c r="EX18" s="78">
        <f t="shared" si="96"/>
        <v>863.3491200000001</v>
      </c>
      <c r="EY18" s="78">
        <f t="shared" si="97"/>
        <v>863.3491200000001</v>
      </c>
      <c r="EZ18" s="79">
        <f t="shared" si="98"/>
        <v>401.9203701</v>
      </c>
      <c r="FA18" s="77">
        <f t="shared" si="99"/>
        <v>24.026481</v>
      </c>
      <c r="FB18" s="79"/>
      <c r="FC18" s="78"/>
      <c r="FD18" s="78">
        <f t="shared" si="100"/>
        <v>599.7433599999999</v>
      </c>
      <c r="FE18" s="78">
        <f t="shared" si="101"/>
        <v>599.7433599999999</v>
      </c>
      <c r="FF18" s="79">
        <f t="shared" si="102"/>
        <v>279.2023153</v>
      </c>
      <c r="FG18" s="77">
        <f t="shared" si="103"/>
        <v>16.690493</v>
      </c>
      <c r="FH18" s="79"/>
      <c r="FI18" s="78"/>
      <c r="FJ18" s="78">
        <f t="shared" si="104"/>
        <v>234.12416000000002</v>
      </c>
      <c r="FK18" s="78">
        <f t="shared" si="105"/>
        <v>234.12416000000002</v>
      </c>
      <c r="FL18" s="79">
        <f t="shared" si="106"/>
        <v>108.99329929999999</v>
      </c>
      <c r="FM18" s="77">
        <f t="shared" si="107"/>
        <v>6.515533</v>
      </c>
      <c r="FN18" s="79"/>
      <c r="FO18" s="78"/>
      <c r="FP18" s="78">
        <f t="shared" si="108"/>
        <v>2631.10848</v>
      </c>
      <c r="FQ18" s="78">
        <f t="shared" si="109"/>
        <v>2631.10848</v>
      </c>
      <c r="FR18" s="79">
        <f t="shared" si="110"/>
        <v>1224.8765529</v>
      </c>
      <c r="FS18" s="77">
        <f t="shared" si="111"/>
        <v>73.222149</v>
      </c>
      <c r="FT18" s="79"/>
      <c r="FU18" s="78"/>
      <c r="FV18" s="78">
        <f t="shared" si="112"/>
        <v>5929.99296</v>
      </c>
      <c r="FW18" s="78">
        <f t="shared" si="113"/>
        <v>5929.99296</v>
      </c>
      <c r="FX18" s="79">
        <f t="shared" si="114"/>
        <v>2760.6270858000003</v>
      </c>
      <c r="FY18" s="77">
        <f t="shared" si="115"/>
        <v>165.028098</v>
      </c>
      <c r="FZ18" s="79"/>
      <c r="GA18" s="78"/>
      <c r="GB18" s="78">
        <f t="shared" si="116"/>
        <v>756.7417600000001</v>
      </c>
      <c r="GC18" s="78">
        <f t="shared" si="117"/>
        <v>756.7417600000001</v>
      </c>
      <c r="GD18" s="79">
        <f t="shared" si="118"/>
        <v>352.2907723</v>
      </c>
      <c r="GE18" s="77">
        <f t="shared" si="119"/>
        <v>21.059663</v>
      </c>
      <c r="GF18" s="79"/>
      <c r="GG18" s="78"/>
      <c r="GH18" s="78">
        <f t="shared" si="120"/>
        <v>1201.7126400000002</v>
      </c>
      <c r="GI18" s="78">
        <f t="shared" si="121"/>
        <v>1201.7126400000002</v>
      </c>
      <c r="GJ18" s="79">
        <f t="shared" si="122"/>
        <v>559.4408772</v>
      </c>
      <c r="GK18" s="77">
        <f t="shared" si="123"/>
        <v>33.442932</v>
      </c>
      <c r="GL18" s="79"/>
      <c r="GM18" s="78"/>
      <c r="GN18" s="78">
        <f t="shared" si="124"/>
        <v>5569.27552</v>
      </c>
      <c r="GO18" s="78">
        <f t="shared" si="125"/>
        <v>5569.27552</v>
      </c>
      <c r="GP18" s="79">
        <f t="shared" si="126"/>
        <v>2592.7000171</v>
      </c>
      <c r="GQ18" s="77">
        <f t="shared" si="127"/>
        <v>154.989551</v>
      </c>
      <c r="GR18" s="79"/>
      <c r="GS18" s="78"/>
      <c r="GT18" s="78">
        <f t="shared" si="128"/>
        <v>295.57376</v>
      </c>
      <c r="GU18" s="78">
        <f t="shared" si="129"/>
        <v>295.57376</v>
      </c>
      <c r="GV18" s="79">
        <f t="shared" si="130"/>
        <v>137.60031980000002</v>
      </c>
      <c r="GW18" s="77">
        <f t="shared" si="131"/>
        <v>8.225638</v>
      </c>
      <c r="GX18" s="79"/>
      <c r="GY18" s="78"/>
      <c r="GZ18" s="78">
        <f t="shared" si="132"/>
        <v>1694.6355200000003</v>
      </c>
      <c r="HA18" s="78">
        <f t="shared" si="133"/>
        <v>1694.6355200000003</v>
      </c>
      <c r="HB18" s="79">
        <f t="shared" si="134"/>
        <v>788.9143796000001</v>
      </c>
      <c r="HC18" s="77">
        <f t="shared" si="135"/>
        <v>47.160676</v>
      </c>
      <c r="HD18" s="79"/>
      <c r="HE18" s="79"/>
      <c r="HF18" s="79"/>
      <c r="HG18" s="79"/>
      <c r="HH18" s="79"/>
      <c r="HI18" s="79"/>
    </row>
    <row r="19" spans="1:217" s="52" customFormat="1" ht="12">
      <c r="A19" s="51">
        <v>43922</v>
      </c>
      <c r="C19" s="42">
        <v>5805000</v>
      </c>
      <c r="D19" s="42">
        <v>236800</v>
      </c>
      <c r="E19" s="77">
        <f t="shared" si="0"/>
        <v>6041800</v>
      </c>
      <c r="F19" s="77">
        <v>110239</v>
      </c>
      <c r="G19" s="77">
        <v>6590</v>
      </c>
      <c r="H19" s="79"/>
      <c r="I19" s="79">
        <f>O19+U19+AA19+AG19+AM19+AS19+AY19+BE19+BK19+BQ19+BW19+CC19+CI19+CO19+CU19+DA19+DG19+DM19+DS19+DY19+EE19+EK19+EQ19+EW19+FC19+FI19+FO19+FU19+GA19+GG19+GM19+GS19+GY19</f>
        <v>3151104.3494999995</v>
      </c>
      <c r="J19" s="79">
        <f t="shared" si="1"/>
        <v>128541.17312</v>
      </c>
      <c r="K19" s="79">
        <f t="shared" si="2"/>
        <v>3279645.5226199995</v>
      </c>
      <c r="L19" s="79">
        <f t="shared" si="3"/>
        <v>59840.5843901</v>
      </c>
      <c r="M19" s="79">
        <f t="shared" si="3"/>
        <v>3577.2226809999993</v>
      </c>
      <c r="N19" s="79"/>
      <c r="O19" s="78">
        <f t="shared" si="136"/>
        <v>383972.886</v>
      </c>
      <c r="P19" s="78">
        <f t="shared" si="4"/>
        <v>15663.183359999999</v>
      </c>
      <c r="Q19" s="79">
        <f t="shared" si="5"/>
        <v>399636.06936</v>
      </c>
      <c r="R19" s="79">
        <f t="shared" si="6"/>
        <v>7291.7807028</v>
      </c>
      <c r="S19" s="77">
        <f t="shared" si="7"/>
        <v>435.896868</v>
      </c>
      <c r="T19" s="79"/>
      <c r="U19" s="78">
        <f t="shared" si="137"/>
        <v>6557.328</v>
      </c>
      <c r="V19" s="78">
        <f t="shared" si="8"/>
        <v>267.48928</v>
      </c>
      <c r="W19" s="78">
        <f t="shared" si="9"/>
        <v>6824.81728</v>
      </c>
      <c r="X19" s="79">
        <f t="shared" si="10"/>
        <v>124.5259744</v>
      </c>
      <c r="Y19" s="77">
        <f t="shared" si="11"/>
        <v>7.444063999999999</v>
      </c>
      <c r="Z19" s="79"/>
      <c r="AA19" s="79">
        <f t="shared" si="138"/>
        <v>29602.016999999996</v>
      </c>
      <c r="AB19" s="78">
        <f t="shared" si="12"/>
        <v>1207.5379199999998</v>
      </c>
      <c r="AC19" s="78">
        <f t="shared" si="13"/>
        <v>30809.554919999995</v>
      </c>
      <c r="AD19" s="79">
        <f t="shared" si="14"/>
        <v>562.1527566</v>
      </c>
      <c r="AE19" s="77">
        <f t="shared" si="15"/>
        <v>33.605045999999994</v>
      </c>
      <c r="AF19" s="79"/>
      <c r="AG19" s="78">
        <f t="shared" si="139"/>
        <v>514785.6585</v>
      </c>
      <c r="AH19" s="78">
        <f t="shared" si="16"/>
        <v>20999.35296</v>
      </c>
      <c r="AI19" s="78">
        <f t="shared" si="17"/>
        <v>535785.0114600001</v>
      </c>
      <c r="AJ19" s="79">
        <f t="shared" si="18"/>
        <v>9775.9614483</v>
      </c>
      <c r="AK19" s="77">
        <f t="shared" si="19"/>
        <v>584.399223</v>
      </c>
      <c r="AL19" s="79"/>
      <c r="AM19" s="78">
        <f t="shared" si="140"/>
        <v>6235.731</v>
      </c>
      <c r="AN19" s="78">
        <f t="shared" si="20"/>
        <v>254.37056</v>
      </c>
      <c r="AO19" s="78">
        <f t="shared" si="21"/>
        <v>6490.10156</v>
      </c>
      <c r="AP19" s="79">
        <f t="shared" si="22"/>
        <v>118.4187338</v>
      </c>
      <c r="AQ19" s="77">
        <f t="shared" si="23"/>
        <v>7.078978</v>
      </c>
      <c r="AR19" s="78"/>
      <c r="AS19" s="78">
        <f t="shared" si="141"/>
        <v>5258.749500000001</v>
      </c>
      <c r="AT19" s="78">
        <f t="shared" si="24"/>
        <v>214.51712</v>
      </c>
      <c r="AU19" s="78">
        <f t="shared" si="25"/>
        <v>5473.266620000001</v>
      </c>
      <c r="AV19" s="79">
        <f t="shared" si="26"/>
        <v>99.8655101</v>
      </c>
      <c r="AW19" s="77">
        <f t="shared" si="27"/>
        <v>5.969881</v>
      </c>
      <c r="AX19" s="79"/>
      <c r="AY19" s="78">
        <f t="shared" si="142"/>
        <v>215753.27400000003</v>
      </c>
      <c r="AZ19" s="78">
        <f t="shared" si="28"/>
        <v>8801.09824</v>
      </c>
      <c r="BA19" s="78">
        <f t="shared" si="29"/>
        <v>224554.37224000003</v>
      </c>
      <c r="BB19" s="79">
        <f t="shared" si="30"/>
        <v>4097.2308652</v>
      </c>
      <c r="BC19" s="77">
        <f t="shared" si="31"/>
        <v>244.929212</v>
      </c>
      <c r="BD19" s="79"/>
      <c r="BE19" s="78">
        <f t="shared" si="143"/>
        <v>442702.6515</v>
      </c>
      <c r="BF19" s="78">
        <f t="shared" si="32"/>
        <v>18058.91264</v>
      </c>
      <c r="BG19" s="78">
        <f t="shared" si="33"/>
        <v>460761.56414</v>
      </c>
      <c r="BH19" s="79">
        <f t="shared" si="34"/>
        <v>8407.0796897</v>
      </c>
      <c r="BI19" s="77">
        <f t="shared" si="35"/>
        <v>502.56855700000006</v>
      </c>
      <c r="BJ19" s="79"/>
      <c r="BK19" s="78">
        <f t="shared" si="144"/>
        <v>5110.722</v>
      </c>
      <c r="BL19" s="78">
        <f t="shared" si="36"/>
        <v>208.47871999999998</v>
      </c>
      <c r="BM19" s="78">
        <f t="shared" si="37"/>
        <v>5319.20072</v>
      </c>
      <c r="BN19" s="79">
        <f t="shared" si="38"/>
        <v>97.0544156</v>
      </c>
      <c r="BO19" s="77">
        <f t="shared" si="39"/>
        <v>5.801836000000001</v>
      </c>
      <c r="BP19" s="79"/>
      <c r="BQ19" s="78">
        <f t="shared" si="145"/>
        <v>3433.077</v>
      </c>
      <c r="BR19" s="78">
        <f t="shared" si="40"/>
        <v>140.04352</v>
      </c>
      <c r="BS19" s="78">
        <f t="shared" si="41"/>
        <v>3573.1205200000004</v>
      </c>
      <c r="BT19" s="79">
        <f t="shared" si="42"/>
        <v>65.1953446</v>
      </c>
      <c r="BU19" s="77">
        <f t="shared" si="43"/>
        <v>3.8973259999999996</v>
      </c>
      <c r="BV19" s="79"/>
      <c r="BW19" s="78">
        <f t="shared" si="146"/>
        <v>-511.4205</v>
      </c>
      <c r="BX19" s="78">
        <f t="shared" si="44"/>
        <v>-20.862080000000002</v>
      </c>
      <c r="BY19" s="78">
        <f t="shared" si="45"/>
        <v>-532.28258</v>
      </c>
      <c r="BZ19" s="79">
        <f t="shared" si="46"/>
        <v>-9.7120559</v>
      </c>
      <c r="CA19" s="77">
        <f t="shared" si="47"/>
        <v>-0.580579</v>
      </c>
      <c r="CB19" s="78"/>
      <c r="CC19" s="78">
        <f t="shared" si="147"/>
        <v>-333.20700000000005</v>
      </c>
      <c r="CD19" s="78">
        <f t="shared" si="48"/>
        <v>-13.592319999999999</v>
      </c>
      <c r="CE19" s="78">
        <f t="shared" si="49"/>
        <v>-346.79932</v>
      </c>
      <c r="CF19" s="79">
        <f t="shared" si="50"/>
        <v>-6.3277186</v>
      </c>
      <c r="CG19" s="77">
        <f t="shared" si="51"/>
        <v>-0.378266</v>
      </c>
      <c r="CH19" s="79"/>
      <c r="CI19" s="78">
        <f t="shared" si="148"/>
        <v>12391.353000000001</v>
      </c>
      <c r="CJ19" s="78">
        <f t="shared" si="52"/>
        <v>505.47328</v>
      </c>
      <c r="CK19" s="78">
        <f t="shared" si="53"/>
        <v>12896.826280000001</v>
      </c>
      <c r="CL19" s="79">
        <f t="shared" si="54"/>
        <v>235.3161694</v>
      </c>
      <c r="CM19" s="77">
        <f t="shared" si="55"/>
        <v>14.067014</v>
      </c>
      <c r="CN19" s="79"/>
      <c r="CO19" s="78">
        <f t="shared" si="149"/>
        <v>76202.235</v>
      </c>
      <c r="CP19" s="78">
        <f t="shared" si="56"/>
        <v>3108.4736</v>
      </c>
      <c r="CQ19" s="78">
        <f t="shared" si="57"/>
        <v>79310.7086</v>
      </c>
      <c r="CR19" s="79">
        <f t="shared" si="58"/>
        <v>1447.1073529999999</v>
      </c>
      <c r="CS19" s="77">
        <f t="shared" si="59"/>
        <v>86.50693</v>
      </c>
      <c r="CT19" s="79"/>
      <c r="CU19" s="78">
        <f t="shared" si="150"/>
        <v>511914.50549999997</v>
      </c>
      <c r="CV19" s="78">
        <f t="shared" si="60"/>
        <v>20882.23168</v>
      </c>
      <c r="CW19" s="78">
        <f t="shared" si="61"/>
        <v>532796.7371799999</v>
      </c>
      <c r="CX19" s="79">
        <f t="shared" si="62"/>
        <v>9721.4372389</v>
      </c>
      <c r="CY19" s="77">
        <f t="shared" si="63"/>
        <v>581.139809</v>
      </c>
      <c r="CZ19" s="79"/>
      <c r="DA19" s="78">
        <f t="shared" si="151"/>
        <v>73858.17599999999</v>
      </c>
      <c r="DB19" s="78">
        <f t="shared" si="64"/>
        <v>3012.85376</v>
      </c>
      <c r="DC19" s="78">
        <f t="shared" si="65"/>
        <v>76871.02975999999</v>
      </c>
      <c r="DD19" s="79">
        <f t="shared" si="66"/>
        <v>1402.5928448</v>
      </c>
      <c r="DE19" s="77">
        <f t="shared" si="67"/>
        <v>83.845888</v>
      </c>
      <c r="DF19" s="79"/>
      <c r="DG19" s="78">
        <f t="shared" si="152"/>
        <v>150913.74599999998</v>
      </c>
      <c r="DH19" s="78">
        <f t="shared" si="68"/>
        <v>6156.13696</v>
      </c>
      <c r="DI19" s="78">
        <f t="shared" si="69"/>
        <v>157069.88296</v>
      </c>
      <c r="DJ19" s="79">
        <f t="shared" si="70"/>
        <v>2865.9053308000002</v>
      </c>
      <c r="DK19" s="77">
        <f t="shared" si="71"/>
        <v>171.321548</v>
      </c>
      <c r="DL19" s="79"/>
      <c r="DM19" s="78">
        <f t="shared" si="153"/>
        <v>24475.041</v>
      </c>
      <c r="DN19" s="78">
        <f t="shared" si="72"/>
        <v>998.3961599999999</v>
      </c>
      <c r="DO19" s="78">
        <f t="shared" si="73"/>
        <v>25473.43716</v>
      </c>
      <c r="DP19" s="79">
        <f t="shared" si="74"/>
        <v>464.78967179999995</v>
      </c>
      <c r="DQ19" s="77">
        <f t="shared" si="75"/>
        <v>27.784758</v>
      </c>
      <c r="DR19" s="79"/>
      <c r="DS19" s="78">
        <f t="shared" si="154"/>
        <v>125551.701</v>
      </c>
      <c r="DT19" s="78">
        <f t="shared" si="76"/>
        <v>5121.55776</v>
      </c>
      <c r="DU19" s="78">
        <f t="shared" si="77"/>
        <v>130673.25876</v>
      </c>
      <c r="DV19" s="79">
        <f t="shared" si="78"/>
        <v>2384.2711398</v>
      </c>
      <c r="DW19" s="77">
        <f t="shared" si="79"/>
        <v>142.529838</v>
      </c>
      <c r="DX19" s="79"/>
      <c r="DY19" s="78">
        <f t="shared" si="155"/>
        <v>1122.1064999999999</v>
      </c>
      <c r="DZ19" s="78">
        <f t="shared" si="80"/>
        <v>45.77344</v>
      </c>
      <c r="EA19" s="78">
        <f t="shared" si="81"/>
        <v>1167.8799399999998</v>
      </c>
      <c r="EB19" s="79">
        <f t="shared" si="82"/>
        <v>21.3091987</v>
      </c>
      <c r="EC19" s="77">
        <f t="shared" si="83"/>
        <v>1.273847</v>
      </c>
      <c r="ED19" s="79"/>
      <c r="EE19" s="78">
        <f t="shared" si="156"/>
        <v>1476.7920000000001</v>
      </c>
      <c r="EF19" s="78">
        <f t="shared" si="84"/>
        <v>60.24192</v>
      </c>
      <c r="EG19" s="78">
        <f t="shared" si="85"/>
        <v>1537.03392</v>
      </c>
      <c r="EH19" s="79">
        <f t="shared" si="86"/>
        <v>28.0448016</v>
      </c>
      <c r="EI19" s="77">
        <f t="shared" si="87"/>
        <v>1.676496</v>
      </c>
      <c r="EJ19" s="79"/>
      <c r="EK19" s="78">
        <f t="shared" si="157"/>
        <v>74412.55350000001</v>
      </c>
      <c r="EL19" s="78">
        <f t="shared" si="88"/>
        <v>3035.46816</v>
      </c>
      <c r="EM19" s="78">
        <f t="shared" si="89"/>
        <v>77448.02166000001</v>
      </c>
      <c r="EN19" s="79">
        <f t="shared" si="90"/>
        <v>1413.1206693000001</v>
      </c>
      <c r="EO19" s="77">
        <f t="shared" si="91"/>
        <v>84.475233</v>
      </c>
      <c r="EP19" s="79"/>
      <c r="EQ19" s="78">
        <f t="shared" si="158"/>
        <v>1416.42</v>
      </c>
      <c r="ER19" s="78">
        <f t="shared" si="92"/>
        <v>57.7792</v>
      </c>
      <c r="ES19" s="78">
        <f t="shared" si="93"/>
        <v>1474.1992</v>
      </c>
      <c r="ET19" s="79">
        <f t="shared" si="94"/>
        <v>26.898315999999998</v>
      </c>
      <c r="EU19" s="77">
        <f t="shared" si="95"/>
        <v>1.60796</v>
      </c>
      <c r="EV19" s="79"/>
      <c r="EW19" s="78">
        <f t="shared" si="159"/>
        <v>21164.449500000002</v>
      </c>
      <c r="EX19" s="78">
        <f t="shared" si="96"/>
        <v>863.3491200000001</v>
      </c>
      <c r="EY19" s="78">
        <f t="shared" si="97"/>
        <v>22027.79862</v>
      </c>
      <c r="EZ19" s="79">
        <f t="shared" si="98"/>
        <v>401.9203701</v>
      </c>
      <c r="FA19" s="77">
        <f t="shared" si="99"/>
        <v>24.026481</v>
      </c>
      <c r="FB19" s="79"/>
      <c r="FC19" s="78">
        <f t="shared" si="160"/>
        <v>14702.323499999999</v>
      </c>
      <c r="FD19" s="78">
        <f t="shared" si="100"/>
        <v>599.7433599999999</v>
      </c>
      <c r="FE19" s="78">
        <f t="shared" si="101"/>
        <v>15302.066859999999</v>
      </c>
      <c r="FF19" s="79">
        <f t="shared" si="102"/>
        <v>279.2023153</v>
      </c>
      <c r="FG19" s="77">
        <f t="shared" si="103"/>
        <v>16.690493</v>
      </c>
      <c r="FH19" s="79"/>
      <c r="FI19" s="78">
        <f t="shared" si="161"/>
        <v>5739.403499999999</v>
      </c>
      <c r="FJ19" s="78">
        <f t="shared" si="104"/>
        <v>234.12416000000002</v>
      </c>
      <c r="FK19" s="78">
        <f t="shared" si="105"/>
        <v>5973.52766</v>
      </c>
      <c r="FL19" s="79">
        <f t="shared" si="106"/>
        <v>108.99329929999999</v>
      </c>
      <c r="FM19" s="77">
        <f t="shared" si="107"/>
        <v>6.515533</v>
      </c>
      <c r="FN19" s="79"/>
      <c r="FO19" s="78">
        <f t="shared" si="162"/>
        <v>64499.9355</v>
      </c>
      <c r="FP19" s="78">
        <f t="shared" si="108"/>
        <v>2631.10848</v>
      </c>
      <c r="FQ19" s="78">
        <f t="shared" si="109"/>
        <v>67131.04398</v>
      </c>
      <c r="FR19" s="79">
        <f t="shared" si="110"/>
        <v>1224.8765529</v>
      </c>
      <c r="FS19" s="77">
        <f t="shared" si="111"/>
        <v>73.222149</v>
      </c>
      <c r="FT19" s="79"/>
      <c r="FU19" s="78">
        <f t="shared" si="163"/>
        <v>145369.97100000002</v>
      </c>
      <c r="FV19" s="78">
        <f t="shared" si="112"/>
        <v>5929.99296</v>
      </c>
      <c r="FW19" s="78">
        <f t="shared" si="113"/>
        <v>151299.96396000002</v>
      </c>
      <c r="FX19" s="79">
        <f t="shared" si="114"/>
        <v>2760.6270858000003</v>
      </c>
      <c r="FY19" s="77">
        <f t="shared" si="115"/>
        <v>165.028098</v>
      </c>
      <c r="FZ19" s="79"/>
      <c r="GA19" s="78">
        <f t="shared" si="164"/>
        <v>18551.038500000002</v>
      </c>
      <c r="GB19" s="78">
        <f t="shared" si="116"/>
        <v>756.7417600000001</v>
      </c>
      <c r="GC19" s="78">
        <f t="shared" si="117"/>
        <v>19307.780260000003</v>
      </c>
      <c r="GD19" s="79">
        <f t="shared" si="118"/>
        <v>352.2907723</v>
      </c>
      <c r="GE19" s="77">
        <f t="shared" si="119"/>
        <v>21.059663</v>
      </c>
      <c r="GF19" s="79"/>
      <c r="GG19" s="78">
        <f t="shared" si="165"/>
        <v>29459.214000000004</v>
      </c>
      <c r="GH19" s="78">
        <f t="shared" si="120"/>
        <v>1201.7126400000002</v>
      </c>
      <c r="GI19" s="78">
        <f t="shared" si="121"/>
        <v>30660.926640000005</v>
      </c>
      <c r="GJ19" s="79">
        <f t="shared" si="122"/>
        <v>559.4408772</v>
      </c>
      <c r="GK19" s="77">
        <f t="shared" si="123"/>
        <v>33.442932</v>
      </c>
      <c r="GL19" s="79"/>
      <c r="GM19" s="78">
        <f t="shared" si="166"/>
        <v>136527.2145</v>
      </c>
      <c r="GN19" s="78">
        <f t="shared" si="124"/>
        <v>5569.27552</v>
      </c>
      <c r="GO19" s="78">
        <f t="shared" si="125"/>
        <v>142096.49002</v>
      </c>
      <c r="GP19" s="79">
        <f t="shared" si="126"/>
        <v>2592.7000171</v>
      </c>
      <c r="GQ19" s="77">
        <f t="shared" si="127"/>
        <v>154.989551</v>
      </c>
      <c r="GR19" s="79"/>
      <c r="GS19" s="78">
        <f t="shared" si="167"/>
        <v>7245.8009999999995</v>
      </c>
      <c r="GT19" s="78">
        <f t="shared" si="128"/>
        <v>295.57376</v>
      </c>
      <c r="GU19" s="78">
        <f t="shared" si="129"/>
        <v>7541.37476</v>
      </c>
      <c r="GV19" s="79">
        <f t="shared" si="130"/>
        <v>137.60031980000002</v>
      </c>
      <c r="GW19" s="77">
        <f t="shared" si="131"/>
        <v>8.225638</v>
      </c>
      <c r="GX19" s="79"/>
      <c r="GY19" s="78">
        <f t="shared" si="168"/>
        <v>41542.902</v>
      </c>
      <c r="GZ19" s="78">
        <f t="shared" si="132"/>
        <v>1694.6355200000003</v>
      </c>
      <c r="HA19" s="78">
        <f t="shared" si="133"/>
        <v>43237.537520000005</v>
      </c>
      <c r="HB19" s="79">
        <f t="shared" si="134"/>
        <v>788.9143796000001</v>
      </c>
      <c r="HC19" s="77">
        <f t="shared" si="135"/>
        <v>47.160676</v>
      </c>
      <c r="HD19" s="79"/>
      <c r="HE19" s="79"/>
      <c r="HF19" s="79"/>
      <c r="HG19" s="79"/>
      <c r="HH19" s="79"/>
      <c r="HI19" s="79"/>
    </row>
    <row r="20" spans="1:217" s="52" customFormat="1" ht="12">
      <c r="A20" s="51">
        <v>44105</v>
      </c>
      <c r="C20" s="42"/>
      <c r="D20" s="42">
        <v>120700</v>
      </c>
      <c r="E20" s="77">
        <f t="shared" si="0"/>
        <v>120700</v>
      </c>
      <c r="F20" s="77">
        <v>110239</v>
      </c>
      <c r="G20" s="77">
        <v>6590</v>
      </c>
      <c r="H20" s="79"/>
      <c r="I20" s="79"/>
      <c r="J20" s="79">
        <f t="shared" si="1"/>
        <v>65519.086129999996</v>
      </c>
      <c r="K20" s="79">
        <f t="shared" si="2"/>
        <v>65519.086129999996</v>
      </c>
      <c r="L20" s="79">
        <f t="shared" si="3"/>
        <v>59840.5843901</v>
      </c>
      <c r="M20" s="79">
        <f t="shared" si="3"/>
        <v>3577.2226809999993</v>
      </c>
      <c r="N20" s="79"/>
      <c r="O20" s="78"/>
      <c r="P20" s="78">
        <f t="shared" si="4"/>
        <v>7983.725640000001</v>
      </c>
      <c r="Q20" s="79">
        <f t="shared" si="5"/>
        <v>7983.725640000001</v>
      </c>
      <c r="R20" s="79">
        <f t="shared" si="6"/>
        <v>7291.7807028</v>
      </c>
      <c r="S20" s="77">
        <f t="shared" si="7"/>
        <v>435.896868</v>
      </c>
      <c r="T20" s="79"/>
      <c r="U20" s="78"/>
      <c r="V20" s="78">
        <f t="shared" si="8"/>
        <v>136.34272</v>
      </c>
      <c r="W20" s="78">
        <f t="shared" si="9"/>
        <v>136.34272</v>
      </c>
      <c r="X20" s="79">
        <f t="shared" si="10"/>
        <v>124.5259744</v>
      </c>
      <c r="Y20" s="77">
        <f t="shared" si="11"/>
        <v>7.444063999999999</v>
      </c>
      <c r="Z20" s="79"/>
      <c r="AA20" s="79"/>
      <c r="AB20" s="78">
        <f t="shared" si="12"/>
        <v>615.49758</v>
      </c>
      <c r="AC20" s="78">
        <f t="shared" si="13"/>
        <v>615.49758</v>
      </c>
      <c r="AD20" s="79">
        <f t="shared" si="14"/>
        <v>562.1527566</v>
      </c>
      <c r="AE20" s="77">
        <f t="shared" si="15"/>
        <v>33.605045999999994</v>
      </c>
      <c r="AF20" s="79"/>
      <c r="AG20" s="78"/>
      <c r="AH20" s="78">
        <f t="shared" si="16"/>
        <v>10703.639790000001</v>
      </c>
      <c r="AI20" s="78">
        <f t="shared" si="17"/>
        <v>10703.639790000001</v>
      </c>
      <c r="AJ20" s="79">
        <f t="shared" si="18"/>
        <v>9775.9614483</v>
      </c>
      <c r="AK20" s="77">
        <f t="shared" si="19"/>
        <v>584.399223</v>
      </c>
      <c r="AL20" s="79"/>
      <c r="AM20" s="78"/>
      <c r="AN20" s="78">
        <f t="shared" si="20"/>
        <v>129.65594000000002</v>
      </c>
      <c r="AO20" s="78">
        <f t="shared" si="21"/>
        <v>129.65594000000002</v>
      </c>
      <c r="AP20" s="79">
        <f t="shared" si="22"/>
        <v>118.4187338</v>
      </c>
      <c r="AQ20" s="77">
        <f t="shared" si="23"/>
        <v>7.078978</v>
      </c>
      <c r="AR20" s="78"/>
      <c r="AS20" s="78"/>
      <c r="AT20" s="78">
        <f t="shared" si="24"/>
        <v>109.34213</v>
      </c>
      <c r="AU20" s="78">
        <f t="shared" si="25"/>
        <v>109.34213</v>
      </c>
      <c r="AV20" s="79">
        <f t="shared" si="26"/>
        <v>99.8655101</v>
      </c>
      <c r="AW20" s="77">
        <f t="shared" si="27"/>
        <v>5.969881</v>
      </c>
      <c r="AX20" s="79"/>
      <c r="AY20" s="78"/>
      <c r="AZ20" s="78">
        <f t="shared" si="28"/>
        <v>4486.03276</v>
      </c>
      <c r="BA20" s="78">
        <f t="shared" si="29"/>
        <v>4486.03276</v>
      </c>
      <c r="BB20" s="79">
        <f t="shared" si="30"/>
        <v>4097.2308652</v>
      </c>
      <c r="BC20" s="77">
        <f t="shared" si="31"/>
        <v>244.929212</v>
      </c>
      <c r="BD20" s="79"/>
      <c r="BE20" s="78"/>
      <c r="BF20" s="78">
        <f t="shared" si="32"/>
        <v>9204.85961</v>
      </c>
      <c r="BG20" s="78">
        <f t="shared" si="33"/>
        <v>9204.85961</v>
      </c>
      <c r="BH20" s="79">
        <f t="shared" si="34"/>
        <v>8407.0796897</v>
      </c>
      <c r="BI20" s="77">
        <f t="shared" si="35"/>
        <v>502.56855700000006</v>
      </c>
      <c r="BJ20" s="79"/>
      <c r="BK20" s="78"/>
      <c r="BL20" s="78">
        <f t="shared" si="36"/>
        <v>106.26428</v>
      </c>
      <c r="BM20" s="78">
        <f t="shared" si="37"/>
        <v>106.26428</v>
      </c>
      <c r="BN20" s="79">
        <f t="shared" si="38"/>
        <v>97.0544156</v>
      </c>
      <c r="BO20" s="77">
        <f t="shared" si="39"/>
        <v>5.801836000000001</v>
      </c>
      <c r="BP20" s="79"/>
      <c r="BQ20" s="78"/>
      <c r="BR20" s="78">
        <f t="shared" si="40"/>
        <v>71.38198</v>
      </c>
      <c r="BS20" s="78">
        <f t="shared" si="41"/>
        <v>71.38198</v>
      </c>
      <c r="BT20" s="79">
        <f t="shared" si="42"/>
        <v>65.1953446</v>
      </c>
      <c r="BU20" s="77">
        <f t="shared" si="43"/>
        <v>3.8973259999999996</v>
      </c>
      <c r="BV20" s="79"/>
      <c r="BW20" s="78"/>
      <c r="BX20" s="78">
        <f t="shared" si="44"/>
        <v>-10.63367</v>
      </c>
      <c r="BY20" s="78">
        <f t="shared" si="45"/>
        <v>-10.63367</v>
      </c>
      <c r="BZ20" s="79">
        <f t="shared" si="46"/>
        <v>-9.7120559</v>
      </c>
      <c r="CA20" s="77">
        <f t="shared" si="47"/>
        <v>-0.580579</v>
      </c>
      <c r="CB20" s="78"/>
      <c r="CC20" s="78"/>
      <c r="CD20" s="78">
        <f t="shared" si="48"/>
        <v>-6.92818</v>
      </c>
      <c r="CE20" s="78">
        <f t="shared" si="49"/>
        <v>-6.92818</v>
      </c>
      <c r="CF20" s="79">
        <f t="shared" si="50"/>
        <v>-6.3277186</v>
      </c>
      <c r="CG20" s="77">
        <f t="shared" si="51"/>
        <v>-0.378266</v>
      </c>
      <c r="CH20" s="79"/>
      <c r="CI20" s="78"/>
      <c r="CJ20" s="78">
        <f t="shared" si="52"/>
        <v>257.64622</v>
      </c>
      <c r="CK20" s="78">
        <f t="shared" si="53"/>
        <v>257.64622</v>
      </c>
      <c r="CL20" s="79">
        <f t="shared" si="54"/>
        <v>235.3161694</v>
      </c>
      <c r="CM20" s="77">
        <f t="shared" si="55"/>
        <v>14.067014</v>
      </c>
      <c r="CN20" s="79"/>
      <c r="CO20" s="78"/>
      <c r="CP20" s="78">
        <f t="shared" si="56"/>
        <v>1584.4288999999999</v>
      </c>
      <c r="CQ20" s="78">
        <f t="shared" si="57"/>
        <v>1584.4288999999999</v>
      </c>
      <c r="CR20" s="79">
        <f t="shared" si="58"/>
        <v>1447.1073529999999</v>
      </c>
      <c r="CS20" s="77">
        <f t="shared" si="59"/>
        <v>86.50693</v>
      </c>
      <c r="CT20" s="79"/>
      <c r="CU20" s="78"/>
      <c r="CV20" s="78">
        <f t="shared" si="60"/>
        <v>10643.941569999999</v>
      </c>
      <c r="CW20" s="78">
        <f t="shared" si="61"/>
        <v>10643.941569999999</v>
      </c>
      <c r="CX20" s="79">
        <f t="shared" si="62"/>
        <v>9721.4372389</v>
      </c>
      <c r="CY20" s="77">
        <f t="shared" si="63"/>
        <v>581.139809</v>
      </c>
      <c r="CZ20" s="79"/>
      <c r="DA20" s="78"/>
      <c r="DB20" s="78">
        <f t="shared" si="64"/>
        <v>1535.6902399999997</v>
      </c>
      <c r="DC20" s="78">
        <f t="shared" si="65"/>
        <v>1535.6902399999997</v>
      </c>
      <c r="DD20" s="79">
        <f t="shared" si="66"/>
        <v>1402.5928448</v>
      </c>
      <c r="DE20" s="77">
        <f t="shared" si="67"/>
        <v>83.845888</v>
      </c>
      <c r="DF20" s="79"/>
      <c r="DG20" s="78"/>
      <c r="DH20" s="78">
        <f t="shared" si="68"/>
        <v>3137.8620400000004</v>
      </c>
      <c r="DI20" s="78">
        <f t="shared" si="69"/>
        <v>3137.8620400000004</v>
      </c>
      <c r="DJ20" s="79">
        <f t="shared" si="70"/>
        <v>2865.9053308000002</v>
      </c>
      <c r="DK20" s="77">
        <f t="shared" si="71"/>
        <v>171.321548</v>
      </c>
      <c r="DL20" s="79"/>
      <c r="DM20" s="78"/>
      <c r="DN20" s="78">
        <f t="shared" si="72"/>
        <v>508.89534</v>
      </c>
      <c r="DO20" s="78">
        <f t="shared" si="73"/>
        <v>508.89534</v>
      </c>
      <c r="DP20" s="79">
        <f t="shared" si="74"/>
        <v>464.78967179999995</v>
      </c>
      <c r="DQ20" s="77">
        <f t="shared" si="75"/>
        <v>27.784758</v>
      </c>
      <c r="DR20" s="79"/>
      <c r="DS20" s="78"/>
      <c r="DT20" s="78">
        <f t="shared" si="76"/>
        <v>2610.5237399999996</v>
      </c>
      <c r="DU20" s="78">
        <f t="shared" si="77"/>
        <v>2610.5237399999996</v>
      </c>
      <c r="DV20" s="79">
        <f t="shared" si="78"/>
        <v>2384.2711398</v>
      </c>
      <c r="DW20" s="77">
        <f t="shared" si="79"/>
        <v>142.529838</v>
      </c>
      <c r="DX20" s="79"/>
      <c r="DY20" s="78"/>
      <c r="DZ20" s="78">
        <f t="shared" si="80"/>
        <v>23.33131</v>
      </c>
      <c r="EA20" s="78">
        <f t="shared" si="81"/>
        <v>23.33131</v>
      </c>
      <c r="EB20" s="79">
        <f t="shared" si="82"/>
        <v>21.3091987</v>
      </c>
      <c r="EC20" s="77">
        <f t="shared" si="83"/>
        <v>1.273847</v>
      </c>
      <c r="ED20" s="79"/>
      <c r="EE20" s="78"/>
      <c r="EF20" s="78">
        <f t="shared" si="84"/>
        <v>30.70608</v>
      </c>
      <c r="EG20" s="78">
        <f t="shared" si="85"/>
        <v>30.70608</v>
      </c>
      <c r="EH20" s="79">
        <f t="shared" si="86"/>
        <v>28.0448016</v>
      </c>
      <c r="EI20" s="77">
        <f t="shared" si="87"/>
        <v>1.676496</v>
      </c>
      <c r="EJ20" s="79"/>
      <c r="EK20" s="78"/>
      <c r="EL20" s="78">
        <f t="shared" si="88"/>
        <v>1547.21709</v>
      </c>
      <c r="EM20" s="78">
        <f t="shared" si="89"/>
        <v>1547.21709</v>
      </c>
      <c r="EN20" s="79">
        <f t="shared" si="90"/>
        <v>1413.1206693000001</v>
      </c>
      <c r="EO20" s="77">
        <f t="shared" si="91"/>
        <v>84.475233</v>
      </c>
      <c r="EP20" s="79"/>
      <c r="EQ20" s="78"/>
      <c r="ER20" s="78">
        <f t="shared" si="92"/>
        <v>29.450800000000005</v>
      </c>
      <c r="ES20" s="78">
        <f t="shared" si="93"/>
        <v>29.450800000000005</v>
      </c>
      <c r="ET20" s="79">
        <f t="shared" si="94"/>
        <v>26.898315999999998</v>
      </c>
      <c r="EU20" s="77">
        <f t="shared" si="95"/>
        <v>1.60796</v>
      </c>
      <c r="EV20" s="79"/>
      <c r="EW20" s="78"/>
      <c r="EX20" s="78">
        <f t="shared" si="96"/>
        <v>440.0601300000001</v>
      </c>
      <c r="EY20" s="78">
        <f t="shared" si="97"/>
        <v>440.0601300000001</v>
      </c>
      <c r="EZ20" s="79">
        <f t="shared" si="98"/>
        <v>401.9203701</v>
      </c>
      <c r="FA20" s="77">
        <f t="shared" si="99"/>
        <v>24.026481</v>
      </c>
      <c r="FB20" s="79"/>
      <c r="FC20" s="78"/>
      <c r="FD20" s="78">
        <f t="shared" si="100"/>
        <v>305.69689</v>
      </c>
      <c r="FE20" s="78">
        <f t="shared" si="101"/>
        <v>305.69689</v>
      </c>
      <c r="FF20" s="79">
        <f t="shared" si="102"/>
        <v>279.2023153</v>
      </c>
      <c r="FG20" s="77">
        <f t="shared" si="103"/>
        <v>16.690493</v>
      </c>
      <c r="FH20" s="79"/>
      <c r="FI20" s="78"/>
      <c r="FJ20" s="78">
        <f t="shared" si="104"/>
        <v>119.33609</v>
      </c>
      <c r="FK20" s="78">
        <f t="shared" si="105"/>
        <v>119.33609</v>
      </c>
      <c r="FL20" s="79">
        <f t="shared" si="106"/>
        <v>108.99329929999999</v>
      </c>
      <c r="FM20" s="77">
        <f t="shared" si="107"/>
        <v>6.515533</v>
      </c>
      <c r="FN20" s="79"/>
      <c r="FO20" s="78"/>
      <c r="FP20" s="78">
        <f t="shared" si="108"/>
        <v>1341.10977</v>
      </c>
      <c r="FQ20" s="78">
        <f t="shared" si="109"/>
        <v>1341.10977</v>
      </c>
      <c r="FR20" s="79">
        <f t="shared" si="110"/>
        <v>1224.8765529</v>
      </c>
      <c r="FS20" s="77">
        <f t="shared" si="111"/>
        <v>73.222149</v>
      </c>
      <c r="FT20" s="79"/>
      <c r="FU20" s="78"/>
      <c r="FV20" s="78">
        <f t="shared" si="112"/>
        <v>3022.59354</v>
      </c>
      <c r="FW20" s="78">
        <f t="shared" si="113"/>
        <v>3022.59354</v>
      </c>
      <c r="FX20" s="79">
        <f t="shared" si="114"/>
        <v>2760.6270858000003</v>
      </c>
      <c r="FY20" s="77">
        <f t="shared" si="115"/>
        <v>165.028098</v>
      </c>
      <c r="FZ20" s="79"/>
      <c r="GA20" s="78"/>
      <c r="GB20" s="78">
        <f t="shared" si="116"/>
        <v>385.72099000000003</v>
      </c>
      <c r="GC20" s="78">
        <f t="shared" si="117"/>
        <v>385.72099000000003</v>
      </c>
      <c r="GD20" s="79">
        <f t="shared" si="118"/>
        <v>352.2907723</v>
      </c>
      <c r="GE20" s="77">
        <f t="shared" si="119"/>
        <v>21.059663</v>
      </c>
      <c r="GF20" s="79"/>
      <c r="GG20" s="78"/>
      <c r="GH20" s="78">
        <f t="shared" si="120"/>
        <v>612.52836</v>
      </c>
      <c r="GI20" s="78">
        <f t="shared" si="121"/>
        <v>612.52836</v>
      </c>
      <c r="GJ20" s="79">
        <f t="shared" si="122"/>
        <v>559.4408772</v>
      </c>
      <c r="GK20" s="77">
        <f t="shared" si="123"/>
        <v>33.442932</v>
      </c>
      <c r="GL20" s="79"/>
      <c r="GM20" s="78"/>
      <c r="GN20" s="78">
        <f t="shared" si="124"/>
        <v>2838.7312300000003</v>
      </c>
      <c r="GO20" s="78">
        <f t="shared" si="125"/>
        <v>2838.7312300000003</v>
      </c>
      <c r="GP20" s="79">
        <f t="shared" si="126"/>
        <v>2592.7000171</v>
      </c>
      <c r="GQ20" s="77">
        <f t="shared" si="127"/>
        <v>154.989551</v>
      </c>
      <c r="GR20" s="79"/>
      <c r="GS20" s="78"/>
      <c r="GT20" s="78">
        <f t="shared" si="128"/>
        <v>150.65774</v>
      </c>
      <c r="GU20" s="78">
        <f t="shared" si="129"/>
        <v>150.65774</v>
      </c>
      <c r="GV20" s="79">
        <f t="shared" si="130"/>
        <v>137.60031980000002</v>
      </c>
      <c r="GW20" s="77">
        <f t="shared" si="131"/>
        <v>8.225638</v>
      </c>
      <c r="GX20" s="79"/>
      <c r="GY20" s="78"/>
      <c r="GZ20" s="78">
        <f t="shared" si="132"/>
        <v>863.7774800000001</v>
      </c>
      <c r="HA20" s="78">
        <f t="shared" si="133"/>
        <v>863.7774800000001</v>
      </c>
      <c r="HB20" s="79">
        <f t="shared" si="134"/>
        <v>788.9143796000001</v>
      </c>
      <c r="HC20" s="77">
        <f t="shared" si="135"/>
        <v>47.160676</v>
      </c>
      <c r="HD20" s="79"/>
      <c r="HE20" s="79"/>
      <c r="HF20" s="79"/>
      <c r="HG20" s="79"/>
      <c r="HH20" s="79"/>
      <c r="HI20" s="79"/>
    </row>
    <row r="21" spans="1:217" s="52" customFormat="1" ht="12">
      <c r="A21" s="51">
        <v>44287</v>
      </c>
      <c r="C21" s="42">
        <v>6035000</v>
      </c>
      <c r="D21" s="42">
        <v>120700</v>
      </c>
      <c r="E21" s="77">
        <f t="shared" si="0"/>
        <v>6155700</v>
      </c>
      <c r="F21" s="77">
        <v>110238</v>
      </c>
      <c r="G21" s="77">
        <v>6587</v>
      </c>
      <c r="H21" s="79"/>
      <c r="I21" s="79">
        <f>O21+U21+AA21+AG21+AM21+AS21+AY21+BE21+BK21+BQ21+BW21+CC21+CI21+CO21+CU21+DA21+DG21+DM21+DS21+DY21+EE21+EK21+EQ21+EW21+FC21+FI21+FO21+FU21+GA21+GG21+GM21+GS21+GY21</f>
        <v>3275954.3065000004</v>
      </c>
      <c r="J21" s="79">
        <f t="shared" si="1"/>
        <v>65519.086129999996</v>
      </c>
      <c r="K21" s="79">
        <f t="shared" si="2"/>
        <v>3341473.3926300006</v>
      </c>
      <c r="L21" s="79">
        <f t="shared" si="3"/>
        <v>59840.04156420001</v>
      </c>
      <c r="M21" s="79">
        <f t="shared" si="3"/>
        <v>3575.5942032999997</v>
      </c>
      <c r="N21" s="79"/>
      <c r="O21" s="78">
        <f t="shared" si="136"/>
        <v>399186.28199999995</v>
      </c>
      <c r="P21" s="78">
        <f t="shared" si="4"/>
        <v>7983.725640000001</v>
      </c>
      <c r="Q21" s="79">
        <f t="shared" si="5"/>
        <v>407170.00763999997</v>
      </c>
      <c r="R21" s="79">
        <f t="shared" si="6"/>
        <v>7291.7145576</v>
      </c>
      <c r="S21" s="77">
        <f t="shared" si="7"/>
        <v>435.6984324</v>
      </c>
      <c r="T21" s="79"/>
      <c r="U21" s="78">
        <f t="shared" si="137"/>
        <v>6817.1359999999995</v>
      </c>
      <c r="V21" s="78">
        <f t="shared" si="8"/>
        <v>136.34272</v>
      </c>
      <c r="W21" s="78">
        <f t="shared" si="9"/>
        <v>6953.478719999999</v>
      </c>
      <c r="X21" s="79">
        <f t="shared" si="10"/>
        <v>124.5248448</v>
      </c>
      <c r="Y21" s="77">
        <f t="shared" si="11"/>
        <v>7.440675199999999</v>
      </c>
      <c r="Z21" s="79"/>
      <c r="AA21" s="79">
        <f t="shared" si="138"/>
        <v>30774.879</v>
      </c>
      <c r="AB21" s="78">
        <f t="shared" si="12"/>
        <v>615.49758</v>
      </c>
      <c r="AC21" s="78">
        <f t="shared" si="13"/>
        <v>31390.37658</v>
      </c>
      <c r="AD21" s="79">
        <f t="shared" si="14"/>
        <v>562.1476571999999</v>
      </c>
      <c r="AE21" s="77">
        <f t="shared" si="15"/>
        <v>33.5897478</v>
      </c>
      <c r="AF21" s="79"/>
      <c r="AG21" s="78">
        <f t="shared" si="139"/>
        <v>535181.9894999999</v>
      </c>
      <c r="AH21" s="78">
        <f t="shared" si="16"/>
        <v>10703.639790000001</v>
      </c>
      <c r="AI21" s="78">
        <f t="shared" si="17"/>
        <v>545885.62929</v>
      </c>
      <c r="AJ21" s="79">
        <f t="shared" si="18"/>
        <v>9775.8727686</v>
      </c>
      <c r="AK21" s="77">
        <f t="shared" si="19"/>
        <v>584.1331839</v>
      </c>
      <c r="AL21" s="79"/>
      <c r="AM21" s="78">
        <f t="shared" si="140"/>
        <v>6482.797</v>
      </c>
      <c r="AN21" s="78">
        <f t="shared" si="20"/>
        <v>129.65594000000002</v>
      </c>
      <c r="AO21" s="78">
        <f t="shared" si="21"/>
        <v>6612.452939999999</v>
      </c>
      <c r="AP21" s="79">
        <f t="shared" si="22"/>
        <v>118.4176596</v>
      </c>
      <c r="AQ21" s="77">
        <f t="shared" si="23"/>
        <v>7.0757554</v>
      </c>
      <c r="AR21" s="78"/>
      <c r="AS21" s="78">
        <f t="shared" si="141"/>
        <v>5467.1065</v>
      </c>
      <c r="AT21" s="78">
        <f t="shared" si="24"/>
        <v>109.34213</v>
      </c>
      <c r="AU21" s="78">
        <f t="shared" si="25"/>
        <v>5576.44863</v>
      </c>
      <c r="AV21" s="79">
        <f t="shared" si="26"/>
        <v>99.8646042</v>
      </c>
      <c r="AW21" s="77">
        <f t="shared" si="27"/>
        <v>5.967163299999999</v>
      </c>
      <c r="AX21" s="79"/>
      <c r="AY21" s="78">
        <f t="shared" si="142"/>
        <v>224301.638</v>
      </c>
      <c r="AZ21" s="78">
        <f t="shared" si="28"/>
        <v>4486.03276</v>
      </c>
      <c r="BA21" s="78">
        <f t="shared" si="29"/>
        <v>228787.67076</v>
      </c>
      <c r="BB21" s="79">
        <f t="shared" si="30"/>
        <v>4097.1936984</v>
      </c>
      <c r="BC21" s="77">
        <f t="shared" si="31"/>
        <v>244.8177116</v>
      </c>
      <c r="BD21" s="79"/>
      <c r="BE21" s="78">
        <f t="shared" si="143"/>
        <v>460242.98049999995</v>
      </c>
      <c r="BF21" s="78">
        <f t="shared" si="32"/>
        <v>9204.85961</v>
      </c>
      <c r="BG21" s="78">
        <f t="shared" si="33"/>
        <v>469447.84010999993</v>
      </c>
      <c r="BH21" s="79">
        <f t="shared" si="34"/>
        <v>8407.0034274</v>
      </c>
      <c r="BI21" s="77">
        <f t="shared" si="35"/>
        <v>502.3397701</v>
      </c>
      <c r="BJ21" s="79"/>
      <c r="BK21" s="78">
        <f t="shared" si="144"/>
        <v>5313.213999999999</v>
      </c>
      <c r="BL21" s="78">
        <f t="shared" si="36"/>
        <v>106.26428</v>
      </c>
      <c r="BM21" s="78">
        <f t="shared" si="37"/>
        <v>5419.478279999999</v>
      </c>
      <c r="BN21" s="79">
        <f t="shared" si="38"/>
        <v>97.0535352</v>
      </c>
      <c r="BO21" s="77">
        <f t="shared" si="39"/>
        <v>5.7991948</v>
      </c>
      <c r="BP21" s="79"/>
      <c r="BQ21" s="78">
        <f t="shared" si="145"/>
        <v>3569.0989999999997</v>
      </c>
      <c r="BR21" s="78">
        <f t="shared" si="40"/>
        <v>71.38198</v>
      </c>
      <c r="BS21" s="78">
        <f t="shared" si="41"/>
        <v>3640.48098</v>
      </c>
      <c r="BT21" s="79">
        <f t="shared" si="42"/>
        <v>65.1947532</v>
      </c>
      <c r="BU21" s="77">
        <f t="shared" si="43"/>
        <v>3.8955518</v>
      </c>
      <c r="BV21" s="79"/>
      <c r="BW21" s="78">
        <f t="shared" si="146"/>
        <v>-531.6835</v>
      </c>
      <c r="BX21" s="78">
        <f t="shared" si="44"/>
        <v>-10.63367</v>
      </c>
      <c r="BY21" s="78">
        <f t="shared" si="45"/>
        <v>-542.31717</v>
      </c>
      <c r="BZ21" s="79">
        <f t="shared" si="46"/>
        <v>-9.7119678</v>
      </c>
      <c r="CA21" s="77">
        <f t="shared" si="47"/>
        <v>-0.5803147</v>
      </c>
      <c r="CB21" s="78"/>
      <c r="CC21" s="78">
        <f t="shared" si="147"/>
        <v>-346.409</v>
      </c>
      <c r="CD21" s="78">
        <f t="shared" si="48"/>
        <v>-6.92818</v>
      </c>
      <c r="CE21" s="78">
        <f t="shared" si="49"/>
        <v>-353.33718</v>
      </c>
      <c r="CF21" s="79">
        <f t="shared" si="50"/>
        <v>-6.3276612</v>
      </c>
      <c r="CG21" s="77">
        <f t="shared" si="51"/>
        <v>-0.3780938</v>
      </c>
      <c r="CH21" s="79"/>
      <c r="CI21" s="78">
        <f t="shared" si="148"/>
        <v>12882.311000000002</v>
      </c>
      <c r="CJ21" s="78">
        <f t="shared" si="52"/>
        <v>257.64622</v>
      </c>
      <c r="CK21" s="78">
        <f t="shared" si="53"/>
        <v>13139.957220000002</v>
      </c>
      <c r="CL21" s="79">
        <f t="shared" si="54"/>
        <v>235.3140348</v>
      </c>
      <c r="CM21" s="77">
        <f t="shared" si="55"/>
        <v>14.0606102</v>
      </c>
      <c r="CN21" s="79"/>
      <c r="CO21" s="78">
        <f t="shared" si="149"/>
        <v>79221.445</v>
      </c>
      <c r="CP21" s="78">
        <f t="shared" si="56"/>
        <v>1584.4288999999999</v>
      </c>
      <c r="CQ21" s="78">
        <f t="shared" si="57"/>
        <v>80805.8739</v>
      </c>
      <c r="CR21" s="79">
        <f t="shared" si="58"/>
        <v>1447.094226</v>
      </c>
      <c r="CS21" s="77">
        <f t="shared" si="59"/>
        <v>86.467549</v>
      </c>
      <c r="CT21" s="79"/>
      <c r="CU21" s="78">
        <f t="shared" si="150"/>
        <v>532197.0785000001</v>
      </c>
      <c r="CV21" s="78">
        <f t="shared" si="60"/>
        <v>10643.941569999999</v>
      </c>
      <c r="CW21" s="78">
        <f t="shared" si="61"/>
        <v>542841.0200700001</v>
      </c>
      <c r="CX21" s="79">
        <f t="shared" si="62"/>
        <v>9721.3490538</v>
      </c>
      <c r="CY21" s="77">
        <f t="shared" si="63"/>
        <v>580.8752537</v>
      </c>
      <c r="CZ21" s="79"/>
      <c r="DA21" s="78">
        <f t="shared" si="151"/>
        <v>76784.51199999999</v>
      </c>
      <c r="DB21" s="78">
        <f t="shared" si="64"/>
        <v>1535.6902399999997</v>
      </c>
      <c r="DC21" s="78">
        <f t="shared" si="65"/>
        <v>78320.20223999998</v>
      </c>
      <c r="DD21" s="79">
        <f t="shared" si="66"/>
        <v>1402.5801216</v>
      </c>
      <c r="DE21" s="77">
        <f t="shared" si="67"/>
        <v>83.8077184</v>
      </c>
      <c r="DF21" s="79"/>
      <c r="DG21" s="78">
        <f t="shared" si="152"/>
        <v>156893.10199999998</v>
      </c>
      <c r="DH21" s="78">
        <f t="shared" si="68"/>
        <v>3137.8620400000004</v>
      </c>
      <c r="DI21" s="78">
        <f t="shared" si="69"/>
        <v>160030.96404</v>
      </c>
      <c r="DJ21" s="79">
        <f t="shared" si="70"/>
        <v>2865.8793336000003</v>
      </c>
      <c r="DK21" s="77">
        <f t="shared" si="71"/>
        <v>171.24355640000002</v>
      </c>
      <c r="DL21" s="79"/>
      <c r="DM21" s="78">
        <f t="shared" si="153"/>
        <v>25444.767000000003</v>
      </c>
      <c r="DN21" s="78">
        <f t="shared" si="72"/>
        <v>508.89534</v>
      </c>
      <c r="DO21" s="78">
        <f t="shared" si="73"/>
        <v>25953.662340000003</v>
      </c>
      <c r="DP21" s="79">
        <f t="shared" si="74"/>
        <v>464.7854556</v>
      </c>
      <c r="DQ21" s="77">
        <f t="shared" si="75"/>
        <v>27.772109399999998</v>
      </c>
      <c r="DR21" s="79"/>
      <c r="DS21" s="78">
        <f t="shared" si="154"/>
        <v>130526.18699999999</v>
      </c>
      <c r="DT21" s="78">
        <f t="shared" si="76"/>
        <v>2610.5237399999996</v>
      </c>
      <c r="DU21" s="78">
        <f t="shared" si="77"/>
        <v>133136.71073999998</v>
      </c>
      <c r="DV21" s="79">
        <f t="shared" si="78"/>
        <v>2384.2495116</v>
      </c>
      <c r="DW21" s="77">
        <f t="shared" si="79"/>
        <v>142.4649534</v>
      </c>
      <c r="DX21" s="79"/>
      <c r="DY21" s="78">
        <f t="shared" si="155"/>
        <v>1166.5655</v>
      </c>
      <c r="DZ21" s="78">
        <f t="shared" si="80"/>
        <v>23.33131</v>
      </c>
      <c r="EA21" s="78">
        <f t="shared" si="81"/>
        <v>1189.89681</v>
      </c>
      <c r="EB21" s="79">
        <f t="shared" si="82"/>
        <v>21.3090054</v>
      </c>
      <c r="EC21" s="77">
        <f t="shared" si="83"/>
        <v>1.2732671</v>
      </c>
      <c r="ED21" s="79"/>
      <c r="EE21" s="78">
        <f t="shared" si="156"/>
        <v>1535.3039999999999</v>
      </c>
      <c r="EF21" s="78">
        <f t="shared" si="84"/>
        <v>30.70608</v>
      </c>
      <c r="EG21" s="78">
        <f t="shared" si="85"/>
        <v>1566.0100799999998</v>
      </c>
      <c r="EH21" s="79">
        <f t="shared" si="86"/>
        <v>28.0445472</v>
      </c>
      <c r="EI21" s="77">
        <f t="shared" si="87"/>
        <v>1.6757328</v>
      </c>
      <c r="EJ21" s="79"/>
      <c r="EK21" s="78">
        <f t="shared" si="157"/>
        <v>77360.8545</v>
      </c>
      <c r="EL21" s="78">
        <f t="shared" si="88"/>
        <v>1547.21709</v>
      </c>
      <c r="EM21" s="78">
        <f t="shared" si="89"/>
        <v>78908.07159</v>
      </c>
      <c r="EN21" s="79">
        <f t="shared" si="90"/>
        <v>1413.1078506000001</v>
      </c>
      <c r="EO21" s="77">
        <f t="shared" si="91"/>
        <v>84.4367769</v>
      </c>
      <c r="EP21" s="79"/>
      <c r="EQ21" s="78">
        <f t="shared" si="158"/>
        <v>1472.54</v>
      </c>
      <c r="ER21" s="78">
        <f t="shared" si="92"/>
        <v>29.450800000000005</v>
      </c>
      <c r="ES21" s="78">
        <f t="shared" si="93"/>
        <v>1501.9908</v>
      </c>
      <c r="ET21" s="79">
        <f t="shared" si="94"/>
        <v>26.898072</v>
      </c>
      <c r="EU21" s="77">
        <f t="shared" si="95"/>
        <v>1.6072279999999999</v>
      </c>
      <c r="EV21" s="79"/>
      <c r="EW21" s="78">
        <f t="shared" si="159"/>
        <v>22003.006500000003</v>
      </c>
      <c r="EX21" s="78">
        <f t="shared" si="96"/>
        <v>440.0601300000001</v>
      </c>
      <c r="EY21" s="78">
        <f t="shared" si="97"/>
        <v>22443.066630000005</v>
      </c>
      <c r="EZ21" s="79">
        <f t="shared" si="98"/>
        <v>401.91672420000003</v>
      </c>
      <c r="FA21" s="77">
        <f t="shared" si="99"/>
        <v>24.0155433</v>
      </c>
      <c r="FB21" s="79"/>
      <c r="FC21" s="78">
        <f t="shared" si="160"/>
        <v>15284.8445</v>
      </c>
      <c r="FD21" s="78">
        <f t="shared" si="100"/>
        <v>305.69689</v>
      </c>
      <c r="FE21" s="78">
        <f t="shared" si="101"/>
        <v>15590.541389999999</v>
      </c>
      <c r="FF21" s="79">
        <f t="shared" si="102"/>
        <v>279.1997826</v>
      </c>
      <c r="FG21" s="77">
        <f t="shared" si="103"/>
        <v>16.6828949</v>
      </c>
      <c r="FH21" s="79"/>
      <c r="FI21" s="78">
        <f t="shared" si="161"/>
        <v>5966.804499999999</v>
      </c>
      <c r="FJ21" s="78">
        <f t="shared" si="104"/>
        <v>119.33609</v>
      </c>
      <c r="FK21" s="78">
        <f t="shared" si="105"/>
        <v>6086.140589999999</v>
      </c>
      <c r="FL21" s="79">
        <f t="shared" si="106"/>
        <v>108.9923106</v>
      </c>
      <c r="FM21" s="77">
        <f t="shared" si="107"/>
        <v>6.5125668999999995</v>
      </c>
      <c r="FN21" s="79"/>
      <c r="FO21" s="78">
        <f t="shared" si="162"/>
        <v>67055.4885</v>
      </c>
      <c r="FP21" s="78">
        <f t="shared" si="108"/>
        <v>1341.10977</v>
      </c>
      <c r="FQ21" s="78">
        <f t="shared" si="109"/>
        <v>68396.59827</v>
      </c>
      <c r="FR21" s="79">
        <f t="shared" si="110"/>
        <v>1224.8654418</v>
      </c>
      <c r="FS21" s="77">
        <f t="shared" si="111"/>
        <v>73.1888157</v>
      </c>
      <c r="FT21" s="79"/>
      <c r="FU21" s="78">
        <f t="shared" si="163"/>
        <v>151129.67700000003</v>
      </c>
      <c r="FV21" s="78">
        <f t="shared" si="112"/>
        <v>3022.59354</v>
      </c>
      <c r="FW21" s="78">
        <f t="shared" si="113"/>
        <v>154152.27054000003</v>
      </c>
      <c r="FX21" s="79">
        <f t="shared" si="114"/>
        <v>2760.6020436</v>
      </c>
      <c r="FY21" s="77">
        <f t="shared" si="115"/>
        <v>164.9529714</v>
      </c>
      <c r="FZ21" s="79"/>
      <c r="GA21" s="78">
        <f t="shared" si="164"/>
        <v>19286.0495</v>
      </c>
      <c r="GB21" s="78">
        <f t="shared" si="116"/>
        <v>385.72099000000003</v>
      </c>
      <c r="GC21" s="78">
        <f t="shared" si="117"/>
        <v>19671.770490000003</v>
      </c>
      <c r="GD21" s="79">
        <f t="shared" si="118"/>
        <v>352.2875766</v>
      </c>
      <c r="GE21" s="77">
        <f t="shared" si="119"/>
        <v>21.0500759</v>
      </c>
      <c r="GF21" s="79"/>
      <c r="GG21" s="78">
        <f t="shared" si="165"/>
        <v>30626.418</v>
      </c>
      <c r="GH21" s="78">
        <f t="shared" si="120"/>
        <v>612.52836</v>
      </c>
      <c r="GI21" s="78">
        <f t="shared" si="121"/>
        <v>31238.94636</v>
      </c>
      <c r="GJ21" s="79">
        <f t="shared" si="122"/>
        <v>559.4358024</v>
      </c>
      <c r="GK21" s="77">
        <f t="shared" si="123"/>
        <v>33.4277076</v>
      </c>
      <c r="GL21" s="79"/>
      <c r="GM21" s="78">
        <f t="shared" si="166"/>
        <v>141936.5615</v>
      </c>
      <c r="GN21" s="78">
        <f t="shared" si="124"/>
        <v>2838.7312300000003</v>
      </c>
      <c r="GO21" s="78">
        <f t="shared" si="125"/>
        <v>144775.29273000002</v>
      </c>
      <c r="GP21" s="79">
        <f t="shared" si="126"/>
        <v>2592.6764982</v>
      </c>
      <c r="GQ21" s="77">
        <f t="shared" si="127"/>
        <v>154.91899429999998</v>
      </c>
      <c r="GR21" s="79"/>
      <c r="GS21" s="78">
        <f t="shared" si="167"/>
        <v>7532.887</v>
      </c>
      <c r="GT21" s="78">
        <f t="shared" si="128"/>
        <v>150.65774</v>
      </c>
      <c r="GU21" s="78">
        <f t="shared" si="129"/>
        <v>7683.544739999999</v>
      </c>
      <c r="GV21" s="79">
        <f t="shared" si="130"/>
        <v>137.5990716</v>
      </c>
      <c r="GW21" s="77">
        <f t="shared" si="131"/>
        <v>8.2218934</v>
      </c>
      <c r="GX21" s="79"/>
      <c r="GY21" s="78">
        <f t="shared" si="168"/>
        <v>43188.874</v>
      </c>
      <c r="GZ21" s="78">
        <f t="shared" si="132"/>
        <v>863.7774800000001</v>
      </c>
      <c r="HA21" s="78">
        <f t="shared" si="133"/>
        <v>44052.65148</v>
      </c>
      <c r="HB21" s="79">
        <f t="shared" si="134"/>
        <v>788.9072232</v>
      </c>
      <c r="HC21" s="77">
        <f t="shared" si="135"/>
        <v>47.139206800000004</v>
      </c>
      <c r="HD21" s="79"/>
      <c r="HE21" s="79"/>
      <c r="HF21" s="79"/>
      <c r="HG21" s="79"/>
      <c r="HH21" s="79"/>
      <c r="HI21" s="79"/>
    </row>
    <row r="22" spans="1:217" s="52" customFormat="1" ht="12" hidden="1">
      <c r="A22" s="51">
        <v>44470</v>
      </c>
      <c r="C22" s="80"/>
      <c r="D22" s="80"/>
      <c r="E22" s="77">
        <f t="shared" si="0"/>
        <v>0</v>
      </c>
      <c r="F22" s="77"/>
      <c r="G22" s="77"/>
      <c r="H22" s="79"/>
      <c r="I22" s="79"/>
      <c r="J22" s="79">
        <f t="shared" si="1"/>
        <v>0</v>
      </c>
      <c r="K22" s="79">
        <f t="shared" si="2"/>
        <v>0</v>
      </c>
      <c r="L22" s="79">
        <f t="shared" si="3"/>
        <v>0</v>
      </c>
      <c r="M22" s="79">
        <f t="shared" si="3"/>
        <v>0</v>
      </c>
      <c r="N22" s="79"/>
      <c r="O22" s="78"/>
      <c r="P22" s="78">
        <f t="shared" si="4"/>
        <v>0</v>
      </c>
      <c r="Q22" s="79">
        <f t="shared" si="5"/>
        <v>0</v>
      </c>
      <c r="R22" s="79">
        <f t="shared" si="6"/>
        <v>0</v>
      </c>
      <c r="S22" s="77">
        <f t="shared" si="7"/>
        <v>0</v>
      </c>
      <c r="T22" s="79"/>
      <c r="U22" s="78"/>
      <c r="V22" s="78">
        <f t="shared" si="8"/>
        <v>0</v>
      </c>
      <c r="W22" s="78">
        <f t="shared" si="9"/>
        <v>0</v>
      </c>
      <c r="X22" s="79">
        <f t="shared" si="10"/>
        <v>0</v>
      </c>
      <c r="Y22" s="77">
        <f t="shared" si="11"/>
        <v>0</v>
      </c>
      <c r="Z22" s="79"/>
      <c r="AA22" s="79"/>
      <c r="AB22" s="78">
        <f t="shared" si="12"/>
        <v>0</v>
      </c>
      <c r="AC22" s="78">
        <f t="shared" si="13"/>
        <v>0</v>
      </c>
      <c r="AD22" s="79">
        <f t="shared" si="14"/>
        <v>0</v>
      </c>
      <c r="AE22" s="77">
        <f t="shared" si="15"/>
        <v>0</v>
      </c>
      <c r="AF22" s="79"/>
      <c r="AG22" s="78"/>
      <c r="AH22" s="78">
        <f t="shared" si="16"/>
        <v>0</v>
      </c>
      <c r="AI22" s="78">
        <f t="shared" si="17"/>
        <v>0</v>
      </c>
      <c r="AJ22" s="79">
        <f t="shared" si="18"/>
        <v>0</v>
      </c>
      <c r="AK22" s="77">
        <f t="shared" si="19"/>
        <v>0</v>
      </c>
      <c r="AL22" s="79"/>
      <c r="AM22" s="78"/>
      <c r="AN22" s="78">
        <f t="shared" si="20"/>
        <v>0</v>
      </c>
      <c r="AO22" s="78">
        <f t="shared" si="21"/>
        <v>0</v>
      </c>
      <c r="AP22" s="79">
        <f t="shared" si="22"/>
        <v>0</v>
      </c>
      <c r="AQ22" s="77">
        <f t="shared" si="23"/>
        <v>0</v>
      </c>
      <c r="AR22" s="78"/>
      <c r="AS22" s="78"/>
      <c r="AT22" s="78">
        <f t="shared" si="24"/>
        <v>0</v>
      </c>
      <c r="AU22" s="78">
        <f t="shared" si="25"/>
        <v>0</v>
      </c>
      <c r="AV22" s="79">
        <f t="shared" si="26"/>
        <v>0</v>
      </c>
      <c r="AW22" s="77">
        <f t="shared" si="27"/>
        <v>0</v>
      </c>
      <c r="AX22" s="79"/>
      <c r="AY22" s="78"/>
      <c r="AZ22" s="78">
        <f t="shared" si="28"/>
        <v>0</v>
      </c>
      <c r="BA22" s="78">
        <f t="shared" si="29"/>
        <v>0</v>
      </c>
      <c r="BB22" s="79">
        <f t="shared" si="30"/>
        <v>0</v>
      </c>
      <c r="BC22" s="77">
        <f t="shared" si="31"/>
        <v>0</v>
      </c>
      <c r="BD22" s="79"/>
      <c r="BE22" s="78"/>
      <c r="BF22" s="78">
        <f t="shared" si="32"/>
        <v>0</v>
      </c>
      <c r="BG22" s="78">
        <f t="shared" si="33"/>
        <v>0</v>
      </c>
      <c r="BH22" s="79">
        <f t="shared" si="34"/>
        <v>0</v>
      </c>
      <c r="BI22" s="77">
        <f t="shared" si="35"/>
        <v>0</v>
      </c>
      <c r="BJ22" s="79"/>
      <c r="BK22" s="78"/>
      <c r="BL22" s="78">
        <f t="shared" si="36"/>
        <v>0</v>
      </c>
      <c r="BM22" s="78">
        <f t="shared" si="37"/>
        <v>0</v>
      </c>
      <c r="BN22" s="79">
        <f t="shared" si="38"/>
        <v>0</v>
      </c>
      <c r="BO22" s="77">
        <f t="shared" si="39"/>
        <v>0</v>
      </c>
      <c r="BP22" s="79"/>
      <c r="BQ22" s="78"/>
      <c r="BR22" s="78">
        <f t="shared" si="40"/>
        <v>0</v>
      </c>
      <c r="BS22" s="78">
        <f t="shared" si="41"/>
        <v>0</v>
      </c>
      <c r="BT22" s="79">
        <f t="shared" si="42"/>
        <v>0</v>
      </c>
      <c r="BU22" s="77">
        <f t="shared" si="43"/>
        <v>0</v>
      </c>
      <c r="BV22" s="79"/>
      <c r="BW22" s="78"/>
      <c r="BX22" s="78">
        <f t="shared" si="44"/>
        <v>0</v>
      </c>
      <c r="BY22" s="78">
        <f t="shared" si="45"/>
        <v>0</v>
      </c>
      <c r="BZ22" s="79">
        <f t="shared" si="46"/>
        <v>0</v>
      </c>
      <c r="CA22" s="77">
        <f t="shared" si="47"/>
        <v>0</v>
      </c>
      <c r="CB22" s="78"/>
      <c r="CC22" s="78"/>
      <c r="CD22" s="78">
        <f t="shared" si="48"/>
        <v>0</v>
      </c>
      <c r="CE22" s="78">
        <f t="shared" si="49"/>
        <v>0</v>
      </c>
      <c r="CF22" s="79">
        <f t="shared" si="50"/>
        <v>0</v>
      </c>
      <c r="CG22" s="77">
        <f t="shared" si="51"/>
        <v>0</v>
      </c>
      <c r="CH22" s="79"/>
      <c r="CI22" s="78"/>
      <c r="CJ22" s="78">
        <f t="shared" si="52"/>
        <v>0</v>
      </c>
      <c r="CK22" s="78">
        <f t="shared" si="53"/>
        <v>0</v>
      </c>
      <c r="CL22" s="79">
        <f t="shared" si="54"/>
        <v>0</v>
      </c>
      <c r="CM22" s="77">
        <f t="shared" si="55"/>
        <v>0</v>
      </c>
      <c r="CN22" s="79"/>
      <c r="CO22" s="78"/>
      <c r="CP22" s="78">
        <f t="shared" si="56"/>
        <v>0</v>
      </c>
      <c r="CQ22" s="78">
        <f t="shared" si="57"/>
        <v>0</v>
      </c>
      <c r="CR22" s="79">
        <f t="shared" si="58"/>
        <v>0</v>
      </c>
      <c r="CS22" s="77">
        <f t="shared" si="59"/>
        <v>0</v>
      </c>
      <c r="CT22" s="79"/>
      <c r="CU22" s="78"/>
      <c r="CV22" s="78">
        <f t="shared" si="60"/>
        <v>0</v>
      </c>
      <c r="CW22" s="78">
        <f t="shared" si="61"/>
        <v>0</v>
      </c>
      <c r="CX22" s="79">
        <f t="shared" si="62"/>
        <v>0</v>
      </c>
      <c r="CY22" s="77">
        <f t="shared" si="63"/>
        <v>0</v>
      </c>
      <c r="CZ22" s="79"/>
      <c r="DA22" s="78"/>
      <c r="DB22" s="78">
        <f t="shared" si="64"/>
        <v>0</v>
      </c>
      <c r="DC22" s="78">
        <f t="shared" si="65"/>
        <v>0</v>
      </c>
      <c r="DD22" s="79">
        <f t="shared" si="66"/>
        <v>0</v>
      </c>
      <c r="DE22" s="77">
        <f t="shared" si="67"/>
        <v>0</v>
      </c>
      <c r="DF22" s="79"/>
      <c r="DG22" s="78"/>
      <c r="DH22" s="78">
        <f t="shared" si="68"/>
        <v>0</v>
      </c>
      <c r="DI22" s="78">
        <f t="shared" si="69"/>
        <v>0</v>
      </c>
      <c r="DJ22" s="79">
        <f t="shared" si="70"/>
        <v>0</v>
      </c>
      <c r="DK22" s="77">
        <f t="shared" si="71"/>
        <v>0</v>
      </c>
      <c r="DL22" s="79"/>
      <c r="DM22" s="78"/>
      <c r="DN22" s="78">
        <f t="shared" si="72"/>
        <v>0</v>
      </c>
      <c r="DO22" s="78">
        <f t="shared" si="73"/>
        <v>0</v>
      </c>
      <c r="DP22" s="79">
        <f t="shared" si="74"/>
        <v>0</v>
      </c>
      <c r="DQ22" s="77">
        <f t="shared" si="75"/>
        <v>0</v>
      </c>
      <c r="DR22" s="79"/>
      <c r="DS22" s="78"/>
      <c r="DT22" s="78">
        <f t="shared" si="76"/>
        <v>0</v>
      </c>
      <c r="DU22" s="78">
        <f t="shared" si="77"/>
        <v>0</v>
      </c>
      <c r="DV22" s="79">
        <f t="shared" si="78"/>
        <v>0</v>
      </c>
      <c r="DW22" s="77">
        <f t="shared" si="79"/>
        <v>0</v>
      </c>
      <c r="DX22" s="79"/>
      <c r="DY22" s="78"/>
      <c r="DZ22" s="78">
        <f t="shared" si="80"/>
        <v>0</v>
      </c>
      <c r="EA22" s="78">
        <f t="shared" si="81"/>
        <v>0</v>
      </c>
      <c r="EB22" s="79">
        <f t="shared" si="82"/>
        <v>0</v>
      </c>
      <c r="EC22" s="77">
        <f t="shared" si="83"/>
        <v>0</v>
      </c>
      <c r="ED22" s="79"/>
      <c r="EE22" s="78"/>
      <c r="EF22" s="78">
        <f t="shared" si="84"/>
        <v>0</v>
      </c>
      <c r="EG22" s="78">
        <f t="shared" si="85"/>
        <v>0</v>
      </c>
      <c r="EH22" s="79">
        <f t="shared" si="86"/>
        <v>0</v>
      </c>
      <c r="EI22" s="77">
        <f t="shared" si="87"/>
        <v>0</v>
      </c>
      <c r="EJ22" s="79"/>
      <c r="EK22" s="78"/>
      <c r="EL22" s="78">
        <f t="shared" si="88"/>
        <v>0</v>
      </c>
      <c r="EM22" s="78">
        <f t="shared" si="89"/>
        <v>0</v>
      </c>
      <c r="EN22" s="79">
        <f t="shared" si="90"/>
        <v>0</v>
      </c>
      <c r="EO22" s="77">
        <f t="shared" si="91"/>
        <v>0</v>
      </c>
      <c r="EP22" s="79"/>
      <c r="EQ22" s="78"/>
      <c r="ER22" s="78">
        <f t="shared" si="92"/>
        <v>0</v>
      </c>
      <c r="ES22" s="78">
        <f t="shared" si="93"/>
        <v>0</v>
      </c>
      <c r="ET22" s="79">
        <f t="shared" si="94"/>
        <v>0</v>
      </c>
      <c r="EU22" s="77">
        <f t="shared" si="95"/>
        <v>0</v>
      </c>
      <c r="EV22" s="79"/>
      <c r="EW22" s="78"/>
      <c r="EX22" s="78">
        <f t="shared" si="96"/>
        <v>0</v>
      </c>
      <c r="EY22" s="78">
        <f t="shared" si="97"/>
        <v>0</v>
      </c>
      <c r="EZ22" s="79">
        <f t="shared" si="98"/>
        <v>0</v>
      </c>
      <c r="FA22" s="77">
        <f t="shared" si="99"/>
        <v>0</v>
      </c>
      <c r="FB22" s="79"/>
      <c r="FC22" s="78"/>
      <c r="FD22" s="78">
        <f t="shared" si="100"/>
        <v>0</v>
      </c>
      <c r="FE22" s="78">
        <f t="shared" si="101"/>
        <v>0</v>
      </c>
      <c r="FF22" s="79">
        <f t="shared" si="102"/>
        <v>0</v>
      </c>
      <c r="FG22" s="77">
        <f t="shared" si="103"/>
        <v>0</v>
      </c>
      <c r="FH22" s="79"/>
      <c r="FI22" s="78"/>
      <c r="FJ22" s="78">
        <f t="shared" si="104"/>
        <v>0</v>
      </c>
      <c r="FK22" s="78">
        <f t="shared" si="105"/>
        <v>0</v>
      </c>
      <c r="FL22" s="79">
        <f t="shared" si="106"/>
        <v>0</v>
      </c>
      <c r="FM22" s="77">
        <f t="shared" si="107"/>
        <v>0</v>
      </c>
      <c r="FN22" s="79"/>
      <c r="FO22" s="78"/>
      <c r="FP22" s="78">
        <f t="shared" si="108"/>
        <v>0</v>
      </c>
      <c r="FQ22" s="78">
        <f t="shared" si="109"/>
        <v>0</v>
      </c>
      <c r="FR22" s="79">
        <f t="shared" si="110"/>
        <v>0</v>
      </c>
      <c r="FS22" s="77">
        <f t="shared" si="111"/>
        <v>0</v>
      </c>
      <c r="FT22" s="79"/>
      <c r="FU22" s="78"/>
      <c r="FV22" s="78">
        <f t="shared" si="112"/>
        <v>0</v>
      </c>
      <c r="FW22" s="78">
        <f t="shared" si="113"/>
        <v>0</v>
      </c>
      <c r="FX22" s="79">
        <f t="shared" si="114"/>
        <v>0</v>
      </c>
      <c r="FY22" s="77">
        <f t="shared" si="115"/>
        <v>0</v>
      </c>
      <c r="FZ22" s="79"/>
      <c r="GA22" s="78"/>
      <c r="GB22" s="78">
        <f t="shared" si="116"/>
        <v>0</v>
      </c>
      <c r="GC22" s="78">
        <f t="shared" si="117"/>
        <v>0</v>
      </c>
      <c r="GD22" s="79">
        <f t="shared" si="118"/>
        <v>0</v>
      </c>
      <c r="GE22" s="77">
        <f t="shared" si="119"/>
        <v>0</v>
      </c>
      <c r="GF22" s="79"/>
      <c r="GG22" s="78"/>
      <c r="GH22" s="78">
        <f t="shared" si="120"/>
        <v>0</v>
      </c>
      <c r="GI22" s="78">
        <f t="shared" si="121"/>
        <v>0</v>
      </c>
      <c r="GJ22" s="79">
        <f t="shared" si="122"/>
        <v>0</v>
      </c>
      <c r="GK22" s="77">
        <f t="shared" si="123"/>
        <v>0</v>
      </c>
      <c r="GL22" s="79"/>
      <c r="GM22" s="78"/>
      <c r="GN22" s="78">
        <f t="shared" si="124"/>
        <v>0</v>
      </c>
      <c r="GO22" s="78">
        <f t="shared" si="125"/>
        <v>0</v>
      </c>
      <c r="GP22" s="79">
        <f t="shared" si="126"/>
        <v>0</v>
      </c>
      <c r="GQ22" s="77">
        <f t="shared" si="127"/>
        <v>0</v>
      </c>
      <c r="GR22" s="79"/>
      <c r="GS22" s="78"/>
      <c r="GT22" s="78">
        <f t="shared" si="128"/>
        <v>0</v>
      </c>
      <c r="GU22" s="78">
        <f t="shared" si="129"/>
        <v>0</v>
      </c>
      <c r="GV22" s="79">
        <f t="shared" si="130"/>
        <v>0</v>
      </c>
      <c r="GW22" s="77">
        <f t="shared" si="131"/>
        <v>0</v>
      </c>
      <c r="GX22" s="79"/>
      <c r="GY22" s="78"/>
      <c r="GZ22" s="78">
        <f t="shared" si="132"/>
        <v>0</v>
      </c>
      <c r="HA22" s="78">
        <f t="shared" si="133"/>
        <v>0</v>
      </c>
      <c r="HB22" s="79">
        <f t="shared" si="134"/>
        <v>0</v>
      </c>
      <c r="HC22" s="77">
        <f t="shared" si="135"/>
        <v>0</v>
      </c>
      <c r="HD22" s="79"/>
      <c r="HE22" s="79"/>
      <c r="HF22" s="79"/>
      <c r="HG22" s="79"/>
      <c r="HH22" s="79"/>
      <c r="HI22" s="79"/>
    </row>
    <row r="23" spans="1:217" s="52" customFormat="1" ht="12" hidden="1">
      <c r="A23" s="51">
        <v>44652</v>
      </c>
      <c r="C23" s="80"/>
      <c r="D23" s="80"/>
      <c r="E23" s="77">
        <f t="shared" si="0"/>
        <v>0</v>
      </c>
      <c r="F23" s="77"/>
      <c r="G23" s="77"/>
      <c r="H23" s="79"/>
      <c r="I23" s="79">
        <f>O23+U23+AA23+AG23+AM23+AS23+AY23+BE23+BK23+BQ23+BW23+CC23+CI23+CO23+CU23+DA23+DG23+DM23+DS23+DY23+EE23+EK23+EQ23+EW23+FC23+FI23+FO23+FU23+GA23+GG23+GM23+GS23+GY23</f>
        <v>0</v>
      </c>
      <c r="J23" s="79">
        <f t="shared" si="1"/>
        <v>0</v>
      </c>
      <c r="K23" s="79">
        <f t="shared" si="2"/>
        <v>0</v>
      </c>
      <c r="L23" s="79">
        <f t="shared" si="3"/>
        <v>0</v>
      </c>
      <c r="M23" s="79">
        <f t="shared" si="3"/>
        <v>0</v>
      </c>
      <c r="N23" s="79"/>
      <c r="O23" s="78">
        <f t="shared" si="136"/>
        <v>0</v>
      </c>
      <c r="P23" s="78">
        <f t="shared" si="4"/>
        <v>0</v>
      </c>
      <c r="Q23" s="79">
        <f t="shared" si="5"/>
        <v>0</v>
      </c>
      <c r="R23" s="79">
        <f t="shared" si="6"/>
        <v>0</v>
      </c>
      <c r="S23" s="77">
        <f t="shared" si="7"/>
        <v>0</v>
      </c>
      <c r="T23" s="79"/>
      <c r="U23" s="78">
        <f t="shared" si="137"/>
        <v>0</v>
      </c>
      <c r="V23" s="78">
        <f t="shared" si="8"/>
        <v>0</v>
      </c>
      <c r="W23" s="78">
        <f t="shared" si="9"/>
        <v>0</v>
      </c>
      <c r="X23" s="79">
        <f t="shared" si="10"/>
        <v>0</v>
      </c>
      <c r="Y23" s="77">
        <f t="shared" si="11"/>
        <v>0</v>
      </c>
      <c r="Z23" s="79"/>
      <c r="AA23" s="79">
        <f t="shared" si="138"/>
        <v>0</v>
      </c>
      <c r="AB23" s="78">
        <f t="shared" si="12"/>
        <v>0</v>
      </c>
      <c r="AC23" s="78">
        <f t="shared" si="13"/>
        <v>0</v>
      </c>
      <c r="AD23" s="79">
        <f t="shared" si="14"/>
        <v>0</v>
      </c>
      <c r="AE23" s="77">
        <f t="shared" si="15"/>
        <v>0</v>
      </c>
      <c r="AF23" s="79"/>
      <c r="AG23" s="78">
        <f t="shared" si="139"/>
        <v>0</v>
      </c>
      <c r="AH23" s="78">
        <f t="shared" si="16"/>
        <v>0</v>
      </c>
      <c r="AI23" s="78">
        <f t="shared" si="17"/>
        <v>0</v>
      </c>
      <c r="AJ23" s="79">
        <f t="shared" si="18"/>
        <v>0</v>
      </c>
      <c r="AK23" s="77">
        <f t="shared" si="19"/>
        <v>0</v>
      </c>
      <c r="AL23" s="79"/>
      <c r="AM23" s="78">
        <f t="shared" si="140"/>
        <v>0</v>
      </c>
      <c r="AN23" s="78">
        <f t="shared" si="20"/>
        <v>0</v>
      </c>
      <c r="AO23" s="78">
        <f t="shared" si="21"/>
        <v>0</v>
      </c>
      <c r="AP23" s="79">
        <f t="shared" si="22"/>
        <v>0</v>
      </c>
      <c r="AQ23" s="77">
        <f t="shared" si="23"/>
        <v>0</v>
      </c>
      <c r="AR23" s="78"/>
      <c r="AS23" s="78">
        <f t="shared" si="141"/>
        <v>0</v>
      </c>
      <c r="AT23" s="78">
        <f t="shared" si="24"/>
        <v>0</v>
      </c>
      <c r="AU23" s="78">
        <f t="shared" si="25"/>
        <v>0</v>
      </c>
      <c r="AV23" s="79">
        <f t="shared" si="26"/>
        <v>0</v>
      </c>
      <c r="AW23" s="77">
        <f t="shared" si="27"/>
        <v>0</v>
      </c>
      <c r="AX23" s="79"/>
      <c r="AY23" s="78">
        <f t="shared" si="142"/>
        <v>0</v>
      </c>
      <c r="AZ23" s="78">
        <f t="shared" si="28"/>
        <v>0</v>
      </c>
      <c r="BA23" s="78">
        <f t="shared" si="29"/>
        <v>0</v>
      </c>
      <c r="BB23" s="79">
        <f t="shared" si="30"/>
        <v>0</v>
      </c>
      <c r="BC23" s="77">
        <f t="shared" si="31"/>
        <v>0</v>
      </c>
      <c r="BD23" s="79"/>
      <c r="BE23" s="78">
        <f t="shared" si="143"/>
        <v>0</v>
      </c>
      <c r="BF23" s="78">
        <f t="shared" si="32"/>
        <v>0</v>
      </c>
      <c r="BG23" s="78">
        <f t="shared" si="33"/>
        <v>0</v>
      </c>
      <c r="BH23" s="79">
        <f t="shared" si="34"/>
        <v>0</v>
      </c>
      <c r="BI23" s="77">
        <f t="shared" si="35"/>
        <v>0</v>
      </c>
      <c r="BJ23" s="79"/>
      <c r="BK23" s="78">
        <f t="shared" si="144"/>
        <v>0</v>
      </c>
      <c r="BL23" s="78">
        <f t="shared" si="36"/>
        <v>0</v>
      </c>
      <c r="BM23" s="78">
        <f t="shared" si="37"/>
        <v>0</v>
      </c>
      <c r="BN23" s="79">
        <f t="shared" si="38"/>
        <v>0</v>
      </c>
      <c r="BO23" s="77">
        <f t="shared" si="39"/>
        <v>0</v>
      </c>
      <c r="BP23" s="79"/>
      <c r="BQ23" s="78">
        <f t="shared" si="145"/>
        <v>0</v>
      </c>
      <c r="BR23" s="78">
        <f t="shared" si="40"/>
        <v>0</v>
      </c>
      <c r="BS23" s="78">
        <f t="shared" si="41"/>
        <v>0</v>
      </c>
      <c r="BT23" s="79">
        <f t="shared" si="42"/>
        <v>0</v>
      </c>
      <c r="BU23" s="77">
        <f t="shared" si="43"/>
        <v>0</v>
      </c>
      <c r="BV23" s="79"/>
      <c r="BW23" s="78">
        <f t="shared" si="146"/>
        <v>0</v>
      </c>
      <c r="BX23" s="78">
        <f t="shared" si="44"/>
        <v>0</v>
      </c>
      <c r="BY23" s="78">
        <f t="shared" si="45"/>
        <v>0</v>
      </c>
      <c r="BZ23" s="79">
        <f t="shared" si="46"/>
        <v>0</v>
      </c>
      <c r="CA23" s="77">
        <f t="shared" si="47"/>
        <v>0</v>
      </c>
      <c r="CB23" s="78"/>
      <c r="CC23" s="78">
        <f t="shared" si="147"/>
        <v>0</v>
      </c>
      <c r="CD23" s="78">
        <f t="shared" si="48"/>
        <v>0</v>
      </c>
      <c r="CE23" s="78">
        <f t="shared" si="49"/>
        <v>0</v>
      </c>
      <c r="CF23" s="79">
        <f t="shared" si="50"/>
        <v>0</v>
      </c>
      <c r="CG23" s="77">
        <f t="shared" si="51"/>
        <v>0</v>
      </c>
      <c r="CH23" s="79"/>
      <c r="CI23" s="78">
        <f t="shared" si="148"/>
        <v>0</v>
      </c>
      <c r="CJ23" s="78">
        <f t="shared" si="52"/>
        <v>0</v>
      </c>
      <c r="CK23" s="78">
        <f t="shared" si="53"/>
        <v>0</v>
      </c>
      <c r="CL23" s="79">
        <f t="shared" si="54"/>
        <v>0</v>
      </c>
      <c r="CM23" s="77">
        <f t="shared" si="55"/>
        <v>0</v>
      </c>
      <c r="CN23" s="79"/>
      <c r="CO23" s="78">
        <f t="shared" si="149"/>
        <v>0</v>
      </c>
      <c r="CP23" s="78">
        <f t="shared" si="56"/>
        <v>0</v>
      </c>
      <c r="CQ23" s="78">
        <f t="shared" si="57"/>
        <v>0</v>
      </c>
      <c r="CR23" s="79">
        <f t="shared" si="58"/>
        <v>0</v>
      </c>
      <c r="CS23" s="77">
        <f t="shared" si="59"/>
        <v>0</v>
      </c>
      <c r="CT23" s="79"/>
      <c r="CU23" s="78">
        <f t="shared" si="150"/>
        <v>0</v>
      </c>
      <c r="CV23" s="78">
        <f t="shared" si="60"/>
        <v>0</v>
      </c>
      <c r="CW23" s="78">
        <f t="shared" si="61"/>
        <v>0</v>
      </c>
      <c r="CX23" s="79">
        <f t="shared" si="62"/>
        <v>0</v>
      </c>
      <c r="CY23" s="77">
        <f t="shared" si="63"/>
        <v>0</v>
      </c>
      <c r="CZ23" s="79"/>
      <c r="DA23" s="78">
        <f t="shared" si="151"/>
        <v>0</v>
      </c>
      <c r="DB23" s="78">
        <f t="shared" si="64"/>
        <v>0</v>
      </c>
      <c r="DC23" s="78">
        <f t="shared" si="65"/>
        <v>0</v>
      </c>
      <c r="DD23" s="79">
        <f t="shared" si="66"/>
        <v>0</v>
      </c>
      <c r="DE23" s="77">
        <f t="shared" si="67"/>
        <v>0</v>
      </c>
      <c r="DF23" s="79"/>
      <c r="DG23" s="78">
        <f t="shared" si="152"/>
        <v>0</v>
      </c>
      <c r="DH23" s="78">
        <f t="shared" si="68"/>
        <v>0</v>
      </c>
      <c r="DI23" s="78">
        <f t="shared" si="69"/>
        <v>0</v>
      </c>
      <c r="DJ23" s="79">
        <f t="shared" si="70"/>
        <v>0</v>
      </c>
      <c r="DK23" s="77">
        <f t="shared" si="71"/>
        <v>0</v>
      </c>
      <c r="DL23" s="79"/>
      <c r="DM23" s="78">
        <f t="shared" si="153"/>
        <v>0</v>
      </c>
      <c r="DN23" s="78">
        <f t="shared" si="72"/>
        <v>0</v>
      </c>
      <c r="DO23" s="78">
        <f t="shared" si="73"/>
        <v>0</v>
      </c>
      <c r="DP23" s="79">
        <f t="shared" si="74"/>
        <v>0</v>
      </c>
      <c r="DQ23" s="77">
        <f t="shared" si="75"/>
        <v>0</v>
      </c>
      <c r="DR23" s="79"/>
      <c r="DS23" s="78">
        <f t="shared" si="154"/>
        <v>0</v>
      </c>
      <c r="DT23" s="78">
        <f t="shared" si="76"/>
        <v>0</v>
      </c>
      <c r="DU23" s="78">
        <f t="shared" si="77"/>
        <v>0</v>
      </c>
      <c r="DV23" s="79">
        <f t="shared" si="78"/>
        <v>0</v>
      </c>
      <c r="DW23" s="77">
        <f t="shared" si="79"/>
        <v>0</v>
      </c>
      <c r="DX23" s="79"/>
      <c r="DY23" s="78">
        <f t="shared" si="155"/>
        <v>0</v>
      </c>
      <c r="DZ23" s="78">
        <f t="shared" si="80"/>
        <v>0</v>
      </c>
      <c r="EA23" s="78">
        <f t="shared" si="81"/>
        <v>0</v>
      </c>
      <c r="EB23" s="79">
        <f t="shared" si="82"/>
        <v>0</v>
      </c>
      <c r="EC23" s="77">
        <f t="shared" si="83"/>
        <v>0</v>
      </c>
      <c r="ED23" s="79"/>
      <c r="EE23" s="78">
        <f t="shared" si="156"/>
        <v>0</v>
      </c>
      <c r="EF23" s="78">
        <f t="shared" si="84"/>
        <v>0</v>
      </c>
      <c r="EG23" s="78">
        <f t="shared" si="85"/>
        <v>0</v>
      </c>
      <c r="EH23" s="79">
        <f t="shared" si="86"/>
        <v>0</v>
      </c>
      <c r="EI23" s="77">
        <f t="shared" si="87"/>
        <v>0</v>
      </c>
      <c r="EJ23" s="79"/>
      <c r="EK23" s="78">
        <f t="shared" si="157"/>
        <v>0</v>
      </c>
      <c r="EL23" s="78">
        <f t="shared" si="88"/>
        <v>0</v>
      </c>
      <c r="EM23" s="78">
        <f t="shared" si="89"/>
        <v>0</v>
      </c>
      <c r="EN23" s="79">
        <f t="shared" si="90"/>
        <v>0</v>
      </c>
      <c r="EO23" s="77">
        <f t="shared" si="91"/>
        <v>0</v>
      </c>
      <c r="EP23" s="79"/>
      <c r="EQ23" s="78">
        <f t="shared" si="158"/>
        <v>0</v>
      </c>
      <c r="ER23" s="78">
        <f t="shared" si="92"/>
        <v>0</v>
      </c>
      <c r="ES23" s="78">
        <f t="shared" si="93"/>
        <v>0</v>
      </c>
      <c r="ET23" s="79">
        <f t="shared" si="94"/>
        <v>0</v>
      </c>
      <c r="EU23" s="77">
        <f t="shared" si="95"/>
        <v>0</v>
      </c>
      <c r="EV23" s="79"/>
      <c r="EW23" s="78">
        <f t="shared" si="159"/>
        <v>0</v>
      </c>
      <c r="EX23" s="78">
        <f t="shared" si="96"/>
        <v>0</v>
      </c>
      <c r="EY23" s="78">
        <f t="shared" si="97"/>
        <v>0</v>
      </c>
      <c r="EZ23" s="79">
        <f t="shared" si="98"/>
        <v>0</v>
      </c>
      <c r="FA23" s="77">
        <f t="shared" si="99"/>
        <v>0</v>
      </c>
      <c r="FB23" s="79"/>
      <c r="FC23" s="78">
        <f t="shared" si="160"/>
        <v>0</v>
      </c>
      <c r="FD23" s="78">
        <f t="shared" si="100"/>
        <v>0</v>
      </c>
      <c r="FE23" s="78">
        <f t="shared" si="101"/>
        <v>0</v>
      </c>
      <c r="FF23" s="79">
        <f t="shared" si="102"/>
        <v>0</v>
      </c>
      <c r="FG23" s="77">
        <f t="shared" si="103"/>
        <v>0</v>
      </c>
      <c r="FH23" s="79"/>
      <c r="FI23" s="78">
        <f t="shared" si="161"/>
        <v>0</v>
      </c>
      <c r="FJ23" s="78">
        <f t="shared" si="104"/>
        <v>0</v>
      </c>
      <c r="FK23" s="78">
        <f t="shared" si="105"/>
        <v>0</v>
      </c>
      <c r="FL23" s="79">
        <f t="shared" si="106"/>
        <v>0</v>
      </c>
      <c r="FM23" s="77">
        <f t="shared" si="107"/>
        <v>0</v>
      </c>
      <c r="FN23" s="79"/>
      <c r="FO23" s="78">
        <f t="shared" si="162"/>
        <v>0</v>
      </c>
      <c r="FP23" s="78">
        <f t="shared" si="108"/>
        <v>0</v>
      </c>
      <c r="FQ23" s="78">
        <f t="shared" si="109"/>
        <v>0</v>
      </c>
      <c r="FR23" s="79">
        <f t="shared" si="110"/>
        <v>0</v>
      </c>
      <c r="FS23" s="77">
        <f t="shared" si="111"/>
        <v>0</v>
      </c>
      <c r="FT23" s="79"/>
      <c r="FU23" s="78">
        <f t="shared" si="163"/>
        <v>0</v>
      </c>
      <c r="FV23" s="78">
        <f t="shared" si="112"/>
        <v>0</v>
      </c>
      <c r="FW23" s="78">
        <f t="shared" si="113"/>
        <v>0</v>
      </c>
      <c r="FX23" s="79">
        <f t="shared" si="114"/>
        <v>0</v>
      </c>
      <c r="FY23" s="77">
        <f t="shared" si="115"/>
        <v>0</v>
      </c>
      <c r="FZ23" s="79"/>
      <c r="GA23" s="78">
        <f t="shared" si="164"/>
        <v>0</v>
      </c>
      <c r="GB23" s="78">
        <f t="shared" si="116"/>
        <v>0</v>
      </c>
      <c r="GC23" s="78">
        <f t="shared" si="117"/>
        <v>0</v>
      </c>
      <c r="GD23" s="79">
        <f t="shared" si="118"/>
        <v>0</v>
      </c>
      <c r="GE23" s="77">
        <f t="shared" si="119"/>
        <v>0</v>
      </c>
      <c r="GF23" s="79"/>
      <c r="GG23" s="78">
        <f t="shared" si="165"/>
        <v>0</v>
      </c>
      <c r="GH23" s="78">
        <f t="shared" si="120"/>
        <v>0</v>
      </c>
      <c r="GI23" s="78">
        <f t="shared" si="121"/>
        <v>0</v>
      </c>
      <c r="GJ23" s="79">
        <f t="shared" si="122"/>
        <v>0</v>
      </c>
      <c r="GK23" s="77">
        <f t="shared" si="123"/>
        <v>0</v>
      </c>
      <c r="GL23" s="79"/>
      <c r="GM23" s="78">
        <f t="shared" si="166"/>
        <v>0</v>
      </c>
      <c r="GN23" s="78">
        <f t="shared" si="124"/>
        <v>0</v>
      </c>
      <c r="GO23" s="78">
        <f t="shared" si="125"/>
        <v>0</v>
      </c>
      <c r="GP23" s="79">
        <f t="shared" si="126"/>
        <v>0</v>
      </c>
      <c r="GQ23" s="77">
        <f t="shared" si="127"/>
        <v>0</v>
      </c>
      <c r="GR23" s="79"/>
      <c r="GS23" s="78">
        <f t="shared" si="167"/>
        <v>0</v>
      </c>
      <c r="GT23" s="78">
        <f t="shared" si="128"/>
        <v>0</v>
      </c>
      <c r="GU23" s="78">
        <f t="shared" si="129"/>
        <v>0</v>
      </c>
      <c r="GV23" s="79">
        <f t="shared" si="130"/>
        <v>0</v>
      </c>
      <c r="GW23" s="77">
        <f t="shared" si="131"/>
        <v>0</v>
      </c>
      <c r="GX23" s="79"/>
      <c r="GY23" s="78">
        <f t="shared" si="168"/>
        <v>0</v>
      </c>
      <c r="GZ23" s="78">
        <f t="shared" si="132"/>
        <v>0</v>
      </c>
      <c r="HA23" s="78">
        <f t="shared" si="133"/>
        <v>0</v>
      </c>
      <c r="HB23" s="79">
        <f t="shared" si="134"/>
        <v>0</v>
      </c>
      <c r="HC23" s="77">
        <f t="shared" si="135"/>
        <v>0</v>
      </c>
      <c r="HD23" s="79"/>
      <c r="HE23" s="79"/>
      <c r="HF23" s="79"/>
      <c r="HG23" s="79"/>
      <c r="HH23" s="79"/>
      <c r="HI23" s="79"/>
    </row>
    <row r="24" spans="1:217" s="52" customFormat="1" ht="12" hidden="1">
      <c r="A24" s="51">
        <v>44835</v>
      </c>
      <c r="C24" s="80"/>
      <c r="D24" s="80"/>
      <c r="E24" s="77">
        <f t="shared" si="0"/>
        <v>0</v>
      </c>
      <c r="F24" s="77"/>
      <c r="G24" s="77"/>
      <c r="H24" s="79"/>
      <c r="I24" s="79"/>
      <c r="J24" s="79">
        <f t="shared" si="1"/>
        <v>0</v>
      </c>
      <c r="K24" s="79">
        <f t="shared" si="2"/>
        <v>0</v>
      </c>
      <c r="L24" s="79">
        <f t="shared" si="3"/>
        <v>0</v>
      </c>
      <c r="M24" s="79">
        <f t="shared" si="3"/>
        <v>0</v>
      </c>
      <c r="N24" s="79"/>
      <c r="O24" s="78"/>
      <c r="P24" s="78">
        <f t="shared" si="4"/>
        <v>0</v>
      </c>
      <c r="Q24" s="79">
        <f t="shared" si="5"/>
        <v>0</v>
      </c>
      <c r="R24" s="79">
        <f t="shared" si="6"/>
        <v>0</v>
      </c>
      <c r="S24" s="77">
        <f t="shared" si="7"/>
        <v>0</v>
      </c>
      <c r="T24" s="79"/>
      <c r="U24" s="78"/>
      <c r="V24" s="78">
        <f t="shared" si="8"/>
        <v>0</v>
      </c>
      <c r="W24" s="78">
        <f t="shared" si="9"/>
        <v>0</v>
      </c>
      <c r="X24" s="79">
        <f t="shared" si="10"/>
        <v>0</v>
      </c>
      <c r="Y24" s="77">
        <f t="shared" si="11"/>
        <v>0</v>
      </c>
      <c r="Z24" s="79"/>
      <c r="AA24" s="79"/>
      <c r="AB24" s="78">
        <f t="shared" si="12"/>
        <v>0</v>
      </c>
      <c r="AC24" s="78">
        <f t="shared" si="13"/>
        <v>0</v>
      </c>
      <c r="AD24" s="79">
        <f t="shared" si="14"/>
        <v>0</v>
      </c>
      <c r="AE24" s="77">
        <f t="shared" si="15"/>
        <v>0</v>
      </c>
      <c r="AF24" s="79"/>
      <c r="AG24" s="78"/>
      <c r="AH24" s="78">
        <f t="shared" si="16"/>
        <v>0</v>
      </c>
      <c r="AI24" s="78">
        <f t="shared" si="17"/>
        <v>0</v>
      </c>
      <c r="AJ24" s="79">
        <f t="shared" si="18"/>
        <v>0</v>
      </c>
      <c r="AK24" s="77">
        <f t="shared" si="19"/>
        <v>0</v>
      </c>
      <c r="AL24" s="79"/>
      <c r="AM24" s="78"/>
      <c r="AN24" s="78">
        <f t="shared" si="20"/>
        <v>0</v>
      </c>
      <c r="AO24" s="78">
        <f t="shared" si="21"/>
        <v>0</v>
      </c>
      <c r="AP24" s="79">
        <f t="shared" si="22"/>
        <v>0</v>
      </c>
      <c r="AQ24" s="77">
        <f t="shared" si="23"/>
        <v>0</v>
      </c>
      <c r="AR24" s="78"/>
      <c r="AS24" s="78"/>
      <c r="AT24" s="78">
        <f t="shared" si="24"/>
        <v>0</v>
      </c>
      <c r="AU24" s="78">
        <f t="shared" si="25"/>
        <v>0</v>
      </c>
      <c r="AV24" s="79">
        <f t="shared" si="26"/>
        <v>0</v>
      </c>
      <c r="AW24" s="77">
        <f t="shared" si="27"/>
        <v>0</v>
      </c>
      <c r="AX24" s="79"/>
      <c r="AY24" s="78"/>
      <c r="AZ24" s="78">
        <f t="shared" si="28"/>
        <v>0</v>
      </c>
      <c r="BA24" s="78">
        <f t="shared" si="29"/>
        <v>0</v>
      </c>
      <c r="BB24" s="79">
        <f t="shared" si="30"/>
        <v>0</v>
      </c>
      <c r="BC24" s="77">
        <f t="shared" si="31"/>
        <v>0</v>
      </c>
      <c r="BD24" s="79"/>
      <c r="BE24" s="78"/>
      <c r="BF24" s="78">
        <f t="shared" si="32"/>
        <v>0</v>
      </c>
      <c r="BG24" s="78">
        <f t="shared" si="33"/>
        <v>0</v>
      </c>
      <c r="BH24" s="79">
        <f t="shared" si="34"/>
        <v>0</v>
      </c>
      <c r="BI24" s="77">
        <f t="shared" si="35"/>
        <v>0</v>
      </c>
      <c r="BJ24" s="79"/>
      <c r="BK24" s="78"/>
      <c r="BL24" s="78">
        <f t="shared" si="36"/>
        <v>0</v>
      </c>
      <c r="BM24" s="78">
        <f t="shared" si="37"/>
        <v>0</v>
      </c>
      <c r="BN24" s="79">
        <f t="shared" si="38"/>
        <v>0</v>
      </c>
      <c r="BO24" s="77">
        <f t="shared" si="39"/>
        <v>0</v>
      </c>
      <c r="BP24" s="79"/>
      <c r="BQ24" s="78"/>
      <c r="BR24" s="78">
        <f t="shared" si="40"/>
        <v>0</v>
      </c>
      <c r="BS24" s="78">
        <f t="shared" si="41"/>
        <v>0</v>
      </c>
      <c r="BT24" s="79">
        <f t="shared" si="42"/>
        <v>0</v>
      </c>
      <c r="BU24" s="77">
        <f t="shared" si="43"/>
        <v>0</v>
      </c>
      <c r="BV24" s="79"/>
      <c r="BW24" s="78"/>
      <c r="BX24" s="78">
        <f t="shared" si="44"/>
        <v>0</v>
      </c>
      <c r="BY24" s="78">
        <f t="shared" si="45"/>
        <v>0</v>
      </c>
      <c r="BZ24" s="79">
        <f t="shared" si="46"/>
        <v>0</v>
      </c>
      <c r="CA24" s="77">
        <f t="shared" si="47"/>
        <v>0</v>
      </c>
      <c r="CB24" s="78"/>
      <c r="CC24" s="78"/>
      <c r="CD24" s="78">
        <f t="shared" si="48"/>
        <v>0</v>
      </c>
      <c r="CE24" s="78">
        <f t="shared" si="49"/>
        <v>0</v>
      </c>
      <c r="CF24" s="79">
        <f t="shared" si="50"/>
        <v>0</v>
      </c>
      <c r="CG24" s="77">
        <f t="shared" si="51"/>
        <v>0</v>
      </c>
      <c r="CH24" s="79"/>
      <c r="CI24" s="78"/>
      <c r="CJ24" s="78">
        <f t="shared" si="52"/>
        <v>0</v>
      </c>
      <c r="CK24" s="78">
        <f t="shared" si="53"/>
        <v>0</v>
      </c>
      <c r="CL24" s="79">
        <f t="shared" si="54"/>
        <v>0</v>
      </c>
      <c r="CM24" s="77">
        <f t="shared" si="55"/>
        <v>0</v>
      </c>
      <c r="CN24" s="79"/>
      <c r="CO24" s="78"/>
      <c r="CP24" s="78">
        <f t="shared" si="56"/>
        <v>0</v>
      </c>
      <c r="CQ24" s="78">
        <f t="shared" si="57"/>
        <v>0</v>
      </c>
      <c r="CR24" s="79">
        <f t="shared" si="58"/>
        <v>0</v>
      </c>
      <c r="CS24" s="77">
        <f t="shared" si="59"/>
        <v>0</v>
      </c>
      <c r="CT24" s="79"/>
      <c r="CU24" s="78"/>
      <c r="CV24" s="78">
        <f t="shared" si="60"/>
        <v>0</v>
      </c>
      <c r="CW24" s="78">
        <f t="shared" si="61"/>
        <v>0</v>
      </c>
      <c r="CX24" s="79">
        <f t="shared" si="62"/>
        <v>0</v>
      </c>
      <c r="CY24" s="77">
        <f t="shared" si="63"/>
        <v>0</v>
      </c>
      <c r="CZ24" s="79"/>
      <c r="DA24" s="78"/>
      <c r="DB24" s="78">
        <f t="shared" si="64"/>
        <v>0</v>
      </c>
      <c r="DC24" s="78">
        <f t="shared" si="65"/>
        <v>0</v>
      </c>
      <c r="DD24" s="79">
        <f t="shared" si="66"/>
        <v>0</v>
      </c>
      <c r="DE24" s="77">
        <f t="shared" si="67"/>
        <v>0</v>
      </c>
      <c r="DF24" s="79"/>
      <c r="DG24" s="78"/>
      <c r="DH24" s="78">
        <f t="shared" si="68"/>
        <v>0</v>
      </c>
      <c r="DI24" s="78">
        <f t="shared" si="69"/>
        <v>0</v>
      </c>
      <c r="DJ24" s="79">
        <f t="shared" si="70"/>
        <v>0</v>
      </c>
      <c r="DK24" s="77">
        <f t="shared" si="71"/>
        <v>0</v>
      </c>
      <c r="DL24" s="79"/>
      <c r="DM24" s="78"/>
      <c r="DN24" s="78">
        <f t="shared" si="72"/>
        <v>0</v>
      </c>
      <c r="DO24" s="78">
        <f t="shared" si="73"/>
        <v>0</v>
      </c>
      <c r="DP24" s="79">
        <f t="shared" si="74"/>
        <v>0</v>
      </c>
      <c r="DQ24" s="77">
        <f t="shared" si="75"/>
        <v>0</v>
      </c>
      <c r="DR24" s="79"/>
      <c r="DS24" s="78"/>
      <c r="DT24" s="78">
        <f t="shared" si="76"/>
        <v>0</v>
      </c>
      <c r="DU24" s="78">
        <f t="shared" si="77"/>
        <v>0</v>
      </c>
      <c r="DV24" s="79">
        <f t="shared" si="78"/>
        <v>0</v>
      </c>
      <c r="DW24" s="77">
        <f t="shared" si="79"/>
        <v>0</v>
      </c>
      <c r="DX24" s="79"/>
      <c r="DY24" s="78"/>
      <c r="DZ24" s="78">
        <f t="shared" si="80"/>
        <v>0</v>
      </c>
      <c r="EA24" s="78">
        <f t="shared" si="81"/>
        <v>0</v>
      </c>
      <c r="EB24" s="79">
        <f t="shared" si="82"/>
        <v>0</v>
      </c>
      <c r="EC24" s="77">
        <f t="shared" si="83"/>
        <v>0</v>
      </c>
      <c r="ED24" s="79"/>
      <c r="EE24" s="78"/>
      <c r="EF24" s="78">
        <f t="shared" si="84"/>
        <v>0</v>
      </c>
      <c r="EG24" s="78">
        <f t="shared" si="85"/>
        <v>0</v>
      </c>
      <c r="EH24" s="79">
        <f t="shared" si="86"/>
        <v>0</v>
      </c>
      <c r="EI24" s="77">
        <f t="shared" si="87"/>
        <v>0</v>
      </c>
      <c r="EJ24" s="79"/>
      <c r="EK24" s="78"/>
      <c r="EL24" s="78">
        <f t="shared" si="88"/>
        <v>0</v>
      </c>
      <c r="EM24" s="78">
        <f t="shared" si="89"/>
        <v>0</v>
      </c>
      <c r="EN24" s="79">
        <f t="shared" si="90"/>
        <v>0</v>
      </c>
      <c r="EO24" s="77">
        <f t="shared" si="91"/>
        <v>0</v>
      </c>
      <c r="EP24" s="79"/>
      <c r="EQ24" s="78"/>
      <c r="ER24" s="78">
        <f t="shared" si="92"/>
        <v>0</v>
      </c>
      <c r="ES24" s="78">
        <f t="shared" si="93"/>
        <v>0</v>
      </c>
      <c r="ET24" s="79">
        <f t="shared" si="94"/>
        <v>0</v>
      </c>
      <c r="EU24" s="77">
        <f t="shared" si="95"/>
        <v>0</v>
      </c>
      <c r="EV24" s="79"/>
      <c r="EW24" s="78"/>
      <c r="EX24" s="78">
        <f t="shared" si="96"/>
        <v>0</v>
      </c>
      <c r="EY24" s="78">
        <f t="shared" si="97"/>
        <v>0</v>
      </c>
      <c r="EZ24" s="79">
        <f t="shared" si="98"/>
        <v>0</v>
      </c>
      <c r="FA24" s="77">
        <f t="shared" si="99"/>
        <v>0</v>
      </c>
      <c r="FB24" s="79"/>
      <c r="FC24" s="78"/>
      <c r="FD24" s="78">
        <f t="shared" si="100"/>
        <v>0</v>
      </c>
      <c r="FE24" s="78">
        <f t="shared" si="101"/>
        <v>0</v>
      </c>
      <c r="FF24" s="79">
        <f t="shared" si="102"/>
        <v>0</v>
      </c>
      <c r="FG24" s="77">
        <f t="shared" si="103"/>
        <v>0</v>
      </c>
      <c r="FH24" s="79"/>
      <c r="FI24" s="78"/>
      <c r="FJ24" s="78">
        <f t="shared" si="104"/>
        <v>0</v>
      </c>
      <c r="FK24" s="78">
        <f t="shared" si="105"/>
        <v>0</v>
      </c>
      <c r="FL24" s="79">
        <f t="shared" si="106"/>
        <v>0</v>
      </c>
      <c r="FM24" s="77">
        <f t="shared" si="107"/>
        <v>0</v>
      </c>
      <c r="FN24" s="79"/>
      <c r="FO24" s="78"/>
      <c r="FP24" s="78">
        <f t="shared" si="108"/>
        <v>0</v>
      </c>
      <c r="FQ24" s="78">
        <f t="shared" si="109"/>
        <v>0</v>
      </c>
      <c r="FR24" s="79">
        <f t="shared" si="110"/>
        <v>0</v>
      </c>
      <c r="FS24" s="77">
        <f t="shared" si="111"/>
        <v>0</v>
      </c>
      <c r="FT24" s="79"/>
      <c r="FU24" s="78"/>
      <c r="FV24" s="78">
        <f t="shared" si="112"/>
        <v>0</v>
      </c>
      <c r="FW24" s="78">
        <f t="shared" si="113"/>
        <v>0</v>
      </c>
      <c r="FX24" s="79">
        <f t="shared" si="114"/>
        <v>0</v>
      </c>
      <c r="FY24" s="77">
        <f t="shared" si="115"/>
        <v>0</v>
      </c>
      <c r="FZ24" s="79"/>
      <c r="GA24" s="78"/>
      <c r="GB24" s="78">
        <f t="shared" si="116"/>
        <v>0</v>
      </c>
      <c r="GC24" s="78">
        <f t="shared" si="117"/>
        <v>0</v>
      </c>
      <c r="GD24" s="79">
        <f t="shared" si="118"/>
        <v>0</v>
      </c>
      <c r="GE24" s="77">
        <f t="shared" si="119"/>
        <v>0</v>
      </c>
      <c r="GF24" s="79"/>
      <c r="GG24" s="78"/>
      <c r="GH24" s="78">
        <f t="shared" si="120"/>
        <v>0</v>
      </c>
      <c r="GI24" s="78">
        <f t="shared" si="121"/>
        <v>0</v>
      </c>
      <c r="GJ24" s="79">
        <f t="shared" si="122"/>
        <v>0</v>
      </c>
      <c r="GK24" s="77">
        <f t="shared" si="123"/>
        <v>0</v>
      </c>
      <c r="GL24" s="79"/>
      <c r="GM24" s="78"/>
      <c r="GN24" s="78">
        <f t="shared" si="124"/>
        <v>0</v>
      </c>
      <c r="GO24" s="78">
        <f t="shared" si="125"/>
        <v>0</v>
      </c>
      <c r="GP24" s="79">
        <f t="shared" si="126"/>
        <v>0</v>
      </c>
      <c r="GQ24" s="77">
        <f t="shared" si="127"/>
        <v>0</v>
      </c>
      <c r="GR24" s="79"/>
      <c r="GS24" s="78"/>
      <c r="GT24" s="78">
        <f t="shared" si="128"/>
        <v>0</v>
      </c>
      <c r="GU24" s="78">
        <f t="shared" si="129"/>
        <v>0</v>
      </c>
      <c r="GV24" s="79">
        <f t="shared" si="130"/>
        <v>0</v>
      </c>
      <c r="GW24" s="77">
        <f t="shared" si="131"/>
        <v>0</v>
      </c>
      <c r="GX24" s="79"/>
      <c r="GY24" s="78"/>
      <c r="GZ24" s="78">
        <f t="shared" si="132"/>
        <v>0</v>
      </c>
      <c r="HA24" s="78">
        <f t="shared" si="133"/>
        <v>0</v>
      </c>
      <c r="HB24" s="79">
        <f t="shared" si="134"/>
        <v>0</v>
      </c>
      <c r="HC24" s="77">
        <f t="shared" si="135"/>
        <v>0</v>
      </c>
      <c r="HD24" s="79"/>
      <c r="HE24" s="79"/>
      <c r="HF24" s="79"/>
      <c r="HG24" s="79"/>
      <c r="HH24" s="79"/>
      <c r="HI24" s="79"/>
    </row>
    <row r="25" spans="1:217" s="52" customFormat="1" ht="12" hidden="1">
      <c r="A25" s="51">
        <v>45017</v>
      </c>
      <c r="C25" s="80"/>
      <c r="D25" s="80"/>
      <c r="E25" s="77">
        <f t="shared" si="0"/>
        <v>0</v>
      </c>
      <c r="F25" s="77"/>
      <c r="G25" s="77"/>
      <c r="H25" s="79"/>
      <c r="I25" s="79">
        <f>O25+U25+AA25+AG25+AM25+AS25+AY25+BE25+BK25+BQ25+BW25+CC25+CI25+CO25+CU25+DA25+DG25+DM25+DS25+DY25+EE25+EK25+EQ25+EW25+FC25+FI25+FO25+FU25+GA25+GG25+GM25+GS25+GY25</f>
        <v>0</v>
      </c>
      <c r="J25" s="79">
        <f t="shared" si="1"/>
        <v>0</v>
      </c>
      <c r="K25" s="79">
        <f t="shared" si="2"/>
        <v>0</v>
      </c>
      <c r="L25" s="79">
        <f t="shared" si="3"/>
        <v>0</v>
      </c>
      <c r="M25" s="79">
        <f t="shared" si="3"/>
        <v>0</v>
      </c>
      <c r="N25" s="79"/>
      <c r="O25" s="78">
        <f t="shared" si="136"/>
        <v>0</v>
      </c>
      <c r="P25" s="78">
        <f t="shared" si="4"/>
        <v>0</v>
      </c>
      <c r="Q25" s="79">
        <f t="shared" si="5"/>
        <v>0</v>
      </c>
      <c r="R25" s="79">
        <f t="shared" si="6"/>
        <v>0</v>
      </c>
      <c r="S25" s="77">
        <f t="shared" si="7"/>
        <v>0</v>
      </c>
      <c r="T25" s="79"/>
      <c r="U25" s="78">
        <f t="shared" si="137"/>
        <v>0</v>
      </c>
      <c r="V25" s="78">
        <f t="shared" si="8"/>
        <v>0</v>
      </c>
      <c r="W25" s="78">
        <f t="shared" si="9"/>
        <v>0</v>
      </c>
      <c r="X25" s="79">
        <f t="shared" si="10"/>
        <v>0</v>
      </c>
      <c r="Y25" s="77">
        <f t="shared" si="11"/>
        <v>0</v>
      </c>
      <c r="Z25" s="79"/>
      <c r="AA25" s="79">
        <f t="shared" si="138"/>
        <v>0</v>
      </c>
      <c r="AB25" s="78">
        <f t="shared" si="12"/>
        <v>0</v>
      </c>
      <c r="AC25" s="78">
        <f t="shared" si="13"/>
        <v>0</v>
      </c>
      <c r="AD25" s="79">
        <f t="shared" si="14"/>
        <v>0</v>
      </c>
      <c r="AE25" s="77">
        <f t="shared" si="15"/>
        <v>0</v>
      </c>
      <c r="AF25" s="79"/>
      <c r="AG25" s="78">
        <f t="shared" si="139"/>
        <v>0</v>
      </c>
      <c r="AH25" s="78">
        <f t="shared" si="16"/>
        <v>0</v>
      </c>
      <c r="AI25" s="78">
        <f t="shared" si="17"/>
        <v>0</v>
      </c>
      <c r="AJ25" s="79">
        <f t="shared" si="18"/>
        <v>0</v>
      </c>
      <c r="AK25" s="77">
        <f t="shared" si="19"/>
        <v>0</v>
      </c>
      <c r="AL25" s="79"/>
      <c r="AM25" s="78">
        <f t="shared" si="140"/>
        <v>0</v>
      </c>
      <c r="AN25" s="78">
        <f t="shared" si="20"/>
        <v>0</v>
      </c>
      <c r="AO25" s="78">
        <f t="shared" si="21"/>
        <v>0</v>
      </c>
      <c r="AP25" s="79">
        <f t="shared" si="22"/>
        <v>0</v>
      </c>
      <c r="AQ25" s="77">
        <f t="shared" si="23"/>
        <v>0</v>
      </c>
      <c r="AR25" s="78"/>
      <c r="AS25" s="78">
        <f t="shared" si="141"/>
        <v>0</v>
      </c>
      <c r="AT25" s="78">
        <f t="shared" si="24"/>
        <v>0</v>
      </c>
      <c r="AU25" s="78">
        <f t="shared" si="25"/>
        <v>0</v>
      </c>
      <c r="AV25" s="79">
        <f t="shared" si="26"/>
        <v>0</v>
      </c>
      <c r="AW25" s="77">
        <f t="shared" si="27"/>
        <v>0</v>
      </c>
      <c r="AX25" s="79"/>
      <c r="AY25" s="78">
        <f t="shared" si="142"/>
        <v>0</v>
      </c>
      <c r="AZ25" s="78">
        <f t="shared" si="28"/>
        <v>0</v>
      </c>
      <c r="BA25" s="78">
        <f t="shared" si="29"/>
        <v>0</v>
      </c>
      <c r="BB25" s="79">
        <f t="shared" si="30"/>
        <v>0</v>
      </c>
      <c r="BC25" s="77">
        <f t="shared" si="31"/>
        <v>0</v>
      </c>
      <c r="BD25" s="79"/>
      <c r="BE25" s="78">
        <f t="shared" si="143"/>
        <v>0</v>
      </c>
      <c r="BF25" s="78">
        <f t="shared" si="32"/>
        <v>0</v>
      </c>
      <c r="BG25" s="78">
        <f t="shared" si="33"/>
        <v>0</v>
      </c>
      <c r="BH25" s="79">
        <f t="shared" si="34"/>
        <v>0</v>
      </c>
      <c r="BI25" s="77">
        <f t="shared" si="35"/>
        <v>0</v>
      </c>
      <c r="BJ25" s="79"/>
      <c r="BK25" s="78">
        <f t="shared" si="144"/>
        <v>0</v>
      </c>
      <c r="BL25" s="78">
        <f t="shared" si="36"/>
        <v>0</v>
      </c>
      <c r="BM25" s="78">
        <f t="shared" si="37"/>
        <v>0</v>
      </c>
      <c r="BN25" s="79">
        <f t="shared" si="38"/>
        <v>0</v>
      </c>
      <c r="BO25" s="77">
        <f t="shared" si="39"/>
        <v>0</v>
      </c>
      <c r="BP25" s="79"/>
      <c r="BQ25" s="78">
        <f t="shared" si="145"/>
        <v>0</v>
      </c>
      <c r="BR25" s="78">
        <f t="shared" si="40"/>
        <v>0</v>
      </c>
      <c r="BS25" s="78">
        <f t="shared" si="41"/>
        <v>0</v>
      </c>
      <c r="BT25" s="79">
        <f t="shared" si="42"/>
        <v>0</v>
      </c>
      <c r="BU25" s="77">
        <f t="shared" si="43"/>
        <v>0</v>
      </c>
      <c r="BV25" s="79"/>
      <c r="BW25" s="78">
        <f t="shared" si="146"/>
        <v>0</v>
      </c>
      <c r="BX25" s="78">
        <f t="shared" si="44"/>
        <v>0</v>
      </c>
      <c r="BY25" s="78">
        <f t="shared" si="45"/>
        <v>0</v>
      </c>
      <c r="BZ25" s="79">
        <f t="shared" si="46"/>
        <v>0</v>
      </c>
      <c r="CA25" s="77">
        <f t="shared" si="47"/>
        <v>0</v>
      </c>
      <c r="CB25" s="78"/>
      <c r="CC25" s="78">
        <f t="shared" si="147"/>
        <v>0</v>
      </c>
      <c r="CD25" s="78">
        <f t="shared" si="48"/>
        <v>0</v>
      </c>
      <c r="CE25" s="78">
        <f t="shared" si="49"/>
        <v>0</v>
      </c>
      <c r="CF25" s="79">
        <f t="shared" si="50"/>
        <v>0</v>
      </c>
      <c r="CG25" s="77">
        <f t="shared" si="51"/>
        <v>0</v>
      </c>
      <c r="CH25" s="79"/>
      <c r="CI25" s="78">
        <f t="shared" si="148"/>
        <v>0</v>
      </c>
      <c r="CJ25" s="78">
        <f t="shared" si="52"/>
        <v>0</v>
      </c>
      <c r="CK25" s="78">
        <f t="shared" si="53"/>
        <v>0</v>
      </c>
      <c r="CL25" s="79">
        <f t="shared" si="54"/>
        <v>0</v>
      </c>
      <c r="CM25" s="77">
        <f t="shared" si="55"/>
        <v>0</v>
      </c>
      <c r="CN25" s="79"/>
      <c r="CO25" s="78">
        <f t="shared" si="149"/>
        <v>0</v>
      </c>
      <c r="CP25" s="78">
        <f t="shared" si="56"/>
        <v>0</v>
      </c>
      <c r="CQ25" s="78">
        <f t="shared" si="57"/>
        <v>0</v>
      </c>
      <c r="CR25" s="79">
        <f t="shared" si="58"/>
        <v>0</v>
      </c>
      <c r="CS25" s="77">
        <f t="shared" si="59"/>
        <v>0</v>
      </c>
      <c r="CT25" s="79"/>
      <c r="CU25" s="78">
        <f t="shared" si="150"/>
        <v>0</v>
      </c>
      <c r="CV25" s="78">
        <f t="shared" si="60"/>
        <v>0</v>
      </c>
      <c r="CW25" s="78">
        <f t="shared" si="61"/>
        <v>0</v>
      </c>
      <c r="CX25" s="79">
        <f t="shared" si="62"/>
        <v>0</v>
      </c>
      <c r="CY25" s="77">
        <f t="shared" si="63"/>
        <v>0</v>
      </c>
      <c r="CZ25" s="79"/>
      <c r="DA25" s="78">
        <f t="shared" si="151"/>
        <v>0</v>
      </c>
      <c r="DB25" s="78">
        <f t="shared" si="64"/>
        <v>0</v>
      </c>
      <c r="DC25" s="78">
        <f t="shared" si="65"/>
        <v>0</v>
      </c>
      <c r="DD25" s="79">
        <f t="shared" si="66"/>
        <v>0</v>
      </c>
      <c r="DE25" s="77">
        <f t="shared" si="67"/>
        <v>0</v>
      </c>
      <c r="DF25" s="79"/>
      <c r="DG25" s="78">
        <f t="shared" si="152"/>
        <v>0</v>
      </c>
      <c r="DH25" s="78">
        <f t="shared" si="68"/>
        <v>0</v>
      </c>
      <c r="DI25" s="78">
        <f t="shared" si="69"/>
        <v>0</v>
      </c>
      <c r="DJ25" s="79">
        <f t="shared" si="70"/>
        <v>0</v>
      </c>
      <c r="DK25" s="77">
        <f t="shared" si="71"/>
        <v>0</v>
      </c>
      <c r="DL25" s="79"/>
      <c r="DM25" s="78">
        <f t="shared" si="153"/>
        <v>0</v>
      </c>
      <c r="DN25" s="78">
        <f t="shared" si="72"/>
        <v>0</v>
      </c>
      <c r="DO25" s="78">
        <f t="shared" si="73"/>
        <v>0</v>
      </c>
      <c r="DP25" s="79">
        <f t="shared" si="74"/>
        <v>0</v>
      </c>
      <c r="DQ25" s="77">
        <f t="shared" si="75"/>
        <v>0</v>
      </c>
      <c r="DR25" s="79"/>
      <c r="DS25" s="78">
        <f t="shared" si="154"/>
        <v>0</v>
      </c>
      <c r="DT25" s="78">
        <f t="shared" si="76"/>
        <v>0</v>
      </c>
      <c r="DU25" s="78">
        <f t="shared" si="77"/>
        <v>0</v>
      </c>
      <c r="DV25" s="79">
        <f t="shared" si="78"/>
        <v>0</v>
      </c>
      <c r="DW25" s="77">
        <f t="shared" si="79"/>
        <v>0</v>
      </c>
      <c r="DX25" s="79"/>
      <c r="DY25" s="78">
        <f t="shared" si="155"/>
        <v>0</v>
      </c>
      <c r="DZ25" s="78">
        <f t="shared" si="80"/>
        <v>0</v>
      </c>
      <c r="EA25" s="78">
        <f t="shared" si="81"/>
        <v>0</v>
      </c>
      <c r="EB25" s="79">
        <f t="shared" si="82"/>
        <v>0</v>
      </c>
      <c r="EC25" s="77">
        <f t="shared" si="83"/>
        <v>0</v>
      </c>
      <c r="ED25" s="79"/>
      <c r="EE25" s="78">
        <f t="shared" si="156"/>
        <v>0</v>
      </c>
      <c r="EF25" s="78">
        <f t="shared" si="84"/>
        <v>0</v>
      </c>
      <c r="EG25" s="78">
        <f t="shared" si="85"/>
        <v>0</v>
      </c>
      <c r="EH25" s="79">
        <f t="shared" si="86"/>
        <v>0</v>
      </c>
      <c r="EI25" s="77">
        <f t="shared" si="87"/>
        <v>0</v>
      </c>
      <c r="EJ25" s="79"/>
      <c r="EK25" s="78">
        <f t="shared" si="157"/>
        <v>0</v>
      </c>
      <c r="EL25" s="78">
        <f t="shared" si="88"/>
        <v>0</v>
      </c>
      <c r="EM25" s="78">
        <f t="shared" si="89"/>
        <v>0</v>
      </c>
      <c r="EN25" s="79">
        <f t="shared" si="90"/>
        <v>0</v>
      </c>
      <c r="EO25" s="77">
        <f t="shared" si="91"/>
        <v>0</v>
      </c>
      <c r="EP25" s="79"/>
      <c r="EQ25" s="78">
        <f t="shared" si="158"/>
        <v>0</v>
      </c>
      <c r="ER25" s="78">
        <f t="shared" si="92"/>
        <v>0</v>
      </c>
      <c r="ES25" s="78">
        <f t="shared" si="93"/>
        <v>0</v>
      </c>
      <c r="ET25" s="79">
        <f t="shared" si="94"/>
        <v>0</v>
      </c>
      <c r="EU25" s="77">
        <f t="shared" si="95"/>
        <v>0</v>
      </c>
      <c r="EV25" s="79"/>
      <c r="EW25" s="78">
        <f t="shared" si="159"/>
        <v>0</v>
      </c>
      <c r="EX25" s="78">
        <f t="shared" si="96"/>
        <v>0</v>
      </c>
      <c r="EY25" s="78">
        <f t="shared" si="97"/>
        <v>0</v>
      </c>
      <c r="EZ25" s="79">
        <f t="shared" si="98"/>
        <v>0</v>
      </c>
      <c r="FA25" s="77">
        <f t="shared" si="99"/>
        <v>0</v>
      </c>
      <c r="FB25" s="79"/>
      <c r="FC25" s="78">
        <f t="shared" si="160"/>
        <v>0</v>
      </c>
      <c r="FD25" s="78">
        <f t="shared" si="100"/>
        <v>0</v>
      </c>
      <c r="FE25" s="78">
        <f t="shared" si="101"/>
        <v>0</v>
      </c>
      <c r="FF25" s="79">
        <f t="shared" si="102"/>
        <v>0</v>
      </c>
      <c r="FG25" s="77">
        <f t="shared" si="103"/>
        <v>0</v>
      </c>
      <c r="FH25" s="79"/>
      <c r="FI25" s="78">
        <f t="shared" si="161"/>
        <v>0</v>
      </c>
      <c r="FJ25" s="78">
        <f t="shared" si="104"/>
        <v>0</v>
      </c>
      <c r="FK25" s="78">
        <f t="shared" si="105"/>
        <v>0</v>
      </c>
      <c r="FL25" s="79">
        <f t="shared" si="106"/>
        <v>0</v>
      </c>
      <c r="FM25" s="77">
        <f t="shared" si="107"/>
        <v>0</v>
      </c>
      <c r="FN25" s="79"/>
      <c r="FO25" s="78">
        <f t="shared" si="162"/>
        <v>0</v>
      </c>
      <c r="FP25" s="78">
        <f t="shared" si="108"/>
        <v>0</v>
      </c>
      <c r="FQ25" s="78">
        <f t="shared" si="109"/>
        <v>0</v>
      </c>
      <c r="FR25" s="79">
        <f t="shared" si="110"/>
        <v>0</v>
      </c>
      <c r="FS25" s="77">
        <f t="shared" si="111"/>
        <v>0</v>
      </c>
      <c r="FT25" s="79"/>
      <c r="FU25" s="78">
        <f t="shared" si="163"/>
        <v>0</v>
      </c>
      <c r="FV25" s="78">
        <f t="shared" si="112"/>
        <v>0</v>
      </c>
      <c r="FW25" s="78">
        <f t="shared" si="113"/>
        <v>0</v>
      </c>
      <c r="FX25" s="79">
        <f t="shared" si="114"/>
        <v>0</v>
      </c>
      <c r="FY25" s="77">
        <f t="shared" si="115"/>
        <v>0</v>
      </c>
      <c r="FZ25" s="79"/>
      <c r="GA25" s="78">
        <f t="shared" si="164"/>
        <v>0</v>
      </c>
      <c r="GB25" s="78">
        <f t="shared" si="116"/>
        <v>0</v>
      </c>
      <c r="GC25" s="78">
        <f t="shared" si="117"/>
        <v>0</v>
      </c>
      <c r="GD25" s="79">
        <f t="shared" si="118"/>
        <v>0</v>
      </c>
      <c r="GE25" s="77">
        <f t="shared" si="119"/>
        <v>0</v>
      </c>
      <c r="GF25" s="79"/>
      <c r="GG25" s="78">
        <f t="shared" si="165"/>
        <v>0</v>
      </c>
      <c r="GH25" s="78">
        <f t="shared" si="120"/>
        <v>0</v>
      </c>
      <c r="GI25" s="78">
        <f t="shared" si="121"/>
        <v>0</v>
      </c>
      <c r="GJ25" s="79">
        <f t="shared" si="122"/>
        <v>0</v>
      </c>
      <c r="GK25" s="77">
        <f t="shared" si="123"/>
        <v>0</v>
      </c>
      <c r="GL25" s="79"/>
      <c r="GM25" s="78">
        <f t="shared" si="166"/>
        <v>0</v>
      </c>
      <c r="GN25" s="78">
        <f t="shared" si="124"/>
        <v>0</v>
      </c>
      <c r="GO25" s="78">
        <f t="shared" si="125"/>
        <v>0</v>
      </c>
      <c r="GP25" s="79">
        <f t="shared" si="126"/>
        <v>0</v>
      </c>
      <c r="GQ25" s="77">
        <f t="shared" si="127"/>
        <v>0</v>
      </c>
      <c r="GR25" s="79"/>
      <c r="GS25" s="78">
        <f t="shared" si="167"/>
        <v>0</v>
      </c>
      <c r="GT25" s="78">
        <f t="shared" si="128"/>
        <v>0</v>
      </c>
      <c r="GU25" s="78">
        <f t="shared" si="129"/>
        <v>0</v>
      </c>
      <c r="GV25" s="79">
        <f t="shared" si="130"/>
        <v>0</v>
      </c>
      <c r="GW25" s="77">
        <f t="shared" si="131"/>
        <v>0</v>
      </c>
      <c r="GX25" s="79"/>
      <c r="GY25" s="78">
        <f t="shared" si="168"/>
        <v>0</v>
      </c>
      <c r="GZ25" s="78">
        <f t="shared" si="132"/>
        <v>0</v>
      </c>
      <c r="HA25" s="78">
        <f t="shared" si="133"/>
        <v>0</v>
      </c>
      <c r="HB25" s="79">
        <f t="shared" si="134"/>
        <v>0</v>
      </c>
      <c r="HC25" s="77">
        <f t="shared" si="135"/>
        <v>0</v>
      </c>
      <c r="HD25" s="79"/>
      <c r="HE25" s="79"/>
      <c r="HF25" s="79"/>
      <c r="HG25" s="79"/>
      <c r="HH25" s="79"/>
      <c r="HI25" s="79"/>
    </row>
    <row r="26" spans="1:217" s="52" customFormat="1" ht="12" hidden="1">
      <c r="A26" s="51">
        <v>45200</v>
      </c>
      <c r="C26" s="80"/>
      <c r="D26" s="80"/>
      <c r="E26" s="77">
        <f t="shared" si="0"/>
        <v>0</v>
      </c>
      <c r="F26" s="77"/>
      <c r="G26" s="77"/>
      <c r="H26" s="79"/>
      <c r="I26" s="79"/>
      <c r="J26" s="79">
        <f t="shared" si="1"/>
        <v>0</v>
      </c>
      <c r="K26" s="79">
        <f t="shared" si="2"/>
        <v>0</v>
      </c>
      <c r="L26" s="79">
        <f t="shared" si="3"/>
        <v>0</v>
      </c>
      <c r="M26" s="79">
        <f t="shared" si="3"/>
        <v>0</v>
      </c>
      <c r="N26" s="79"/>
      <c r="O26" s="78"/>
      <c r="P26" s="78">
        <f t="shared" si="4"/>
        <v>0</v>
      </c>
      <c r="Q26" s="79">
        <f t="shared" si="5"/>
        <v>0</v>
      </c>
      <c r="R26" s="79">
        <f t="shared" si="6"/>
        <v>0</v>
      </c>
      <c r="S26" s="77">
        <f t="shared" si="7"/>
        <v>0</v>
      </c>
      <c r="T26" s="79"/>
      <c r="U26" s="78"/>
      <c r="V26" s="78">
        <f t="shared" si="8"/>
        <v>0</v>
      </c>
      <c r="W26" s="78">
        <f t="shared" si="9"/>
        <v>0</v>
      </c>
      <c r="X26" s="79">
        <f t="shared" si="10"/>
        <v>0</v>
      </c>
      <c r="Y26" s="77">
        <f t="shared" si="11"/>
        <v>0</v>
      </c>
      <c r="Z26" s="79"/>
      <c r="AA26" s="79"/>
      <c r="AB26" s="78">
        <f t="shared" si="12"/>
        <v>0</v>
      </c>
      <c r="AC26" s="78">
        <f t="shared" si="13"/>
        <v>0</v>
      </c>
      <c r="AD26" s="79">
        <f t="shared" si="14"/>
        <v>0</v>
      </c>
      <c r="AE26" s="77">
        <f t="shared" si="15"/>
        <v>0</v>
      </c>
      <c r="AF26" s="79"/>
      <c r="AG26" s="78"/>
      <c r="AH26" s="78">
        <f t="shared" si="16"/>
        <v>0</v>
      </c>
      <c r="AI26" s="78">
        <f t="shared" si="17"/>
        <v>0</v>
      </c>
      <c r="AJ26" s="79">
        <f t="shared" si="18"/>
        <v>0</v>
      </c>
      <c r="AK26" s="77">
        <f t="shared" si="19"/>
        <v>0</v>
      </c>
      <c r="AL26" s="79"/>
      <c r="AM26" s="78"/>
      <c r="AN26" s="78">
        <f t="shared" si="20"/>
        <v>0</v>
      </c>
      <c r="AO26" s="78">
        <f t="shared" si="21"/>
        <v>0</v>
      </c>
      <c r="AP26" s="79">
        <f t="shared" si="22"/>
        <v>0</v>
      </c>
      <c r="AQ26" s="77">
        <f t="shared" si="23"/>
        <v>0</v>
      </c>
      <c r="AR26" s="78"/>
      <c r="AS26" s="78"/>
      <c r="AT26" s="78">
        <f t="shared" si="24"/>
        <v>0</v>
      </c>
      <c r="AU26" s="78">
        <f t="shared" si="25"/>
        <v>0</v>
      </c>
      <c r="AV26" s="79">
        <f t="shared" si="26"/>
        <v>0</v>
      </c>
      <c r="AW26" s="77">
        <f t="shared" si="27"/>
        <v>0</v>
      </c>
      <c r="AX26" s="79"/>
      <c r="AY26" s="78"/>
      <c r="AZ26" s="78">
        <f t="shared" si="28"/>
        <v>0</v>
      </c>
      <c r="BA26" s="78">
        <f t="shared" si="29"/>
        <v>0</v>
      </c>
      <c r="BB26" s="79">
        <f t="shared" si="30"/>
        <v>0</v>
      </c>
      <c r="BC26" s="77">
        <f t="shared" si="31"/>
        <v>0</v>
      </c>
      <c r="BD26" s="79"/>
      <c r="BE26" s="78"/>
      <c r="BF26" s="78">
        <f t="shared" si="32"/>
        <v>0</v>
      </c>
      <c r="BG26" s="78">
        <f t="shared" si="33"/>
        <v>0</v>
      </c>
      <c r="BH26" s="79">
        <f t="shared" si="34"/>
        <v>0</v>
      </c>
      <c r="BI26" s="77">
        <f t="shared" si="35"/>
        <v>0</v>
      </c>
      <c r="BJ26" s="79"/>
      <c r="BK26" s="78"/>
      <c r="BL26" s="78">
        <f t="shared" si="36"/>
        <v>0</v>
      </c>
      <c r="BM26" s="78">
        <f t="shared" si="37"/>
        <v>0</v>
      </c>
      <c r="BN26" s="79">
        <f t="shared" si="38"/>
        <v>0</v>
      </c>
      <c r="BO26" s="77">
        <f t="shared" si="39"/>
        <v>0</v>
      </c>
      <c r="BP26" s="79"/>
      <c r="BQ26" s="78"/>
      <c r="BR26" s="78">
        <f t="shared" si="40"/>
        <v>0</v>
      </c>
      <c r="BS26" s="78">
        <f t="shared" si="41"/>
        <v>0</v>
      </c>
      <c r="BT26" s="79">
        <f t="shared" si="42"/>
        <v>0</v>
      </c>
      <c r="BU26" s="77">
        <f t="shared" si="43"/>
        <v>0</v>
      </c>
      <c r="BV26" s="79"/>
      <c r="BW26" s="78"/>
      <c r="BX26" s="78">
        <f t="shared" si="44"/>
        <v>0</v>
      </c>
      <c r="BY26" s="78">
        <f t="shared" si="45"/>
        <v>0</v>
      </c>
      <c r="BZ26" s="79">
        <f t="shared" si="46"/>
        <v>0</v>
      </c>
      <c r="CA26" s="77">
        <f t="shared" si="47"/>
        <v>0</v>
      </c>
      <c r="CB26" s="78"/>
      <c r="CC26" s="78"/>
      <c r="CD26" s="78">
        <f t="shared" si="48"/>
        <v>0</v>
      </c>
      <c r="CE26" s="78">
        <f t="shared" si="49"/>
        <v>0</v>
      </c>
      <c r="CF26" s="79">
        <f t="shared" si="50"/>
        <v>0</v>
      </c>
      <c r="CG26" s="77">
        <f t="shared" si="51"/>
        <v>0</v>
      </c>
      <c r="CH26" s="79"/>
      <c r="CI26" s="78"/>
      <c r="CJ26" s="78">
        <f t="shared" si="52"/>
        <v>0</v>
      </c>
      <c r="CK26" s="78">
        <f t="shared" si="53"/>
        <v>0</v>
      </c>
      <c r="CL26" s="79">
        <f t="shared" si="54"/>
        <v>0</v>
      </c>
      <c r="CM26" s="77">
        <f t="shared" si="55"/>
        <v>0</v>
      </c>
      <c r="CN26" s="79"/>
      <c r="CO26" s="78"/>
      <c r="CP26" s="78">
        <f t="shared" si="56"/>
        <v>0</v>
      </c>
      <c r="CQ26" s="78">
        <f t="shared" si="57"/>
        <v>0</v>
      </c>
      <c r="CR26" s="79">
        <f t="shared" si="58"/>
        <v>0</v>
      </c>
      <c r="CS26" s="77">
        <f t="shared" si="59"/>
        <v>0</v>
      </c>
      <c r="CT26" s="79"/>
      <c r="CU26" s="78"/>
      <c r="CV26" s="78">
        <f t="shared" si="60"/>
        <v>0</v>
      </c>
      <c r="CW26" s="78">
        <f t="shared" si="61"/>
        <v>0</v>
      </c>
      <c r="CX26" s="79">
        <f t="shared" si="62"/>
        <v>0</v>
      </c>
      <c r="CY26" s="77">
        <f t="shared" si="63"/>
        <v>0</v>
      </c>
      <c r="CZ26" s="79"/>
      <c r="DA26" s="78"/>
      <c r="DB26" s="78">
        <f t="shared" si="64"/>
        <v>0</v>
      </c>
      <c r="DC26" s="78">
        <f t="shared" si="65"/>
        <v>0</v>
      </c>
      <c r="DD26" s="79">
        <f t="shared" si="66"/>
        <v>0</v>
      </c>
      <c r="DE26" s="77">
        <f t="shared" si="67"/>
        <v>0</v>
      </c>
      <c r="DF26" s="79"/>
      <c r="DG26" s="78"/>
      <c r="DH26" s="78">
        <f t="shared" si="68"/>
        <v>0</v>
      </c>
      <c r="DI26" s="78">
        <f t="shared" si="69"/>
        <v>0</v>
      </c>
      <c r="DJ26" s="79">
        <f t="shared" si="70"/>
        <v>0</v>
      </c>
      <c r="DK26" s="77">
        <f t="shared" si="71"/>
        <v>0</v>
      </c>
      <c r="DL26" s="79"/>
      <c r="DM26" s="78"/>
      <c r="DN26" s="78">
        <f t="shared" si="72"/>
        <v>0</v>
      </c>
      <c r="DO26" s="78">
        <f t="shared" si="73"/>
        <v>0</v>
      </c>
      <c r="DP26" s="79">
        <f t="shared" si="74"/>
        <v>0</v>
      </c>
      <c r="DQ26" s="77">
        <f t="shared" si="75"/>
        <v>0</v>
      </c>
      <c r="DR26" s="79"/>
      <c r="DS26" s="78"/>
      <c r="DT26" s="78">
        <f t="shared" si="76"/>
        <v>0</v>
      </c>
      <c r="DU26" s="78">
        <f t="shared" si="77"/>
        <v>0</v>
      </c>
      <c r="DV26" s="79">
        <f t="shared" si="78"/>
        <v>0</v>
      </c>
      <c r="DW26" s="77">
        <f t="shared" si="79"/>
        <v>0</v>
      </c>
      <c r="DX26" s="79"/>
      <c r="DY26" s="78"/>
      <c r="DZ26" s="78">
        <f t="shared" si="80"/>
        <v>0</v>
      </c>
      <c r="EA26" s="78">
        <f t="shared" si="81"/>
        <v>0</v>
      </c>
      <c r="EB26" s="79">
        <f t="shared" si="82"/>
        <v>0</v>
      </c>
      <c r="EC26" s="77">
        <f t="shared" si="83"/>
        <v>0</v>
      </c>
      <c r="ED26" s="79"/>
      <c r="EE26" s="78"/>
      <c r="EF26" s="78">
        <f t="shared" si="84"/>
        <v>0</v>
      </c>
      <c r="EG26" s="78">
        <f t="shared" si="85"/>
        <v>0</v>
      </c>
      <c r="EH26" s="79">
        <f t="shared" si="86"/>
        <v>0</v>
      </c>
      <c r="EI26" s="77">
        <f t="shared" si="87"/>
        <v>0</v>
      </c>
      <c r="EJ26" s="79"/>
      <c r="EK26" s="78"/>
      <c r="EL26" s="78">
        <f t="shared" si="88"/>
        <v>0</v>
      </c>
      <c r="EM26" s="78">
        <f t="shared" si="89"/>
        <v>0</v>
      </c>
      <c r="EN26" s="79">
        <f t="shared" si="90"/>
        <v>0</v>
      </c>
      <c r="EO26" s="77">
        <f t="shared" si="91"/>
        <v>0</v>
      </c>
      <c r="EP26" s="79"/>
      <c r="EQ26" s="78"/>
      <c r="ER26" s="78">
        <f t="shared" si="92"/>
        <v>0</v>
      </c>
      <c r="ES26" s="78">
        <f t="shared" si="93"/>
        <v>0</v>
      </c>
      <c r="ET26" s="79">
        <f t="shared" si="94"/>
        <v>0</v>
      </c>
      <c r="EU26" s="77">
        <f t="shared" si="95"/>
        <v>0</v>
      </c>
      <c r="EV26" s="79"/>
      <c r="EW26" s="78"/>
      <c r="EX26" s="78">
        <f t="shared" si="96"/>
        <v>0</v>
      </c>
      <c r="EY26" s="78">
        <f t="shared" si="97"/>
        <v>0</v>
      </c>
      <c r="EZ26" s="79">
        <f t="shared" si="98"/>
        <v>0</v>
      </c>
      <c r="FA26" s="77">
        <f t="shared" si="99"/>
        <v>0</v>
      </c>
      <c r="FB26" s="79"/>
      <c r="FC26" s="78"/>
      <c r="FD26" s="78">
        <f t="shared" si="100"/>
        <v>0</v>
      </c>
      <c r="FE26" s="78">
        <f t="shared" si="101"/>
        <v>0</v>
      </c>
      <c r="FF26" s="79">
        <f t="shared" si="102"/>
        <v>0</v>
      </c>
      <c r="FG26" s="77">
        <f t="shared" si="103"/>
        <v>0</v>
      </c>
      <c r="FH26" s="79"/>
      <c r="FI26" s="78"/>
      <c r="FJ26" s="78">
        <f t="shared" si="104"/>
        <v>0</v>
      </c>
      <c r="FK26" s="78">
        <f t="shared" si="105"/>
        <v>0</v>
      </c>
      <c r="FL26" s="79">
        <f t="shared" si="106"/>
        <v>0</v>
      </c>
      <c r="FM26" s="77">
        <f t="shared" si="107"/>
        <v>0</v>
      </c>
      <c r="FN26" s="79"/>
      <c r="FO26" s="78"/>
      <c r="FP26" s="78">
        <f t="shared" si="108"/>
        <v>0</v>
      </c>
      <c r="FQ26" s="78">
        <f t="shared" si="109"/>
        <v>0</v>
      </c>
      <c r="FR26" s="79">
        <f t="shared" si="110"/>
        <v>0</v>
      </c>
      <c r="FS26" s="77">
        <f t="shared" si="111"/>
        <v>0</v>
      </c>
      <c r="FT26" s="79"/>
      <c r="FU26" s="78"/>
      <c r="FV26" s="78">
        <f t="shared" si="112"/>
        <v>0</v>
      </c>
      <c r="FW26" s="78">
        <f t="shared" si="113"/>
        <v>0</v>
      </c>
      <c r="FX26" s="79">
        <f t="shared" si="114"/>
        <v>0</v>
      </c>
      <c r="FY26" s="77">
        <f t="shared" si="115"/>
        <v>0</v>
      </c>
      <c r="FZ26" s="79"/>
      <c r="GA26" s="78"/>
      <c r="GB26" s="78">
        <f t="shared" si="116"/>
        <v>0</v>
      </c>
      <c r="GC26" s="78">
        <f t="shared" si="117"/>
        <v>0</v>
      </c>
      <c r="GD26" s="79">
        <f t="shared" si="118"/>
        <v>0</v>
      </c>
      <c r="GE26" s="77">
        <f t="shared" si="119"/>
        <v>0</v>
      </c>
      <c r="GF26" s="79"/>
      <c r="GG26" s="78"/>
      <c r="GH26" s="78">
        <f t="shared" si="120"/>
        <v>0</v>
      </c>
      <c r="GI26" s="78">
        <f t="shared" si="121"/>
        <v>0</v>
      </c>
      <c r="GJ26" s="79">
        <f t="shared" si="122"/>
        <v>0</v>
      </c>
      <c r="GK26" s="77">
        <f t="shared" si="123"/>
        <v>0</v>
      </c>
      <c r="GL26" s="79"/>
      <c r="GM26" s="78"/>
      <c r="GN26" s="78">
        <f t="shared" si="124"/>
        <v>0</v>
      </c>
      <c r="GO26" s="78">
        <f t="shared" si="125"/>
        <v>0</v>
      </c>
      <c r="GP26" s="79">
        <f t="shared" si="126"/>
        <v>0</v>
      </c>
      <c r="GQ26" s="77">
        <f t="shared" si="127"/>
        <v>0</v>
      </c>
      <c r="GR26" s="79"/>
      <c r="GS26" s="78"/>
      <c r="GT26" s="78">
        <f t="shared" si="128"/>
        <v>0</v>
      </c>
      <c r="GU26" s="78">
        <f t="shared" si="129"/>
        <v>0</v>
      </c>
      <c r="GV26" s="79">
        <f t="shared" si="130"/>
        <v>0</v>
      </c>
      <c r="GW26" s="77">
        <f t="shared" si="131"/>
        <v>0</v>
      </c>
      <c r="GX26" s="79"/>
      <c r="GY26" s="78"/>
      <c r="GZ26" s="78">
        <f t="shared" si="132"/>
        <v>0</v>
      </c>
      <c r="HA26" s="78">
        <f t="shared" si="133"/>
        <v>0</v>
      </c>
      <c r="HB26" s="79">
        <f t="shared" si="134"/>
        <v>0</v>
      </c>
      <c r="HC26" s="77">
        <f t="shared" si="135"/>
        <v>0</v>
      </c>
      <c r="HD26" s="79"/>
      <c r="HE26" s="79"/>
      <c r="HF26" s="79"/>
      <c r="HG26" s="79"/>
      <c r="HH26" s="79"/>
      <c r="HI26" s="79"/>
    </row>
    <row r="27" spans="1:217" s="52" customFormat="1" ht="12" hidden="1">
      <c r="A27" s="51">
        <v>45383</v>
      </c>
      <c r="C27" s="80"/>
      <c r="D27" s="80"/>
      <c r="E27" s="77">
        <f t="shared" si="0"/>
        <v>0</v>
      </c>
      <c r="F27" s="77"/>
      <c r="G27" s="77"/>
      <c r="H27" s="79"/>
      <c r="I27" s="79">
        <f>O27+U27+AA27+AG27+AM27+AS27+AY27+BE27+BK27+BQ27+BW27+CC27+CI27+CO27+CU27+DA27+DG27+DM27+DS27+DY27+EE27+EK27+EQ27+EW27+FC27+FI27+FO27+FU27+GA27+GG27+GM27+GS27+GY27</f>
        <v>0</v>
      </c>
      <c r="J27" s="79">
        <f t="shared" si="1"/>
        <v>0</v>
      </c>
      <c r="K27" s="79">
        <f t="shared" si="2"/>
        <v>0</v>
      </c>
      <c r="L27" s="79">
        <f t="shared" si="3"/>
        <v>0</v>
      </c>
      <c r="M27" s="79">
        <f t="shared" si="3"/>
        <v>0</v>
      </c>
      <c r="N27" s="79"/>
      <c r="O27" s="78">
        <f t="shared" si="136"/>
        <v>0</v>
      </c>
      <c r="P27" s="78">
        <f t="shared" si="4"/>
        <v>0</v>
      </c>
      <c r="Q27" s="79">
        <f>O27+P27</f>
        <v>0</v>
      </c>
      <c r="R27" s="79">
        <f t="shared" si="6"/>
        <v>0</v>
      </c>
      <c r="S27" s="77">
        <f t="shared" si="7"/>
        <v>0</v>
      </c>
      <c r="T27" s="79"/>
      <c r="U27" s="78">
        <f t="shared" si="137"/>
        <v>0</v>
      </c>
      <c r="V27" s="78">
        <f t="shared" si="8"/>
        <v>0</v>
      </c>
      <c r="W27" s="78">
        <f t="shared" si="9"/>
        <v>0</v>
      </c>
      <c r="X27" s="79">
        <f t="shared" si="10"/>
        <v>0</v>
      </c>
      <c r="Y27" s="77">
        <f t="shared" si="11"/>
        <v>0</v>
      </c>
      <c r="Z27" s="79"/>
      <c r="AA27" s="79">
        <f t="shared" si="138"/>
        <v>0</v>
      </c>
      <c r="AB27" s="78">
        <f t="shared" si="12"/>
        <v>0</v>
      </c>
      <c r="AC27" s="78">
        <f t="shared" si="13"/>
        <v>0</v>
      </c>
      <c r="AD27" s="79">
        <f t="shared" si="14"/>
        <v>0</v>
      </c>
      <c r="AE27" s="77">
        <f t="shared" si="15"/>
        <v>0</v>
      </c>
      <c r="AF27" s="79"/>
      <c r="AG27" s="78">
        <f t="shared" si="139"/>
        <v>0</v>
      </c>
      <c r="AH27" s="78">
        <f t="shared" si="16"/>
        <v>0</v>
      </c>
      <c r="AI27" s="78">
        <f t="shared" si="17"/>
        <v>0</v>
      </c>
      <c r="AJ27" s="79">
        <f t="shared" si="18"/>
        <v>0</v>
      </c>
      <c r="AK27" s="77">
        <f t="shared" si="19"/>
        <v>0</v>
      </c>
      <c r="AL27" s="79"/>
      <c r="AM27" s="78">
        <f t="shared" si="140"/>
        <v>0</v>
      </c>
      <c r="AN27" s="78">
        <f t="shared" si="20"/>
        <v>0</v>
      </c>
      <c r="AO27" s="78">
        <f t="shared" si="21"/>
        <v>0</v>
      </c>
      <c r="AP27" s="79">
        <f t="shared" si="22"/>
        <v>0</v>
      </c>
      <c r="AQ27" s="77">
        <f t="shared" si="23"/>
        <v>0</v>
      </c>
      <c r="AR27" s="78"/>
      <c r="AS27" s="78">
        <f t="shared" si="141"/>
        <v>0</v>
      </c>
      <c r="AT27" s="78">
        <f t="shared" si="24"/>
        <v>0</v>
      </c>
      <c r="AU27" s="78">
        <f t="shared" si="25"/>
        <v>0</v>
      </c>
      <c r="AV27" s="79">
        <f t="shared" si="26"/>
        <v>0</v>
      </c>
      <c r="AW27" s="77">
        <f t="shared" si="27"/>
        <v>0</v>
      </c>
      <c r="AX27" s="79"/>
      <c r="AY27" s="78">
        <f t="shared" si="142"/>
        <v>0</v>
      </c>
      <c r="AZ27" s="78">
        <f t="shared" si="28"/>
        <v>0</v>
      </c>
      <c r="BA27" s="78">
        <f t="shared" si="29"/>
        <v>0</v>
      </c>
      <c r="BB27" s="79">
        <f t="shared" si="30"/>
        <v>0</v>
      </c>
      <c r="BC27" s="77">
        <f t="shared" si="31"/>
        <v>0</v>
      </c>
      <c r="BD27" s="79"/>
      <c r="BE27" s="78">
        <f t="shared" si="143"/>
        <v>0</v>
      </c>
      <c r="BF27" s="78">
        <f t="shared" si="32"/>
        <v>0</v>
      </c>
      <c r="BG27" s="78">
        <f t="shared" si="33"/>
        <v>0</v>
      </c>
      <c r="BH27" s="79">
        <f t="shared" si="34"/>
        <v>0</v>
      </c>
      <c r="BI27" s="77">
        <f t="shared" si="35"/>
        <v>0</v>
      </c>
      <c r="BJ27" s="79"/>
      <c r="BK27" s="78">
        <f t="shared" si="144"/>
        <v>0</v>
      </c>
      <c r="BL27" s="78">
        <f t="shared" si="36"/>
        <v>0</v>
      </c>
      <c r="BM27" s="78">
        <f t="shared" si="37"/>
        <v>0</v>
      </c>
      <c r="BN27" s="79">
        <f t="shared" si="38"/>
        <v>0</v>
      </c>
      <c r="BO27" s="77">
        <f t="shared" si="39"/>
        <v>0</v>
      </c>
      <c r="BP27" s="79"/>
      <c r="BQ27" s="78">
        <f t="shared" si="145"/>
        <v>0</v>
      </c>
      <c r="BR27" s="78">
        <f t="shared" si="40"/>
        <v>0</v>
      </c>
      <c r="BS27" s="78">
        <f t="shared" si="41"/>
        <v>0</v>
      </c>
      <c r="BT27" s="79">
        <f t="shared" si="42"/>
        <v>0</v>
      </c>
      <c r="BU27" s="77">
        <f t="shared" si="43"/>
        <v>0</v>
      </c>
      <c r="BV27" s="79"/>
      <c r="BW27" s="78">
        <f t="shared" si="146"/>
        <v>0</v>
      </c>
      <c r="BX27" s="78">
        <f t="shared" si="44"/>
        <v>0</v>
      </c>
      <c r="BY27" s="78">
        <f t="shared" si="45"/>
        <v>0</v>
      </c>
      <c r="BZ27" s="79">
        <f t="shared" si="46"/>
        <v>0</v>
      </c>
      <c r="CA27" s="77">
        <f t="shared" si="47"/>
        <v>0</v>
      </c>
      <c r="CB27" s="78"/>
      <c r="CC27" s="78">
        <f t="shared" si="147"/>
        <v>0</v>
      </c>
      <c r="CD27" s="78">
        <f t="shared" si="48"/>
        <v>0</v>
      </c>
      <c r="CE27" s="78">
        <f t="shared" si="49"/>
        <v>0</v>
      </c>
      <c r="CF27" s="79">
        <f t="shared" si="50"/>
        <v>0</v>
      </c>
      <c r="CG27" s="77">
        <f t="shared" si="51"/>
        <v>0</v>
      </c>
      <c r="CH27" s="79"/>
      <c r="CI27" s="78">
        <f t="shared" si="148"/>
        <v>0</v>
      </c>
      <c r="CJ27" s="78">
        <f t="shared" si="52"/>
        <v>0</v>
      </c>
      <c r="CK27" s="78">
        <f t="shared" si="53"/>
        <v>0</v>
      </c>
      <c r="CL27" s="79">
        <f t="shared" si="54"/>
        <v>0</v>
      </c>
      <c r="CM27" s="77">
        <f t="shared" si="55"/>
        <v>0</v>
      </c>
      <c r="CN27" s="79"/>
      <c r="CO27" s="78">
        <f t="shared" si="149"/>
        <v>0</v>
      </c>
      <c r="CP27" s="78">
        <f t="shared" si="56"/>
        <v>0</v>
      </c>
      <c r="CQ27" s="78">
        <f t="shared" si="57"/>
        <v>0</v>
      </c>
      <c r="CR27" s="79">
        <f t="shared" si="58"/>
        <v>0</v>
      </c>
      <c r="CS27" s="77">
        <f t="shared" si="59"/>
        <v>0</v>
      </c>
      <c r="CT27" s="79"/>
      <c r="CU27" s="78">
        <f t="shared" si="150"/>
        <v>0</v>
      </c>
      <c r="CV27" s="78">
        <f t="shared" si="60"/>
        <v>0</v>
      </c>
      <c r="CW27" s="78">
        <f t="shared" si="61"/>
        <v>0</v>
      </c>
      <c r="CX27" s="79">
        <f t="shared" si="62"/>
        <v>0</v>
      </c>
      <c r="CY27" s="77">
        <f t="shared" si="63"/>
        <v>0</v>
      </c>
      <c r="CZ27" s="79"/>
      <c r="DA27" s="78">
        <f t="shared" si="151"/>
        <v>0</v>
      </c>
      <c r="DB27" s="78">
        <f t="shared" si="64"/>
        <v>0</v>
      </c>
      <c r="DC27" s="78">
        <f t="shared" si="65"/>
        <v>0</v>
      </c>
      <c r="DD27" s="79">
        <f t="shared" si="66"/>
        <v>0</v>
      </c>
      <c r="DE27" s="77">
        <f t="shared" si="67"/>
        <v>0</v>
      </c>
      <c r="DF27" s="79"/>
      <c r="DG27" s="78">
        <f t="shared" si="152"/>
        <v>0</v>
      </c>
      <c r="DH27" s="78">
        <f t="shared" si="68"/>
        <v>0</v>
      </c>
      <c r="DI27" s="78">
        <f t="shared" si="69"/>
        <v>0</v>
      </c>
      <c r="DJ27" s="79">
        <f t="shared" si="70"/>
        <v>0</v>
      </c>
      <c r="DK27" s="77">
        <f t="shared" si="71"/>
        <v>0</v>
      </c>
      <c r="DL27" s="79"/>
      <c r="DM27" s="78">
        <f t="shared" si="153"/>
        <v>0</v>
      </c>
      <c r="DN27" s="78">
        <f t="shared" si="72"/>
        <v>0</v>
      </c>
      <c r="DO27" s="78">
        <f t="shared" si="73"/>
        <v>0</v>
      </c>
      <c r="DP27" s="79">
        <f t="shared" si="74"/>
        <v>0</v>
      </c>
      <c r="DQ27" s="77">
        <f t="shared" si="75"/>
        <v>0</v>
      </c>
      <c r="DR27" s="79"/>
      <c r="DS27" s="78">
        <f t="shared" si="154"/>
        <v>0</v>
      </c>
      <c r="DT27" s="78">
        <f t="shared" si="76"/>
        <v>0</v>
      </c>
      <c r="DU27" s="78">
        <f t="shared" si="77"/>
        <v>0</v>
      </c>
      <c r="DV27" s="79">
        <f t="shared" si="78"/>
        <v>0</v>
      </c>
      <c r="DW27" s="77">
        <f t="shared" si="79"/>
        <v>0</v>
      </c>
      <c r="DX27" s="79"/>
      <c r="DY27" s="78">
        <f t="shared" si="155"/>
        <v>0</v>
      </c>
      <c r="DZ27" s="78">
        <f t="shared" si="80"/>
        <v>0</v>
      </c>
      <c r="EA27" s="78">
        <f t="shared" si="81"/>
        <v>0</v>
      </c>
      <c r="EB27" s="79">
        <f t="shared" si="82"/>
        <v>0</v>
      </c>
      <c r="EC27" s="77">
        <f t="shared" si="83"/>
        <v>0</v>
      </c>
      <c r="ED27" s="79"/>
      <c r="EE27" s="78">
        <f t="shared" si="156"/>
        <v>0</v>
      </c>
      <c r="EF27" s="78">
        <f t="shared" si="84"/>
        <v>0</v>
      </c>
      <c r="EG27" s="78">
        <f t="shared" si="85"/>
        <v>0</v>
      </c>
      <c r="EH27" s="79">
        <f t="shared" si="86"/>
        <v>0</v>
      </c>
      <c r="EI27" s="77">
        <f t="shared" si="87"/>
        <v>0</v>
      </c>
      <c r="EJ27" s="79"/>
      <c r="EK27" s="78">
        <f t="shared" si="157"/>
        <v>0</v>
      </c>
      <c r="EL27" s="78">
        <f t="shared" si="88"/>
        <v>0</v>
      </c>
      <c r="EM27" s="78">
        <f t="shared" si="89"/>
        <v>0</v>
      </c>
      <c r="EN27" s="79">
        <f t="shared" si="90"/>
        <v>0</v>
      </c>
      <c r="EO27" s="77">
        <f t="shared" si="91"/>
        <v>0</v>
      </c>
      <c r="EP27" s="79"/>
      <c r="EQ27" s="78">
        <f t="shared" si="158"/>
        <v>0</v>
      </c>
      <c r="ER27" s="78">
        <f t="shared" si="92"/>
        <v>0</v>
      </c>
      <c r="ES27" s="78">
        <f t="shared" si="93"/>
        <v>0</v>
      </c>
      <c r="ET27" s="79">
        <f t="shared" si="94"/>
        <v>0</v>
      </c>
      <c r="EU27" s="77">
        <f t="shared" si="95"/>
        <v>0</v>
      </c>
      <c r="EV27" s="79"/>
      <c r="EW27" s="78">
        <f t="shared" si="159"/>
        <v>0</v>
      </c>
      <c r="EX27" s="78">
        <f t="shared" si="96"/>
        <v>0</v>
      </c>
      <c r="EY27" s="78">
        <f t="shared" si="97"/>
        <v>0</v>
      </c>
      <c r="EZ27" s="79">
        <f t="shared" si="98"/>
        <v>0</v>
      </c>
      <c r="FA27" s="77">
        <f t="shared" si="99"/>
        <v>0</v>
      </c>
      <c r="FB27" s="79"/>
      <c r="FC27" s="78">
        <f t="shared" si="160"/>
        <v>0</v>
      </c>
      <c r="FD27" s="78">
        <f t="shared" si="100"/>
        <v>0</v>
      </c>
      <c r="FE27" s="78">
        <f t="shared" si="101"/>
        <v>0</v>
      </c>
      <c r="FF27" s="79">
        <f t="shared" si="102"/>
        <v>0</v>
      </c>
      <c r="FG27" s="77">
        <f t="shared" si="103"/>
        <v>0</v>
      </c>
      <c r="FH27" s="79"/>
      <c r="FI27" s="78">
        <f t="shared" si="161"/>
        <v>0</v>
      </c>
      <c r="FJ27" s="78">
        <f t="shared" si="104"/>
        <v>0</v>
      </c>
      <c r="FK27" s="78">
        <f t="shared" si="105"/>
        <v>0</v>
      </c>
      <c r="FL27" s="79">
        <f t="shared" si="106"/>
        <v>0</v>
      </c>
      <c r="FM27" s="77">
        <f t="shared" si="107"/>
        <v>0</v>
      </c>
      <c r="FN27" s="79"/>
      <c r="FO27" s="78">
        <f t="shared" si="162"/>
        <v>0</v>
      </c>
      <c r="FP27" s="78">
        <f t="shared" si="108"/>
        <v>0</v>
      </c>
      <c r="FQ27" s="78">
        <f t="shared" si="109"/>
        <v>0</v>
      </c>
      <c r="FR27" s="79">
        <f t="shared" si="110"/>
        <v>0</v>
      </c>
      <c r="FS27" s="77">
        <f t="shared" si="111"/>
        <v>0</v>
      </c>
      <c r="FT27" s="79"/>
      <c r="FU27" s="78">
        <f t="shared" si="163"/>
        <v>0</v>
      </c>
      <c r="FV27" s="78">
        <f t="shared" si="112"/>
        <v>0</v>
      </c>
      <c r="FW27" s="78">
        <f t="shared" si="113"/>
        <v>0</v>
      </c>
      <c r="FX27" s="79">
        <f t="shared" si="114"/>
        <v>0</v>
      </c>
      <c r="FY27" s="77">
        <f t="shared" si="115"/>
        <v>0</v>
      </c>
      <c r="FZ27" s="79"/>
      <c r="GA27" s="78">
        <f t="shared" si="164"/>
        <v>0</v>
      </c>
      <c r="GB27" s="78">
        <f t="shared" si="116"/>
        <v>0</v>
      </c>
      <c r="GC27" s="78">
        <f t="shared" si="117"/>
        <v>0</v>
      </c>
      <c r="GD27" s="79">
        <f t="shared" si="118"/>
        <v>0</v>
      </c>
      <c r="GE27" s="77">
        <f t="shared" si="119"/>
        <v>0</v>
      </c>
      <c r="GF27" s="79"/>
      <c r="GG27" s="78">
        <f t="shared" si="165"/>
        <v>0</v>
      </c>
      <c r="GH27" s="78">
        <f t="shared" si="120"/>
        <v>0</v>
      </c>
      <c r="GI27" s="78">
        <f t="shared" si="121"/>
        <v>0</v>
      </c>
      <c r="GJ27" s="79">
        <f t="shared" si="122"/>
        <v>0</v>
      </c>
      <c r="GK27" s="77">
        <f t="shared" si="123"/>
        <v>0</v>
      </c>
      <c r="GL27" s="79"/>
      <c r="GM27" s="78">
        <f t="shared" si="166"/>
        <v>0</v>
      </c>
      <c r="GN27" s="78">
        <f t="shared" si="124"/>
        <v>0</v>
      </c>
      <c r="GO27" s="78">
        <f t="shared" si="125"/>
        <v>0</v>
      </c>
      <c r="GP27" s="79">
        <f t="shared" si="126"/>
        <v>0</v>
      </c>
      <c r="GQ27" s="77">
        <f t="shared" si="127"/>
        <v>0</v>
      </c>
      <c r="GR27" s="79"/>
      <c r="GS27" s="78">
        <f t="shared" si="167"/>
        <v>0</v>
      </c>
      <c r="GT27" s="78">
        <f t="shared" si="128"/>
        <v>0</v>
      </c>
      <c r="GU27" s="78">
        <f t="shared" si="129"/>
        <v>0</v>
      </c>
      <c r="GV27" s="79">
        <f t="shared" si="130"/>
        <v>0</v>
      </c>
      <c r="GW27" s="77">
        <f t="shared" si="131"/>
        <v>0</v>
      </c>
      <c r="GX27" s="79"/>
      <c r="GY27" s="78">
        <f t="shared" si="168"/>
        <v>0</v>
      </c>
      <c r="GZ27" s="78">
        <f t="shared" si="132"/>
        <v>0</v>
      </c>
      <c r="HA27" s="78">
        <f t="shared" si="133"/>
        <v>0</v>
      </c>
      <c r="HB27" s="79">
        <f t="shared" si="134"/>
        <v>0</v>
      </c>
      <c r="HC27" s="77">
        <f t="shared" si="135"/>
        <v>0</v>
      </c>
      <c r="HD27" s="79"/>
      <c r="HE27" s="79"/>
      <c r="HF27" s="79"/>
      <c r="HG27" s="79"/>
      <c r="HH27" s="79"/>
      <c r="HI27" s="79"/>
    </row>
    <row r="28" spans="3:217" ht="12">
      <c r="C28" s="80"/>
      <c r="D28" s="80"/>
      <c r="E28" s="80"/>
      <c r="F28" s="80"/>
      <c r="G28" s="80"/>
      <c r="H28" s="78"/>
      <c r="I28" s="78"/>
      <c r="J28" s="79"/>
      <c r="K28" s="78"/>
      <c r="L28" s="78"/>
      <c r="M28" s="80"/>
      <c r="N28" s="78"/>
      <c r="O28" s="78"/>
      <c r="P28" s="78"/>
      <c r="Q28" s="78"/>
      <c r="R28" s="78"/>
      <c r="S28" s="80"/>
      <c r="T28" s="78"/>
      <c r="U28" s="78"/>
      <c r="V28" s="78"/>
      <c r="W28" s="78"/>
      <c r="X28" s="78"/>
      <c r="Y28" s="80"/>
      <c r="Z28" s="78"/>
      <c r="AA28" s="79"/>
      <c r="AB28" s="78"/>
      <c r="AC28" s="78"/>
      <c r="AD28" s="78"/>
      <c r="AE28" s="80"/>
      <c r="AF28" s="78"/>
      <c r="AG28" s="78"/>
      <c r="AH28" s="78"/>
      <c r="AI28" s="78"/>
      <c r="AJ28" s="78"/>
      <c r="AK28" s="80"/>
      <c r="AL28" s="78"/>
      <c r="AM28" s="78"/>
      <c r="AN28" s="78"/>
      <c r="AO28" s="78"/>
      <c r="AP28" s="78"/>
      <c r="AQ28" s="80"/>
      <c r="AR28" s="78"/>
      <c r="AS28" s="78"/>
      <c r="AT28" s="78"/>
      <c r="AU28" s="78"/>
      <c r="AV28" s="78"/>
      <c r="AW28" s="80"/>
      <c r="AX28" s="78"/>
      <c r="AY28" s="78"/>
      <c r="AZ28" s="78"/>
      <c r="BA28" s="78"/>
      <c r="BB28" s="78"/>
      <c r="BC28" s="80"/>
      <c r="BD28" s="78"/>
      <c r="BE28" s="78"/>
      <c r="BF28" s="78"/>
      <c r="BG28" s="78"/>
      <c r="BH28" s="78"/>
      <c r="BI28" s="80"/>
      <c r="BJ28" s="78"/>
      <c r="BK28" s="78"/>
      <c r="BL28" s="78"/>
      <c r="BM28" s="78"/>
      <c r="BN28" s="78"/>
      <c r="BO28" s="80"/>
      <c r="BP28" s="78"/>
      <c r="BQ28" s="78"/>
      <c r="BR28" s="78"/>
      <c r="BS28" s="78"/>
      <c r="BT28" s="78"/>
      <c r="BU28" s="80"/>
      <c r="BV28" s="78"/>
      <c r="BW28" s="78"/>
      <c r="BX28" s="78"/>
      <c r="BY28" s="78"/>
      <c r="BZ28" s="78"/>
      <c r="CA28" s="80"/>
      <c r="CB28" s="78"/>
      <c r="CC28" s="78"/>
      <c r="CD28" s="78"/>
      <c r="CE28" s="78"/>
      <c r="CF28" s="78"/>
      <c r="CG28" s="80"/>
      <c r="CH28" s="78"/>
      <c r="CI28" s="78"/>
      <c r="CJ28" s="78"/>
      <c r="CK28" s="78"/>
      <c r="CL28" s="78"/>
      <c r="CM28" s="80"/>
      <c r="CN28" s="78"/>
      <c r="CO28" s="78"/>
      <c r="CP28" s="78"/>
      <c r="CQ28" s="78"/>
      <c r="CR28" s="78"/>
      <c r="CS28" s="80"/>
      <c r="CT28" s="78"/>
      <c r="CU28" s="78"/>
      <c r="CV28" s="78"/>
      <c r="CW28" s="78"/>
      <c r="CX28" s="78"/>
      <c r="CY28" s="80"/>
      <c r="CZ28" s="78"/>
      <c r="DA28" s="78"/>
      <c r="DB28" s="78"/>
      <c r="DC28" s="78"/>
      <c r="DD28" s="78"/>
      <c r="DE28" s="80"/>
      <c r="DF28" s="78"/>
      <c r="DG28" s="78"/>
      <c r="DH28" s="78"/>
      <c r="DI28" s="78"/>
      <c r="DJ28" s="78"/>
      <c r="DK28" s="80"/>
      <c r="DL28" s="78"/>
      <c r="DM28" s="78"/>
      <c r="DN28" s="78"/>
      <c r="DO28" s="78"/>
      <c r="DP28" s="78"/>
      <c r="DQ28" s="80"/>
      <c r="DR28" s="78"/>
      <c r="DS28" s="78"/>
      <c r="DT28" s="78"/>
      <c r="DU28" s="78"/>
      <c r="DV28" s="78"/>
      <c r="DW28" s="80"/>
      <c r="DX28" s="78"/>
      <c r="DY28" s="78"/>
      <c r="DZ28" s="78"/>
      <c r="EA28" s="78"/>
      <c r="EB28" s="78"/>
      <c r="EC28" s="80"/>
      <c r="ED28" s="78"/>
      <c r="EE28" s="78"/>
      <c r="EF28" s="78"/>
      <c r="EG28" s="78"/>
      <c r="EH28" s="78"/>
      <c r="EI28" s="80"/>
      <c r="EJ28" s="78"/>
      <c r="EK28" s="78"/>
      <c r="EL28" s="78"/>
      <c r="EM28" s="78"/>
      <c r="EN28" s="78"/>
      <c r="EO28" s="80"/>
      <c r="EP28" s="78"/>
      <c r="EQ28" s="78"/>
      <c r="ER28" s="78"/>
      <c r="ES28" s="78"/>
      <c r="ET28" s="78"/>
      <c r="EU28" s="80"/>
      <c r="EV28" s="78"/>
      <c r="EW28" s="78"/>
      <c r="EX28" s="78"/>
      <c r="EY28" s="78"/>
      <c r="EZ28" s="78"/>
      <c r="FA28" s="80"/>
      <c r="FB28" s="78"/>
      <c r="FC28" s="78"/>
      <c r="FD28" s="78"/>
      <c r="FE28" s="78"/>
      <c r="FF28" s="78"/>
      <c r="FG28" s="80"/>
      <c r="FH28" s="78"/>
      <c r="FI28" s="78"/>
      <c r="FJ28" s="78"/>
      <c r="FK28" s="78"/>
      <c r="FL28" s="78"/>
      <c r="FM28" s="80"/>
      <c r="FN28" s="78"/>
      <c r="FO28" s="78"/>
      <c r="FP28" s="78"/>
      <c r="FQ28" s="78"/>
      <c r="FR28" s="78"/>
      <c r="FS28" s="80"/>
      <c r="FT28" s="78"/>
      <c r="FU28" s="78"/>
      <c r="FV28" s="78"/>
      <c r="FW28" s="78"/>
      <c r="FX28" s="78"/>
      <c r="FY28" s="80"/>
      <c r="FZ28" s="78"/>
      <c r="GA28" s="78"/>
      <c r="GB28" s="78"/>
      <c r="GC28" s="78"/>
      <c r="GD28" s="78"/>
      <c r="GE28" s="80"/>
      <c r="GF28" s="78"/>
      <c r="GG28" s="78"/>
      <c r="GH28" s="78"/>
      <c r="GI28" s="78"/>
      <c r="GJ28" s="78"/>
      <c r="GK28" s="80"/>
      <c r="GL28" s="78"/>
      <c r="GM28" s="78"/>
      <c r="GN28" s="78"/>
      <c r="GO28" s="78"/>
      <c r="GP28" s="78"/>
      <c r="GQ28" s="80"/>
      <c r="GR28" s="78"/>
      <c r="GS28" s="78"/>
      <c r="GT28" s="78"/>
      <c r="GU28" s="78"/>
      <c r="GV28" s="78"/>
      <c r="GW28" s="80"/>
      <c r="GX28" s="78"/>
      <c r="GY28" s="78"/>
      <c r="GZ28" s="78"/>
      <c r="HA28" s="78"/>
      <c r="HB28" s="78"/>
      <c r="HC28" s="80"/>
      <c r="HD28" s="78"/>
      <c r="HE28" s="78"/>
      <c r="HF28" s="78"/>
      <c r="HG28" s="78"/>
      <c r="HH28" s="78"/>
      <c r="HI28" s="78"/>
    </row>
    <row r="29" spans="1:217" ht="12.75" thickBot="1">
      <c r="A29" s="31" t="s">
        <v>4</v>
      </c>
      <c r="C29" s="81">
        <f>SUM(C8:C28)</f>
        <v>21820000</v>
      </c>
      <c r="D29" s="81">
        <f>SUM(D8:D28)</f>
        <v>4073350</v>
      </c>
      <c r="E29" s="81">
        <f>SUM(E8:E28)</f>
        <v>25893350</v>
      </c>
      <c r="F29" s="81">
        <f>SUM(F8:F28)</f>
        <v>1543345</v>
      </c>
      <c r="G29" s="81">
        <f>SUM(G8:G28)</f>
        <v>92257</v>
      </c>
      <c r="H29" s="78"/>
      <c r="I29" s="81">
        <f>SUM(I8:I28)</f>
        <v>11844461.138000002</v>
      </c>
      <c r="J29" s="81">
        <f>SUM(J8:J28)</f>
        <v>2211119.879765</v>
      </c>
      <c r="K29" s="81">
        <f>SUM(K8:K28)</f>
        <v>14055581.017765</v>
      </c>
      <c r="L29" s="81">
        <f>SUM(L8:L28)</f>
        <v>837767.6386354998</v>
      </c>
      <c r="M29" s="81">
        <f>SUM(M8:M28)</f>
        <v>50079.48905629999</v>
      </c>
      <c r="N29" s="78"/>
      <c r="O29" s="81">
        <f>SUM(O8:O28)</f>
        <v>1443288.2639999997</v>
      </c>
      <c r="P29" s="81">
        <f>SUM(P8:P28)</f>
        <v>269432.5504199999</v>
      </c>
      <c r="Q29" s="81">
        <f>SUM(Q8:Q28)</f>
        <v>1712720.81442</v>
      </c>
      <c r="R29" s="81">
        <f>SUM(R8:R28)</f>
        <v>102084.86369399999</v>
      </c>
      <c r="S29" s="81">
        <f>SUM(S8:S28)</f>
        <v>6102.357716399998</v>
      </c>
      <c r="T29" s="78"/>
      <c r="U29" s="81">
        <f>SUM(U8:U28)</f>
        <v>24647.872</v>
      </c>
      <c r="V29" s="81">
        <f>SUM(V8:V28)</f>
        <v>4601.256159999999</v>
      </c>
      <c r="W29" s="81">
        <f>SUM(W8:W28)</f>
        <v>29249.128160000004</v>
      </c>
      <c r="X29" s="81">
        <f>SUM(X8:X28)</f>
        <v>1743.362512</v>
      </c>
      <c r="Y29" s="81">
        <f>SUM(Y8:Y28)</f>
        <v>104.21350719999998</v>
      </c>
      <c r="Z29" s="78"/>
      <c r="AA29" s="81">
        <f>SUM(AA8:AA28)</f>
        <v>111268.908</v>
      </c>
      <c r="AB29" s="81">
        <f>SUM(AB8:AB28)</f>
        <v>20771.640989999993</v>
      </c>
      <c r="AC29" s="81">
        <f>SUM(AC8:AC28)</f>
        <v>132040.54899</v>
      </c>
      <c r="AD29" s="81">
        <f>SUM(AD8:AD28)</f>
        <v>7870.133493000002</v>
      </c>
      <c r="AE29" s="81">
        <f>SUM(AE8:AE28)</f>
        <v>470.45534580000003</v>
      </c>
      <c r="AF29" s="78"/>
      <c r="AG29" s="81">
        <f>SUM(AG8:AG28)</f>
        <v>1934991.0539999998</v>
      </c>
      <c r="AH29" s="81">
        <f>SUM(AH8:AH28)</f>
        <v>361223.45599499997</v>
      </c>
      <c r="AI29" s="81">
        <f>SUM(AI8:AI28)</f>
        <v>2296214.509995</v>
      </c>
      <c r="AJ29" s="81">
        <f>SUM(AJ8:AJ28)</f>
        <v>136863.37159650004</v>
      </c>
      <c r="AK29" s="81">
        <f>SUM(AK8:AK28)</f>
        <v>8181.323082900002</v>
      </c>
      <c r="AL29" s="78"/>
      <c r="AM29" s="81">
        <f>SUM(AM8:AM28)</f>
        <v>23439.043999999998</v>
      </c>
      <c r="AN29" s="81">
        <f>SUM(AN8:AN28)</f>
        <v>4375.592569999999</v>
      </c>
      <c r="AO29" s="81">
        <f>SUM(AO8:AO28)</f>
        <v>27814.63657</v>
      </c>
      <c r="AP29" s="81">
        <f>SUM(AP8:AP28)</f>
        <v>1657.8611989999997</v>
      </c>
      <c r="AQ29" s="81">
        <f>SUM(AQ8:AQ28)</f>
        <v>99.10246940000003</v>
      </c>
      <c r="AR29" s="78"/>
      <c r="AS29" s="81">
        <f>SUM(AS8:AS28)</f>
        <v>19766.738000000005</v>
      </c>
      <c r="AT29" s="81">
        <f>SUM(AT8:AT28)</f>
        <v>3690.0477650000003</v>
      </c>
      <c r="AU29" s="81">
        <f>SUM(AU8:AU28)</f>
        <v>23456.785765000004</v>
      </c>
      <c r="AV29" s="81">
        <f>SUM(AV8:AV28)</f>
        <v>1398.1162354999997</v>
      </c>
      <c r="AW29" s="81">
        <f>SUM(AW8:AW28)</f>
        <v>83.5756163</v>
      </c>
      <c r="AX29" s="78"/>
      <c r="AY29" s="81">
        <f>SUM(AY8:AY28)</f>
        <v>810979.5760000001</v>
      </c>
      <c r="AZ29" s="81">
        <f>SUM(AZ8:AZ28)</f>
        <v>151393.38478</v>
      </c>
      <c r="BA29" s="81">
        <f>SUM(BA8:BA28)</f>
        <v>962372.9607800001</v>
      </c>
      <c r="BB29" s="81">
        <f>SUM(BB8:BB28)</f>
        <v>57361.194945999996</v>
      </c>
      <c r="BC29" s="81">
        <f>SUM(BC8:BC28)</f>
        <v>3428.8974676000003</v>
      </c>
      <c r="BD29" s="78"/>
      <c r="BE29" s="81">
        <f>SUM(BE8:BE28)</f>
        <v>1664043.386</v>
      </c>
      <c r="BF29" s="81">
        <f>SUM(BF8:BF28)</f>
        <v>310643.03970499994</v>
      </c>
      <c r="BG29" s="81">
        <f>SUM(BG8:BG28)</f>
        <v>1974686.4257049996</v>
      </c>
      <c r="BH29" s="81">
        <f>SUM(BH8:BH28)</f>
        <v>117699.03939349997</v>
      </c>
      <c r="BI29" s="81">
        <f>SUM(BI8:BI28)</f>
        <v>7035.731011100003</v>
      </c>
      <c r="BJ29" s="78"/>
      <c r="BK29" s="81">
        <f>SUM(BK8:BK28)</f>
        <v>19210.327999999998</v>
      </c>
      <c r="BL29" s="81">
        <f>SUM(BL8:BL28)</f>
        <v>3586.1773399999997</v>
      </c>
      <c r="BM29" s="81">
        <f>SUM(BM8:BM28)</f>
        <v>22796.505339999996</v>
      </c>
      <c r="BN29" s="81">
        <f>SUM(BN8:BN28)</f>
        <v>1358.760938</v>
      </c>
      <c r="BO29" s="81">
        <f>SUM(BO8:BO28)</f>
        <v>81.2230628</v>
      </c>
      <c r="BP29" s="78"/>
      <c r="BQ29" s="81">
        <f>SUM(BQ8:BQ28)</f>
        <v>12904.348</v>
      </c>
      <c r="BR29" s="81">
        <f>SUM(BR8:BR28)</f>
        <v>2408.97919</v>
      </c>
      <c r="BS29" s="81">
        <f>SUM(BS8:BS28)</f>
        <v>15313.327190000002</v>
      </c>
      <c r="BT29" s="81">
        <f>SUM(BT8:BT28)</f>
        <v>912.734233</v>
      </c>
      <c r="BU29" s="81">
        <f>SUM(BU8:BU28)</f>
        <v>54.560789799999995</v>
      </c>
      <c r="BV29" s="78"/>
      <c r="BW29" s="81">
        <f>SUM(BW8:BW28)</f>
        <v>-1922.342</v>
      </c>
      <c r="BX29" s="81">
        <f>SUM(BX8:BX28)</f>
        <v>-358.862135</v>
      </c>
      <c r="BY29" s="81">
        <f>SUM(BY8:BY28)</f>
        <v>-2281.204135000001</v>
      </c>
      <c r="BZ29" s="81">
        <f>SUM(BZ8:BZ28)</f>
        <v>-135.96869449999997</v>
      </c>
      <c r="CA29" s="81">
        <f>SUM(CA8:CA28)</f>
        <v>-8.127841700000001</v>
      </c>
      <c r="CB29" s="80"/>
      <c r="CC29" s="81">
        <f>SUM(CC8:CC28)</f>
        <v>-1252.4680000000003</v>
      </c>
      <c r="CD29" s="81">
        <f>SUM(CD8:CD28)</f>
        <v>-233.81029</v>
      </c>
      <c r="CE29" s="81">
        <f>SUM(CE8:CE28)</f>
        <v>-1486.2782900000002</v>
      </c>
      <c r="CF29" s="81">
        <f>SUM(CF8:CF28)</f>
        <v>-88.58800299999997</v>
      </c>
      <c r="CG29" s="81">
        <f>SUM(CG8:CG28)</f>
        <v>-5.2955518</v>
      </c>
      <c r="CH29" s="78"/>
      <c r="CI29" s="81">
        <f>SUM(CI8:CI28)</f>
        <v>46576.972</v>
      </c>
      <c r="CJ29" s="81">
        <f>SUM(CJ8:CJ28)</f>
        <v>8694.972910000002</v>
      </c>
      <c r="CK29" s="81">
        <f>SUM(CK8:CK28)</f>
        <v>55271.944910000006</v>
      </c>
      <c r="CL29" s="81">
        <f>SUM(CL8:CL28)</f>
        <v>3294.424237</v>
      </c>
      <c r="CM29" s="81">
        <f>SUM(CM8:CM28)</f>
        <v>196.93179220000002</v>
      </c>
      <c r="CN29" s="78"/>
      <c r="CO29" s="81">
        <f>SUM(CO8:CO28)</f>
        <v>286431.14</v>
      </c>
      <c r="CP29" s="81">
        <f>SUM(CP8:CP28)</f>
        <v>53470.86544999998</v>
      </c>
      <c r="CQ29" s="81">
        <f>SUM(CQ8:CQ28)</f>
        <v>339902.00544999994</v>
      </c>
      <c r="CR29" s="81">
        <f>SUM(CR8:CR28)</f>
        <v>20259.489814999997</v>
      </c>
      <c r="CS29" s="81">
        <f>SUM(CS8:CS28)</f>
        <v>1211.0576389999999</v>
      </c>
      <c r="CT29" s="78"/>
      <c r="CU29" s="81">
        <f>SUM(CU8:CU28)</f>
        <v>1924198.882</v>
      </c>
      <c r="CV29" s="81">
        <f>SUM(CV8:CV28)</f>
        <v>359208.7770850001</v>
      </c>
      <c r="CW29" s="81">
        <f>SUM(CW8:CW28)</f>
        <v>2283407.659085</v>
      </c>
      <c r="CX29" s="81">
        <f>SUM(CX8:CX28)</f>
        <v>136100.03315950002</v>
      </c>
      <c r="CY29" s="81">
        <f>SUM(CY8:CY28)</f>
        <v>8135.692770700002</v>
      </c>
      <c r="CZ29" s="78"/>
      <c r="DA29" s="81">
        <f>SUM(DA8:DA28)</f>
        <v>277620.224</v>
      </c>
      <c r="DB29" s="81">
        <f>SUM(DB8:DB28)</f>
        <v>51826.046719999984</v>
      </c>
      <c r="DC29" s="81">
        <f>SUM(DC8:DC28)</f>
        <v>329446.27072</v>
      </c>
      <c r="DD29" s="81">
        <f>SUM(DD8:DD28)</f>
        <v>19636.287104</v>
      </c>
      <c r="DE29" s="81">
        <f>SUM(DE8:DE28)</f>
        <v>1173.8042624000004</v>
      </c>
      <c r="DF29" s="78"/>
      <c r="DG29" s="81">
        <f>SUM(DG8:DG28)</f>
        <v>567258.904</v>
      </c>
      <c r="DH29" s="81">
        <f>SUM(DH8:DH28)</f>
        <v>105895.69462000004</v>
      </c>
      <c r="DI29" s="81">
        <f>SUM(DI8:DI28)</f>
        <v>673154.5986199998</v>
      </c>
      <c r="DJ29" s="81">
        <f>SUM(DJ8:DJ28)</f>
        <v>40122.648634000005</v>
      </c>
      <c r="DK29" s="81">
        <f>SUM(DK8:DK28)</f>
        <v>2398.4236803999997</v>
      </c>
      <c r="DL29" s="78"/>
      <c r="DM29" s="81">
        <f>SUM(DM8:DM28)</f>
        <v>91997.48400000001</v>
      </c>
      <c r="DN29" s="81">
        <f>SUM(DN8:DN28)</f>
        <v>17174.058269999998</v>
      </c>
      <c r="DO29" s="81">
        <f>SUM(DO8:DO28)</f>
        <v>109171.54226999998</v>
      </c>
      <c r="DP29" s="81">
        <f>SUM(DP8:DP28)</f>
        <v>6507.051189000002</v>
      </c>
      <c r="DQ29" s="81">
        <f>SUM(DQ8:DQ28)</f>
        <v>388.97396340000006</v>
      </c>
      <c r="DR29" s="78"/>
      <c r="DS29" s="81">
        <f>SUM(DS8:DS28)</f>
        <v>471927.32399999996</v>
      </c>
      <c r="DT29" s="81">
        <f>SUM(DT8:DT28)</f>
        <v>88099.22846999999</v>
      </c>
      <c r="DU29" s="81">
        <f>SUM(DU8:DU28)</f>
        <v>560026.55247</v>
      </c>
      <c r="DV29" s="81">
        <f>SUM(DV8:DV28)</f>
        <v>33379.77432899999</v>
      </c>
      <c r="DW29" s="81">
        <f>SUM(DW8:DW28)</f>
        <v>1995.3528473999997</v>
      </c>
      <c r="DX29" s="78"/>
      <c r="DY29" s="81">
        <f>SUM(DY8:DY28)</f>
        <v>4217.806</v>
      </c>
      <c r="DZ29" s="81">
        <f>SUM(DZ8:DZ28)</f>
        <v>787.3785550000003</v>
      </c>
      <c r="EA29" s="81">
        <f>SUM(EA8:EA28)</f>
        <v>5005.184555</v>
      </c>
      <c r="EB29" s="81">
        <f>SUM(EB8:EB28)</f>
        <v>298.32858849999997</v>
      </c>
      <c r="EC29" s="81">
        <f>SUM(EC8:EC28)</f>
        <v>17.8332781</v>
      </c>
      <c r="ED29" s="78"/>
      <c r="EE29" s="81">
        <f>SUM(EE8:EE28)</f>
        <v>5551.008000000001</v>
      </c>
      <c r="EF29" s="81">
        <f>SUM(EF8:EF28)</f>
        <v>1036.26024</v>
      </c>
      <c r="EG29" s="81">
        <f>SUM(EG8:EG28)</f>
        <v>6587.26824</v>
      </c>
      <c r="EH29" s="81">
        <f>SUM(EH8:EH28)</f>
        <v>392.62696800000003</v>
      </c>
      <c r="EI29" s="81">
        <f>SUM(EI8:EI28)</f>
        <v>23.470180799999998</v>
      </c>
      <c r="EJ29" s="78"/>
      <c r="EK29" s="81">
        <f>SUM(EK8:EK28)</f>
        <v>279704.03400000004</v>
      </c>
      <c r="EL29" s="81">
        <f>SUM(EL8:EL28)</f>
        <v>52215.05164499999</v>
      </c>
      <c r="EM29" s="81">
        <f>SUM(EM8:EM28)</f>
        <v>331919.085645</v>
      </c>
      <c r="EN29" s="81">
        <f>SUM(EN8:EN28)</f>
        <v>19783.6765515</v>
      </c>
      <c r="EO29" s="81">
        <f>SUM(EO8:EO28)</f>
        <v>1182.6148059000002</v>
      </c>
      <c r="EP29" s="78"/>
      <c r="EQ29" s="81">
        <f>SUM(EQ8:EQ28)</f>
        <v>5324.08</v>
      </c>
      <c r="ER29" s="81">
        <f>SUM(ER8:ER28)</f>
        <v>993.8973999999998</v>
      </c>
      <c r="ES29" s="81">
        <f>SUM(ES8:ES28)</f>
        <v>6317.9774</v>
      </c>
      <c r="ET29" s="81">
        <f>SUM(ET8:ET28)</f>
        <v>376.5761800000001</v>
      </c>
      <c r="EU29" s="81">
        <f>SUM(EU8:EU28)</f>
        <v>22.510707999999994</v>
      </c>
      <c r="EV29" s="78"/>
      <c r="EW29" s="81">
        <f>SUM(EW8:EW28)</f>
        <v>79553.538</v>
      </c>
      <c r="EX29" s="81">
        <f>SUM(EX8:EX28)</f>
        <v>14851.026765000002</v>
      </c>
      <c r="EY29" s="81">
        <f>SUM(EY8:EY28)</f>
        <v>94404.564765</v>
      </c>
      <c r="EZ29" s="81">
        <f>SUM(EZ8:EZ28)</f>
        <v>5626.881535500001</v>
      </c>
      <c r="FA29" s="81">
        <f>SUM(FA8:FA28)</f>
        <v>336.3597962999999</v>
      </c>
      <c r="FB29" s="78"/>
      <c r="FC29" s="81">
        <f>SUM(FC8:FC28)</f>
        <v>55263.514</v>
      </c>
      <c r="FD29" s="81">
        <f>SUM(FD8:FD28)</f>
        <v>10316.573545</v>
      </c>
      <c r="FE29" s="81">
        <f>SUM(FE8:FE28)</f>
        <v>65580.08754499999</v>
      </c>
      <c r="FF29" s="81">
        <f>SUM(FF8:FF28)</f>
        <v>3908.8298815000003</v>
      </c>
      <c r="FG29" s="81">
        <f>SUM(FG8:FG28)</f>
        <v>233.65930390000003</v>
      </c>
      <c r="FH29" s="78"/>
      <c r="FI29" s="81">
        <f>SUM(FI8:FI28)</f>
        <v>21573.433999999997</v>
      </c>
      <c r="FJ29" s="81">
        <f>SUM(FJ8:FJ28)</f>
        <v>4027.3211449999985</v>
      </c>
      <c r="FK29" s="81">
        <f>SUM(FK8:FK28)</f>
        <v>25600.755144999996</v>
      </c>
      <c r="FL29" s="81">
        <f>SUM(FL8:FL28)</f>
        <v>1525.9052014999997</v>
      </c>
      <c r="FM29" s="81">
        <f>SUM(FM8:FM28)</f>
        <v>91.2144959</v>
      </c>
      <c r="FN29" s="78"/>
      <c r="FO29" s="81">
        <f>SUM(FO8:FO28)</f>
        <v>242444.20200000002</v>
      </c>
      <c r="FP29" s="81">
        <f>SUM(FP8:FP28)</f>
        <v>45259.39918500002</v>
      </c>
      <c r="FQ29" s="81">
        <f>SUM(FQ8:FQ28)</f>
        <v>287703.601185</v>
      </c>
      <c r="FR29" s="81">
        <f>SUM(FR8:FR28)</f>
        <v>17148.260629499997</v>
      </c>
      <c r="FS29" s="81">
        <f>SUM(FS8:FS28)</f>
        <v>1025.0767526999998</v>
      </c>
      <c r="FT29" s="78"/>
      <c r="FU29" s="81">
        <f>SUM(FU8:FU28)</f>
        <v>546420.804</v>
      </c>
      <c r="FV29" s="81">
        <f>SUM(FV8:FV28)</f>
        <v>102005.64537000003</v>
      </c>
      <c r="FW29" s="81">
        <f>SUM(FW8:FW28)</f>
        <v>648426.4493699999</v>
      </c>
      <c r="FX29" s="81">
        <f>SUM(FX8:FX28)</f>
        <v>38648.75415899999</v>
      </c>
      <c r="FY29" s="81">
        <f>SUM(FY8:FY28)</f>
        <v>2310.3182454</v>
      </c>
      <c r="FZ29" s="78"/>
      <c r="GA29" s="81">
        <f>SUM(GA8:GA28)</f>
        <v>69730.174</v>
      </c>
      <c r="GB29" s="81">
        <f>SUM(GB8:GB28)</f>
        <v>13017.204595000003</v>
      </c>
      <c r="GC29" s="81">
        <f>SUM(GC8:GC28)</f>
        <v>82747.37859500002</v>
      </c>
      <c r="GD29" s="81">
        <f>SUM(GD8:GD28)</f>
        <v>4932.067616499999</v>
      </c>
      <c r="GE29" s="81">
        <f>SUM(GE8:GE28)</f>
        <v>294.82569490000003</v>
      </c>
      <c r="GF29" s="78"/>
      <c r="GG29" s="81">
        <f>SUM(GG8:GG28)</f>
        <v>110732.13600000001</v>
      </c>
      <c r="GH29" s="81">
        <f>SUM(GH8:GH28)</f>
        <v>20671.436580000005</v>
      </c>
      <c r="GI29" s="81">
        <f>SUM(GI8:GI28)</f>
        <v>131403.57258</v>
      </c>
      <c r="GJ29" s="81">
        <f>SUM(GJ8:GJ28)</f>
        <v>7832.167205999999</v>
      </c>
      <c r="GK29" s="81">
        <f>SUM(GK8:GK28)</f>
        <v>468.1858235999999</v>
      </c>
      <c r="GL29" s="78"/>
      <c r="GM29" s="81">
        <f>SUM(GM8:GM28)</f>
        <v>513182.398</v>
      </c>
      <c r="GN29" s="81">
        <f>SUM(GN8:GN28)</f>
        <v>95800.711315</v>
      </c>
      <c r="GO29" s="81">
        <f>SUM(GO8:GO28)</f>
        <v>608983.1093150002</v>
      </c>
      <c r="GP29" s="81">
        <f>SUM(GP8:GP28)</f>
        <v>36297.7767205</v>
      </c>
      <c r="GQ29" s="81">
        <f>SUM(GQ8:GQ28)</f>
        <v>2169.7831573000008</v>
      </c>
      <c r="GR29" s="78"/>
      <c r="GS29" s="81">
        <f>SUM(GS8:GS28)</f>
        <v>27235.724</v>
      </c>
      <c r="GT29" s="81">
        <f>SUM(GT8:GT28)</f>
        <v>5084.3554699999995</v>
      </c>
      <c r="GU29" s="81">
        <f>SUM(GU8:GU28)</f>
        <v>32320.079469999997</v>
      </c>
      <c r="GV29" s="81">
        <f>SUM(GV8:GV28)</f>
        <v>1926.403229000001</v>
      </c>
      <c r="GW29" s="81">
        <f>SUM(GW8:GW28)</f>
        <v>115.15518740000003</v>
      </c>
      <c r="GX29" s="78"/>
      <c r="GY29" s="81">
        <f>SUM(GY8:GY28)</f>
        <v>156152.64800000002</v>
      </c>
      <c r="GZ29" s="81">
        <f>SUM(GZ8:GZ28)</f>
        <v>29150.521940000006</v>
      </c>
      <c r="HA29" s="81">
        <f>SUM(HA8:HA28)</f>
        <v>185303.16994</v>
      </c>
      <c r="HB29" s="81">
        <f>SUM(HB8:HB28)</f>
        <v>11044.794158</v>
      </c>
      <c r="HC29" s="81">
        <f>SUM(HC8:HC28)</f>
        <v>660.2279948</v>
      </c>
      <c r="HD29" s="78"/>
      <c r="HE29" s="78"/>
      <c r="HF29" s="78"/>
      <c r="HG29" s="78"/>
      <c r="HH29" s="78"/>
      <c r="HI29" s="78"/>
    </row>
    <row r="30" ht="12.75" thickTop="1"/>
    <row r="43" spans="1:212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  <row r="64" spans="1:21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</row>
    <row r="65" spans="1:21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</row>
    <row r="66" spans="1:21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</row>
    <row r="67" spans="1:21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</row>
    <row r="68" spans="1:212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</row>
    <row r="69" spans="1:212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</row>
  </sheetData>
  <sheetProtection/>
  <printOptions/>
  <pageMargins left="0.7" right="0.7" top="0.75" bottom="0.75" header="0.3" footer="0.3"/>
  <pageSetup orientation="landscape" scale="7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M69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9" sqref="C19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6.28125" style="33" customWidth="1"/>
    <col min="8" max="8" width="3.7109375" style="33" customWidth="1"/>
    <col min="9" max="12" width="13.7109375" style="33" customWidth="1"/>
    <col min="13" max="13" width="16.00390625" style="33" customWidth="1"/>
    <col min="14" max="14" width="3.7109375" style="33" customWidth="1"/>
    <col min="15" max="18" width="13.7109375" style="0" customWidth="1"/>
    <col min="19" max="19" width="15.7109375" style="0" customWidth="1"/>
    <col min="20" max="20" width="3.7109375" style="33" customWidth="1"/>
    <col min="21" max="24" width="13.7109375" style="0" customWidth="1"/>
    <col min="25" max="25" width="15.0039062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20" customWidth="1"/>
    <col min="45" max="49" width="13.7109375" style="20" customWidth="1"/>
    <col min="50" max="50" width="3.7109375" style="20" customWidth="1"/>
    <col min="51" max="55" width="13.7109375" style="2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91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51" width="13.7109375" style="20" customWidth="1"/>
    <col min="152" max="152" width="3.7109375" style="20" customWidth="1"/>
    <col min="153" max="157" width="13.7109375" style="20" customWidth="1"/>
    <col min="158" max="158" width="3.7109375" style="20" customWidth="1"/>
    <col min="159" max="163" width="13.7109375" style="20" customWidth="1"/>
    <col min="164" max="164" width="3.7109375" style="20" customWidth="1"/>
    <col min="165" max="168" width="13.7109375" style="20" customWidth="1"/>
  </cols>
  <sheetData>
    <row r="1" spans="1:168" ht="12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P1" s="33"/>
      <c r="Q1" s="33"/>
      <c r="R1" s="33"/>
      <c r="S1" s="33"/>
      <c r="U1" s="33"/>
      <c r="V1" s="33"/>
      <c r="W1" s="45"/>
      <c r="X1" s="33"/>
      <c r="Y1" s="33"/>
      <c r="Z1" s="33"/>
      <c r="AA1" s="45" t="s">
        <v>171</v>
      </c>
      <c r="AB1" s="33"/>
      <c r="AC1" s="33"/>
      <c r="AD1" s="33"/>
      <c r="AH1" s="33"/>
      <c r="AI1" s="45"/>
      <c r="AM1" s="45" t="s">
        <v>171</v>
      </c>
      <c r="AR1"/>
      <c r="AS1"/>
      <c r="AT1"/>
      <c r="AU1" s="45"/>
      <c r="AV1"/>
      <c r="AW1"/>
      <c r="AY1" s="45" t="s">
        <v>171</v>
      </c>
      <c r="BG1" s="45"/>
      <c r="BK1" s="45" t="s">
        <v>171</v>
      </c>
      <c r="BS1" s="45"/>
      <c r="BW1" s="45" t="s">
        <v>171</v>
      </c>
      <c r="CE1" s="45"/>
      <c r="CI1" s="45" t="s">
        <v>171</v>
      </c>
      <c r="CQ1" s="45"/>
      <c r="CU1" s="45" t="s">
        <v>171</v>
      </c>
      <c r="DC1" s="45"/>
      <c r="DG1" s="45" t="s">
        <v>171</v>
      </c>
      <c r="DM1" s="20"/>
      <c r="DN1" s="20"/>
      <c r="DO1" s="45"/>
      <c r="DP1" s="20"/>
      <c r="DQ1" s="20"/>
      <c r="DS1" s="45" t="s">
        <v>171</v>
      </c>
      <c r="EA1" s="45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</row>
    <row r="2" spans="1:168" ht="12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P2" s="33"/>
      <c r="Q2" s="33"/>
      <c r="R2" s="33"/>
      <c r="S2" s="33"/>
      <c r="U2" s="33"/>
      <c r="V2" s="33"/>
      <c r="W2" s="45"/>
      <c r="X2" s="33"/>
      <c r="Y2" s="33"/>
      <c r="Z2" s="33"/>
      <c r="AA2" s="43" t="str">
        <f>O2</f>
        <v>Distribution of Debt Services after 2011B Bond Issue</v>
      </c>
      <c r="AB2" s="33"/>
      <c r="AC2" s="33"/>
      <c r="AD2" s="33"/>
      <c r="AH2" s="33"/>
      <c r="AI2" s="45"/>
      <c r="AM2" s="43" t="str">
        <f>AA2</f>
        <v>Distribution of Debt Services after 2011B Bond Issue</v>
      </c>
      <c r="AR2"/>
      <c r="AS2"/>
      <c r="AT2"/>
      <c r="AU2" s="45"/>
      <c r="AV2"/>
      <c r="AW2"/>
      <c r="AY2" s="43" t="str">
        <f>AM2</f>
        <v>Distribution of Debt Services after 2011B Bond Issue</v>
      </c>
      <c r="BG2" s="45"/>
      <c r="BK2" s="43" t="str">
        <f>AY2</f>
        <v>Distribution of Debt Services after 2011B Bond Issue</v>
      </c>
      <c r="BS2" s="45"/>
      <c r="BW2" s="43" t="str">
        <f>BK2</f>
        <v>Distribution of Debt Services after 2011B Bond Issue</v>
      </c>
      <c r="CE2" s="45"/>
      <c r="CI2" s="43" t="str">
        <f>BW2</f>
        <v>Distribution of Debt Services after 2011B Bond Issue</v>
      </c>
      <c r="CQ2" s="45"/>
      <c r="CU2" s="43" t="str">
        <f>CI2</f>
        <v>Distribution of Debt Services after 2011B Bond Issue</v>
      </c>
      <c r="DC2" s="45"/>
      <c r="DG2" s="43" t="str">
        <f>CU2</f>
        <v>Distribution of Debt Services after 2011B Bond Issue</v>
      </c>
      <c r="DM2" s="20"/>
      <c r="DN2" s="20"/>
      <c r="DO2" s="45"/>
      <c r="DP2" s="20"/>
      <c r="DQ2" s="20"/>
      <c r="DS2" s="43" t="str">
        <f>DG2</f>
        <v>Distribution of Debt Services after 2011B Bond Issue</v>
      </c>
      <c r="EA2" s="45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168" ht="12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P3" s="33"/>
      <c r="Q3" s="33"/>
      <c r="R3" s="33"/>
      <c r="S3" s="33"/>
      <c r="U3" s="33"/>
      <c r="V3" s="33"/>
      <c r="W3" s="45"/>
      <c r="X3" s="33"/>
      <c r="Y3" s="33"/>
      <c r="Z3" s="33"/>
      <c r="AA3" s="45" t="s">
        <v>173</v>
      </c>
      <c r="AB3" s="33"/>
      <c r="AC3" s="33"/>
      <c r="AD3" s="33"/>
      <c r="AF3" s="12"/>
      <c r="AH3" s="33"/>
      <c r="AI3" s="45"/>
      <c r="AM3" s="45" t="s">
        <v>173</v>
      </c>
      <c r="AR3"/>
      <c r="AS3"/>
      <c r="AT3"/>
      <c r="AU3" s="45"/>
      <c r="AV3"/>
      <c r="AW3"/>
      <c r="AY3" s="45" t="s">
        <v>173</v>
      </c>
      <c r="BG3" s="45"/>
      <c r="BK3" s="45" t="s">
        <v>173</v>
      </c>
      <c r="BS3" s="45"/>
      <c r="BW3" s="45" t="s">
        <v>173</v>
      </c>
      <c r="CE3" s="45"/>
      <c r="CI3" s="45" t="s">
        <v>173</v>
      </c>
      <c r="CQ3" s="45"/>
      <c r="CU3" s="45" t="s">
        <v>173</v>
      </c>
      <c r="DC3" s="45"/>
      <c r="DG3" s="45" t="s">
        <v>173</v>
      </c>
      <c r="DM3" s="20"/>
      <c r="DN3" s="20"/>
      <c r="DO3" s="45"/>
      <c r="DP3" s="20"/>
      <c r="DQ3" s="20"/>
      <c r="DS3" s="45" t="s">
        <v>173</v>
      </c>
      <c r="EA3" s="45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</row>
    <row r="4" spans="1:165" ht="12">
      <c r="A4" s="44"/>
      <c r="B4" s="30"/>
      <c r="FI4" s="21"/>
    </row>
    <row r="5" spans="1:169" ht="12">
      <c r="A5" s="22" t="s">
        <v>9</v>
      </c>
      <c r="C5" s="70" t="s">
        <v>182</v>
      </c>
      <c r="D5" s="71"/>
      <c r="E5" s="72"/>
      <c r="F5" s="41"/>
      <c r="G5" s="41"/>
      <c r="I5" s="37" t="s">
        <v>85</v>
      </c>
      <c r="J5" s="38"/>
      <c r="K5" s="39"/>
      <c r="L5" s="41"/>
      <c r="M5" s="41"/>
      <c r="O5" s="37" t="s">
        <v>116</v>
      </c>
      <c r="P5" s="38"/>
      <c r="Q5" s="39"/>
      <c r="R5" s="41"/>
      <c r="S5" s="41"/>
      <c r="U5" s="23" t="s">
        <v>117</v>
      </c>
      <c r="V5" s="24"/>
      <c r="W5" s="25"/>
      <c r="X5" s="41"/>
      <c r="Y5" s="41"/>
      <c r="AA5" s="23" t="s">
        <v>166</v>
      </c>
      <c r="AB5" s="24"/>
      <c r="AC5" s="25"/>
      <c r="AD5" s="41"/>
      <c r="AE5" s="41"/>
      <c r="AG5" s="23" t="s">
        <v>118</v>
      </c>
      <c r="AH5" s="24"/>
      <c r="AI5" s="25"/>
      <c r="AJ5" s="41"/>
      <c r="AK5" s="41"/>
      <c r="AM5" s="23" t="s">
        <v>119</v>
      </c>
      <c r="AN5" s="24"/>
      <c r="AO5" s="25"/>
      <c r="AP5" s="41"/>
      <c r="AQ5" s="41"/>
      <c r="AS5" s="23" t="s">
        <v>120</v>
      </c>
      <c r="AT5" s="24"/>
      <c r="AU5" s="25"/>
      <c r="AV5" s="41"/>
      <c r="AW5" s="41"/>
      <c r="AY5" s="23" t="s">
        <v>121</v>
      </c>
      <c r="AZ5" s="24"/>
      <c r="BA5" s="25"/>
      <c r="BB5" s="41"/>
      <c r="BC5" s="41"/>
      <c r="BE5" s="23" t="s">
        <v>122</v>
      </c>
      <c r="BF5" s="24"/>
      <c r="BG5" s="25"/>
      <c r="BH5" s="41"/>
      <c r="BI5" s="41"/>
      <c r="BK5" s="23" t="s">
        <v>123</v>
      </c>
      <c r="BL5" s="24"/>
      <c r="BM5" s="25"/>
      <c r="BN5" s="41"/>
      <c r="BO5" s="41"/>
      <c r="BQ5" s="23" t="s">
        <v>124</v>
      </c>
      <c r="BR5" s="24"/>
      <c r="BS5" s="25"/>
      <c r="BT5" s="41"/>
      <c r="BU5" s="41"/>
      <c r="BW5" s="23" t="s">
        <v>125</v>
      </c>
      <c r="BX5" s="24"/>
      <c r="BY5" s="25"/>
      <c r="BZ5" s="41"/>
      <c r="CA5" s="41"/>
      <c r="CC5" s="23" t="s">
        <v>126</v>
      </c>
      <c r="CD5" s="24"/>
      <c r="CE5" s="25"/>
      <c r="CF5" s="41"/>
      <c r="CG5" s="41"/>
      <c r="CI5" s="23" t="s">
        <v>127</v>
      </c>
      <c r="CJ5" s="24"/>
      <c r="CK5" s="25"/>
      <c r="CL5" s="41"/>
      <c r="CM5" s="41"/>
      <c r="CO5" s="23" t="s">
        <v>128</v>
      </c>
      <c r="CP5" s="24"/>
      <c r="CQ5" s="25"/>
      <c r="CR5" s="41"/>
      <c r="CS5" s="41"/>
      <c r="CU5" s="23" t="s">
        <v>129</v>
      </c>
      <c r="CV5" s="24"/>
      <c r="CW5" s="25"/>
      <c r="CX5" s="41"/>
      <c r="CY5" s="41"/>
      <c r="DA5" s="23" t="s">
        <v>130</v>
      </c>
      <c r="DB5" s="24"/>
      <c r="DC5" s="25"/>
      <c r="DD5" s="41"/>
      <c r="DE5" s="41"/>
      <c r="DG5" s="23" t="s">
        <v>131</v>
      </c>
      <c r="DH5" s="24"/>
      <c r="DI5" s="25"/>
      <c r="DJ5" s="41"/>
      <c r="DK5" s="41"/>
      <c r="DM5" s="82" t="s">
        <v>177</v>
      </c>
      <c r="DN5" s="83"/>
      <c r="DO5" s="84"/>
      <c r="DP5" s="85"/>
      <c r="DQ5" s="41"/>
      <c r="DS5" s="56" t="s">
        <v>144</v>
      </c>
      <c r="DT5" s="24"/>
      <c r="DU5" s="25"/>
      <c r="DV5" s="41"/>
      <c r="DW5" s="41"/>
      <c r="DY5" s="56" t="s">
        <v>132</v>
      </c>
      <c r="DZ5" s="24"/>
      <c r="EA5" s="25"/>
      <c r="EB5" s="41"/>
      <c r="EC5" s="41"/>
      <c r="EE5" s="56" t="s">
        <v>133</v>
      </c>
      <c r="EF5" s="24"/>
      <c r="EG5" s="25"/>
      <c r="EH5" s="41"/>
      <c r="EI5" s="41"/>
      <c r="EK5" s="56" t="s">
        <v>134</v>
      </c>
      <c r="EL5" s="24"/>
      <c r="EM5" s="25"/>
      <c r="EN5" s="41"/>
      <c r="EO5" s="41"/>
      <c r="EQ5" s="56" t="s">
        <v>135</v>
      </c>
      <c r="ER5" s="24"/>
      <c r="ES5" s="25"/>
      <c r="ET5" s="41"/>
      <c r="EU5" s="41"/>
      <c r="EW5" s="56" t="s">
        <v>136</v>
      </c>
      <c r="EX5" s="24"/>
      <c r="EY5" s="25"/>
      <c r="EZ5" s="41"/>
      <c r="FA5" s="41"/>
      <c r="FC5" s="56" t="s">
        <v>137</v>
      </c>
      <c r="FD5" s="24"/>
      <c r="FE5" s="25"/>
      <c r="FF5" s="41"/>
      <c r="FG5" s="41"/>
      <c r="FI5" s="56" t="s">
        <v>14</v>
      </c>
      <c r="FJ5" s="24"/>
      <c r="FK5" s="25"/>
      <c r="FL5" s="41"/>
      <c r="FM5" s="41"/>
    </row>
    <row r="6" spans="1:169" s="12" customFormat="1" ht="12">
      <c r="A6" s="46" t="s">
        <v>10</v>
      </c>
      <c r="C6" s="73" t="s">
        <v>183</v>
      </c>
      <c r="D6" s="74"/>
      <c r="E6" s="75"/>
      <c r="F6" s="41" t="s">
        <v>168</v>
      </c>
      <c r="G6" s="41" t="s">
        <v>176</v>
      </c>
      <c r="H6" s="33"/>
      <c r="I6" s="40"/>
      <c r="J6" s="67">
        <v>0.5428259</v>
      </c>
      <c r="K6" s="39"/>
      <c r="L6" s="41" t="s">
        <v>168</v>
      </c>
      <c r="M6" s="41" t="s">
        <v>176</v>
      </c>
      <c r="N6" s="33"/>
      <c r="O6" s="40"/>
      <c r="P6" s="53">
        <f>V6+AB6+AH6+AN6+AT6+AZ6+BF6+BL6+BR6+BX6+CD6+CJ6+CP6+CV6+DB6+DH6+DN6+DT6+DZ6+EF6+EL6+ER6+EX6+FD6</f>
        <v>0.4571741000000001</v>
      </c>
      <c r="Q6" s="39"/>
      <c r="R6" s="41" t="s">
        <v>168</v>
      </c>
      <c r="S6" s="41" t="s">
        <v>176</v>
      </c>
      <c r="T6" s="33"/>
      <c r="U6" s="47"/>
      <c r="V6" s="32">
        <v>0.081724</v>
      </c>
      <c r="W6" s="48"/>
      <c r="X6" s="41" t="s">
        <v>168</v>
      </c>
      <c r="Y6" s="41" t="s">
        <v>176</v>
      </c>
      <c r="AA6" s="47"/>
      <c r="AB6" s="32">
        <v>0.0595646</v>
      </c>
      <c r="AC6" s="48"/>
      <c r="AD6" s="41" t="s">
        <v>168</v>
      </c>
      <c r="AE6" s="41" t="s">
        <v>176</v>
      </c>
      <c r="AG6" s="47"/>
      <c r="AH6" s="32">
        <v>0.0315804</v>
      </c>
      <c r="AI6" s="48"/>
      <c r="AJ6" s="41" t="s">
        <v>168</v>
      </c>
      <c r="AK6" s="41" t="s">
        <v>176</v>
      </c>
      <c r="AM6" s="47"/>
      <c r="AN6" s="32">
        <v>0.022968</v>
      </c>
      <c r="AO6" s="48"/>
      <c r="AP6" s="41" t="s">
        <v>168</v>
      </c>
      <c r="AQ6" s="41" t="s">
        <v>176</v>
      </c>
      <c r="AS6" s="47"/>
      <c r="AT6" s="32">
        <v>0.0026309</v>
      </c>
      <c r="AU6" s="48"/>
      <c r="AV6" s="41" t="s">
        <v>168</v>
      </c>
      <c r="AW6" s="41" t="s">
        <v>176</v>
      </c>
      <c r="AY6" s="47"/>
      <c r="AZ6" s="32">
        <v>0.0416229</v>
      </c>
      <c r="BA6" s="48"/>
      <c r="BB6" s="41" t="s">
        <v>168</v>
      </c>
      <c r="BC6" s="41" t="s">
        <v>176</v>
      </c>
      <c r="BE6" s="47"/>
      <c r="BF6" s="32">
        <v>0.0045121</v>
      </c>
      <c r="BG6" s="48"/>
      <c r="BH6" s="41" t="s">
        <v>168</v>
      </c>
      <c r="BI6" s="41" t="s">
        <v>176</v>
      </c>
      <c r="BK6" s="47"/>
      <c r="BL6" s="32">
        <v>0.0141147</v>
      </c>
      <c r="BM6" s="48"/>
      <c r="BN6" s="41" t="s">
        <v>168</v>
      </c>
      <c r="BO6" s="41" t="s">
        <v>176</v>
      </c>
      <c r="BQ6" s="47"/>
      <c r="BR6" s="32">
        <v>0.0071579</v>
      </c>
      <c r="BS6" s="48"/>
      <c r="BT6" s="41" t="s">
        <v>168</v>
      </c>
      <c r="BU6" s="41" t="s">
        <v>176</v>
      </c>
      <c r="BW6" s="47"/>
      <c r="BX6" s="32">
        <v>0.0013901</v>
      </c>
      <c r="BY6" s="48"/>
      <c r="BZ6" s="41" t="s">
        <v>168</v>
      </c>
      <c r="CA6" s="41" t="s">
        <v>176</v>
      </c>
      <c r="CC6" s="47"/>
      <c r="CD6" s="32">
        <v>0.0055234</v>
      </c>
      <c r="CE6" s="48"/>
      <c r="CF6" s="41" t="s">
        <v>168</v>
      </c>
      <c r="CG6" s="41" t="s">
        <v>176</v>
      </c>
      <c r="CI6" s="47"/>
      <c r="CJ6" s="32">
        <v>0.0134713</v>
      </c>
      <c r="CK6" s="48"/>
      <c r="CL6" s="41" t="s">
        <v>168</v>
      </c>
      <c r="CM6" s="41" t="s">
        <v>176</v>
      </c>
      <c r="CO6" s="47"/>
      <c r="CP6" s="32">
        <v>0.0301524</v>
      </c>
      <c r="CQ6" s="48"/>
      <c r="CR6" s="41" t="s">
        <v>168</v>
      </c>
      <c r="CS6" s="41" t="s">
        <v>176</v>
      </c>
      <c r="CU6" s="47"/>
      <c r="CV6" s="32">
        <v>0.0045619</v>
      </c>
      <c r="CW6" s="48"/>
      <c r="CX6" s="41" t="s">
        <v>168</v>
      </c>
      <c r="CY6" s="98" t="s">
        <v>176</v>
      </c>
      <c r="DA6" s="47"/>
      <c r="DB6" s="32">
        <v>0.0131079</v>
      </c>
      <c r="DC6" s="48"/>
      <c r="DD6" s="41" t="s">
        <v>168</v>
      </c>
      <c r="DE6" s="98" t="s">
        <v>176</v>
      </c>
      <c r="DG6" s="47"/>
      <c r="DH6" s="32">
        <v>0.0005051</v>
      </c>
      <c r="DI6" s="48"/>
      <c r="DJ6" s="41" t="s">
        <v>168</v>
      </c>
      <c r="DK6" s="98" t="s">
        <v>176</v>
      </c>
      <c r="DM6" s="86"/>
      <c r="DN6" s="87">
        <v>0.0276518</v>
      </c>
      <c r="DO6" s="88"/>
      <c r="DP6" s="85" t="s">
        <v>168</v>
      </c>
      <c r="DQ6" s="98" t="s">
        <v>176</v>
      </c>
      <c r="DS6" s="47"/>
      <c r="DT6" s="32">
        <v>0.0043534</v>
      </c>
      <c r="DU6" s="48"/>
      <c r="DV6" s="41" t="s">
        <v>168</v>
      </c>
      <c r="DW6" s="98" t="s">
        <v>176</v>
      </c>
      <c r="DY6" s="47"/>
      <c r="DZ6" s="32">
        <v>0.0224029</v>
      </c>
      <c r="EA6" s="48"/>
      <c r="EB6" s="41" t="s">
        <v>168</v>
      </c>
      <c r="EC6" s="98" t="s">
        <v>176</v>
      </c>
      <c r="EE6" s="47"/>
      <c r="EF6" s="32">
        <v>0.0063958</v>
      </c>
      <c r="EG6" s="48"/>
      <c r="EH6" s="41" t="s">
        <v>168</v>
      </c>
      <c r="EI6" s="98" t="s">
        <v>176</v>
      </c>
      <c r="EK6" s="47"/>
      <c r="EL6" s="32">
        <v>6.42E-05</v>
      </c>
      <c r="EM6" s="48"/>
      <c r="EN6" s="41" t="s">
        <v>168</v>
      </c>
      <c r="EO6" s="98" t="s">
        <v>176</v>
      </c>
      <c r="EQ6" s="47"/>
      <c r="ER6" s="32">
        <v>0.0001192</v>
      </c>
      <c r="ES6" s="48"/>
      <c r="ET6" s="41" t="s">
        <v>168</v>
      </c>
      <c r="EU6" s="98" t="s">
        <v>176</v>
      </c>
      <c r="EW6" s="47"/>
      <c r="EX6" s="32">
        <v>0.0215476</v>
      </c>
      <c r="EY6" s="48"/>
      <c r="EZ6" s="41" t="s">
        <v>168</v>
      </c>
      <c r="FA6" s="98" t="s">
        <v>176</v>
      </c>
      <c r="FC6" s="47"/>
      <c r="FD6" s="32">
        <v>0.0400516</v>
      </c>
      <c r="FE6" s="48"/>
      <c r="FF6" s="41" t="s">
        <v>168</v>
      </c>
      <c r="FG6" s="98" t="s">
        <v>176</v>
      </c>
      <c r="FI6" s="47"/>
      <c r="FJ6" s="32"/>
      <c r="FK6" s="48"/>
      <c r="FL6" s="41" t="s">
        <v>168</v>
      </c>
      <c r="FM6" s="98" t="s">
        <v>176</v>
      </c>
    </row>
    <row r="7" spans="1:169" ht="12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9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41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41" t="s">
        <v>184</v>
      </c>
      <c r="U7" s="27" t="s">
        <v>11</v>
      </c>
      <c r="V7" s="27" t="s">
        <v>12</v>
      </c>
      <c r="W7" s="27" t="s">
        <v>4</v>
      </c>
      <c r="X7" s="41" t="s">
        <v>169</v>
      </c>
      <c r="Y7" s="41" t="s">
        <v>184</v>
      </c>
      <c r="AA7" s="27" t="s">
        <v>11</v>
      </c>
      <c r="AB7" s="27" t="s">
        <v>12</v>
      </c>
      <c r="AC7" s="27" t="s">
        <v>4</v>
      </c>
      <c r="AD7" s="41" t="s">
        <v>169</v>
      </c>
      <c r="AE7" s="41" t="s">
        <v>184</v>
      </c>
      <c r="AG7" s="27" t="s">
        <v>11</v>
      </c>
      <c r="AH7" s="27" t="s">
        <v>12</v>
      </c>
      <c r="AI7" s="27" t="s">
        <v>4</v>
      </c>
      <c r="AJ7" s="41" t="s">
        <v>169</v>
      </c>
      <c r="AK7" s="41" t="s">
        <v>184</v>
      </c>
      <c r="AM7" s="27" t="s">
        <v>11</v>
      </c>
      <c r="AN7" s="27" t="s">
        <v>12</v>
      </c>
      <c r="AO7" s="27" t="s">
        <v>4</v>
      </c>
      <c r="AP7" s="41" t="s">
        <v>169</v>
      </c>
      <c r="AQ7" s="41" t="s">
        <v>184</v>
      </c>
      <c r="AS7" s="27" t="s">
        <v>11</v>
      </c>
      <c r="AT7" s="27" t="s">
        <v>12</v>
      </c>
      <c r="AU7" s="27" t="s">
        <v>4</v>
      </c>
      <c r="AV7" s="41" t="s">
        <v>169</v>
      </c>
      <c r="AW7" s="41" t="s">
        <v>184</v>
      </c>
      <c r="AY7" s="27" t="s">
        <v>11</v>
      </c>
      <c r="AZ7" s="27" t="s">
        <v>12</v>
      </c>
      <c r="BA7" s="27" t="s">
        <v>4</v>
      </c>
      <c r="BB7" s="41" t="s">
        <v>169</v>
      </c>
      <c r="BC7" s="41" t="s">
        <v>184</v>
      </c>
      <c r="BE7" s="27" t="s">
        <v>11</v>
      </c>
      <c r="BF7" s="27" t="s">
        <v>12</v>
      </c>
      <c r="BG7" s="27" t="s">
        <v>4</v>
      </c>
      <c r="BH7" s="41" t="s">
        <v>169</v>
      </c>
      <c r="BI7" s="41" t="s">
        <v>184</v>
      </c>
      <c r="BK7" s="27" t="s">
        <v>11</v>
      </c>
      <c r="BL7" s="27" t="s">
        <v>12</v>
      </c>
      <c r="BM7" s="27" t="s">
        <v>4</v>
      </c>
      <c r="BN7" s="41" t="s">
        <v>169</v>
      </c>
      <c r="BO7" s="41" t="s">
        <v>184</v>
      </c>
      <c r="BQ7" s="27" t="s">
        <v>11</v>
      </c>
      <c r="BR7" s="27" t="s">
        <v>12</v>
      </c>
      <c r="BS7" s="27" t="s">
        <v>4</v>
      </c>
      <c r="BT7" s="41" t="s">
        <v>169</v>
      </c>
      <c r="BU7" s="41" t="s">
        <v>184</v>
      </c>
      <c r="BW7" s="27" t="s">
        <v>11</v>
      </c>
      <c r="BX7" s="27" t="s">
        <v>12</v>
      </c>
      <c r="BY7" s="27" t="s">
        <v>4</v>
      </c>
      <c r="BZ7" s="41" t="s">
        <v>169</v>
      </c>
      <c r="CA7" s="41" t="s">
        <v>184</v>
      </c>
      <c r="CC7" s="27" t="s">
        <v>11</v>
      </c>
      <c r="CD7" s="27" t="s">
        <v>12</v>
      </c>
      <c r="CE7" s="27" t="s">
        <v>4</v>
      </c>
      <c r="CF7" s="41" t="s">
        <v>169</v>
      </c>
      <c r="CG7" s="41" t="s">
        <v>184</v>
      </c>
      <c r="CI7" s="27" t="s">
        <v>11</v>
      </c>
      <c r="CJ7" s="27" t="s">
        <v>12</v>
      </c>
      <c r="CK7" s="27" t="s">
        <v>4</v>
      </c>
      <c r="CL7" s="41" t="s">
        <v>169</v>
      </c>
      <c r="CM7" s="41" t="s">
        <v>184</v>
      </c>
      <c r="CO7" s="27" t="s">
        <v>11</v>
      </c>
      <c r="CP7" s="27" t="s">
        <v>12</v>
      </c>
      <c r="CQ7" s="27" t="s">
        <v>4</v>
      </c>
      <c r="CR7" s="41" t="s">
        <v>169</v>
      </c>
      <c r="CS7" s="41" t="s">
        <v>184</v>
      </c>
      <c r="CU7" s="27" t="s">
        <v>11</v>
      </c>
      <c r="CV7" s="27" t="s">
        <v>12</v>
      </c>
      <c r="CW7" s="27" t="s">
        <v>4</v>
      </c>
      <c r="CX7" s="41" t="s">
        <v>169</v>
      </c>
      <c r="CY7" s="98" t="s">
        <v>184</v>
      </c>
      <c r="DA7" s="27" t="s">
        <v>11</v>
      </c>
      <c r="DB7" s="27" t="s">
        <v>12</v>
      </c>
      <c r="DC7" s="27" t="s">
        <v>4</v>
      </c>
      <c r="DD7" s="41" t="s">
        <v>169</v>
      </c>
      <c r="DE7" s="98" t="s">
        <v>184</v>
      </c>
      <c r="DG7" s="27" t="s">
        <v>11</v>
      </c>
      <c r="DH7" s="27" t="s">
        <v>12</v>
      </c>
      <c r="DI7" s="27" t="s">
        <v>4</v>
      </c>
      <c r="DJ7" s="41" t="s">
        <v>169</v>
      </c>
      <c r="DK7" s="98" t="s">
        <v>184</v>
      </c>
      <c r="DM7" s="89" t="s">
        <v>11</v>
      </c>
      <c r="DN7" s="89" t="s">
        <v>12</v>
      </c>
      <c r="DO7" s="89" t="s">
        <v>4</v>
      </c>
      <c r="DP7" s="85" t="s">
        <v>169</v>
      </c>
      <c r="DQ7" s="98" t="s">
        <v>184</v>
      </c>
      <c r="DS7" s="27" t="s">
        <v>11</v>
      </c>
      <c r="DT7" s="27" t="s">
        <v>12</v>
      </c>
      <c r="DU7" s="27" t="s">
        <v>4</v>
      </c>
      <c r="DV7" s="41" t="s">
        <v>169</v>
      </c>
      <c r="DW7" s="98" t="s">
        <v>184</v>
      </c>
      <c r="DY7" s="27" t="s">
        <v>11</v>
      </c>
      <c r="DZ7" s="27" t="s">
        <v>12</v>
      </c>
      <c r="EA7" s="27" t="s">
        <v>4</v>
      </c>
      <c r="EB7" s="41" t="s">
        <v>169</v>
      </c>
      <c r="EC7" s="98" t="s">
        <v>184</v>
      </c>
      <c r="EE7" s="27" t="s">
        <v>11</v>
      </c>
      <c r="EF7" s="27" t="s">
        <v>12</v>
      </c>
      <c r="EG7" s="27" t="s">
        <v>4</v>
      </c>
      <c r="EH7" s="41" t="s">
        <v>169</v>
      </c>
      <c r="EI7" s="98" t="s">
        <v>184</v>
      </c>
      <c r="EK7" s="27" t="s">
        <v>11</v>
      </c>
      <c r="EL7" s="27" t="s">
        <v>12</v>
      </c>
      <c r="EM7" s="27" t="s">
        <v>4</v>
      </c>
      <c r="EN7" s="41" t="s">
        <v>169</v>
      </c>
      <c r="EO7" s="98" t="s">
        <v>184</v>
      </c>
      <c r="EQ7" s="27" t="s">
        <v>11</v>
      </c>
      <c r="ER7" s="27" t="s">
        <v>12</v>
      </c>
      <c r="ES7" s="27" t="s">
        <v>4</v>
      </c>
      <c r="ET7" s="41" t="s">
        <v>169</v>
      </c>
      <c r="EU7" s="98" t="s">
        <v>184</v>
      </c>
      <c r="EW7" s="27" t="s">
        <v>11</v>
      </c>
      <c r="EX7" s="27" t="s">
        <v>12</v>
      </c>
      <c r="EY7" s="27" t="s">
        <v>4</v>
      </c>
      <c r="EZ7" s="41" t="s">
        <v>169</v>
      </c>
      <c r="FA7" s="98" t="s">
        <v>184</v>
      </c>
      <c r="FC7" s="27" t="s">
        <v>11</v>
      </c>
      <c r="FD7" s="27" t="s">
        <v>12</v>
      </c>
      <c r="FE7" s="27" t="s">
        <v>4</v>
      </c>
      <c r="FF7" s="41" t="s">
        <v>169</v>
      </c>
      <c r="FG7" s="98" t="s">
        <v>184</v>
      </c>
      <c r="FI7" s="27" t="s">
        <v>11</v>
      </c>
      <c r="FJ7" s="27" t="s">
        <v>12</v>
      </c>
      <c r="FK7" s="27" t="s">
        <v>4</v>
      </c>
      <c r="FL7" s="41" t="s">
        <v>169</v>
      </c>
      <c r="FM7" s="98" t="s">
        <v>184</v>
      </c>
    </row>
    <row r="8" spans="1:169" ht="12">
      <c r="A8" s="19">
        <v>41913</v>
      </c>
      <c r="C8" s="36"/>
      <c r="D8" s="36">
        <v>439563</v>
      </c>
      <c r="E8" s="77">
        <f aca="true" t="shared" si="0" ref="E8:E27">C8+D8</f>
        <v>439563</v>
      </c>
      <c r="F8" s="77">
        <v>91653</v>
      </c>
      <c r="G8" s="77">
        <v>4485</v>
      </c>
      <c r="H8" s="78"/>
      <c r="I8" s="79">
        <f>'2011B Academic'!I8</f>
        <v>0</v>
      </c>
      <c r="J8" s="79">
        <f>'2011B Academic'!J8</f>
        <v>238606.18108169996</v>
      </c>
      <c r="K8" s="79">
        <f aca="true" t="shared" si="1" ref="K8:K27">I8+J8</f>
        <v>238606.18108169996</v>
      </c>
      <c r="L8" s="79">
        <f>'2011B Academic'!L8</f>
        <v>49751.6222127</v>
      </c>
      <c r="M8" s="79">
        <f>'2011B Academic'!M8</f>
        <v>2434.5741615</v>
      </c>
      <c r="N8" s="78"/>
      <c r="O8" s="78">
        <f aca="true" t="shared" si="2" ref="O8:P27">U8+AA8+AG8+AM8+AS8+AY8+BE8+BK8+BQ8+BW8+CC8+CI8+CO8+CU8+DA8+DG8+DM8+DS8+DY8+EE8+EK8+EQ8+EW8+FC8</f>
        <v>0</v>
      </c>
      <c r="P8" s="80">
        <f t="shared" si="2"/>
        <v>200956.81891829995</v>
      </c>
      <c r="Q8" s="78">
        <f aca="true" t="shared" si="3" ref="Q8:Q27">O8+P8</f>
        <v>200956.81891829995</v>
      </c>
      <c r="R8" s="78">
        <f aca="true" t="shared" si="4" ref="R8:S27">X8+AD8+AJ8+AP8+AV8+BB8+BH8+BN8+BT8+BZ8+CF8+CL8+CR8+CX8+DD8+DJ8+DP8+DV8+EB8+EH8+EN8+ET8+EZ8+FF8+FL8</f>
        <v>41901.37778729999</v>
      </c>
      <c r="S8" s="78">
        <f t="shared" si="4"/>
        <v>2050.4258385</v>
      </c>
      <c r="T8" s="78"/>
      <c r="U8" s="78"/>
      <c r="V8" s="77">
        <f aca="true" t="shared" si="5" ref="V8:V27">D8*8.1724/100</f>
        <v>35922.846612</v>
      </c>
      <c r="W8" s="78">
        <f aca="true" t="shared" si="6" ref="W8:W27">U8+V8</f>
        <v>35922.846612</v>
      </c>
      <c r="X8" s="78">
        <f aca="true" t="shared" si="7" ref="X8:X27">V$6*$F8</f>
        <v>7490.249772</v>
      </c>
      <c r="Y8" s="77">
        <f aca="true" t="shared" si="8" ref="Y8:Y27">V$6*$G8</f>
        <v>366.53214</v>
      </c>
      <c r="Z8" s="78"/>
      <c r="AA8" s="78"/>
      <c r="AB8" s="78">
        <f aca="true" t="shared" si="9" ref="AB8:AB27">D8*5.95646/100</f>
        <v>26182.3942698</v>
      </c>
      <c r="AC8" s="78">
        <f aca="true" t="shared" si="10" ref="AC8:AC27">AA8+AB8</f>
        <v>26182.3942698</v>
      </c>
      <c r="AD8" s="78">
        <f aca="true" t="shared" si="11" ref="AD8:AD27">AB$6*$F8</f>
        <v>5459.2742838</v>
      </c>
      <c r="AE8" s="77">
        <f aca="true" t="shared" si="12" ref="AE8:AE27">AB$6*$G8</f>
        <v>267.14723100000003</v>
      </c>
      <c r="AF8" s="78"/>
      <c r="AG8" s="78"/>
      <c r="AH8" s="78">
        <f aca="true" t="shared" si="13" ref="AH8:AH27">D8*3.15804/100</f>
        <v>13881.5753652</v>
      </c>
      <c r="AI8" s="78">
        <f aca="true" t="shared" si="14" ref="AI8:AI27">AG8+AH8</f>
        <v>13881.5753652</v>
      </c>
      <c r="AJ8" s="78">
        <f aca="true" t="shared" si="15" ref="AJ8:AJ27">AH$6*$F8</f>
        <v>2894.4384012</v>
      </c>
      <c r="AK8" s="77">
        <f aca="true" t="shared" si="16" ref="AK8:AK27">AH$6*$G8</f>
        <v>141.638094</v>
      </c>
      <c r="AL8" s="78"/>
      <c r="AM8" s="78"/>
      <c r="AN8" s="78">
        <f aca="true" t="shared" si="17" ref="AN8:AN27">D8*2.2968/100</f>
        <v>10095.882984000002</v>
      </c>
      <c r="AO8" s="78">
        <f aca="true" t="shared" si="18" ref="AO8:AO27">AM8+AN8</f>
        <v>10095.882984000002</v>
      </c>
      <c r="AP8" s="78">
        <f aca="true" t="shared" si="19" ref="AP8:AP27">AN$6*$F8</f>
        <v>2105.086104</v>
      </c>
      <c r="AQ8" s="77">
        <f aca="true" t="shared" si="20" ref="AQ8:AQ27">AN$6*$G8</f>
        <v>103.01147999999999</v>
      </c>
      <c r="AR8" s="78"/>
      <c r="AS8" s="78"/>
      <c r="AT8" s="78">
        <f aca="true" t="shared" si="21" ref="AT8:AT27">D8*0.26309/100</f>
        <v>1156.4462967</v>
      </c>
      <c r="AU8" s="78">
        <f aca="true" t="shared" si="22" ref="AU8:AU27">AS8+AT8</f>
        <v>1156.4462967</v>
      </c>
      <c r="AV8" s="78">
        <f aca="true" t="shared" si="23" ref="AV8:AV27">AT$6*$F8</f>
        <v>241.12987769999998</v>
      </c>
      <c r="AW8" s="77">
        <f aca="true" t="shared" si="24" ref="AW8:AW27">AT$6*$G8</f>
        <v>11.799586499999998</v>
      </c>
      <c r="AX8" s="78"/>
      <c r="AY8" s="78"/>
      <c r="AZ8" s="78">
        <f aca="true" t="shared" si="25" ref="AZ8:AZ27">D8*4.16229/100</f>
        <v>18295.886792699996</v>
      </c>
      <c r="BA8" s="78">
        <f aca="true" t="shared" si="26" ref="BA8:BA27">AY8+AZ8</f>
        <v>18295.886792699996</v>
      </c>
      <c r="BB8" s="78">
        <f aca="true" t="shared" si="27" ref="BB8:BB27">AZ$6*$F8</f>
        <v>3814.8636536999998</v>
      </c>
      <c r="BC8" s="77">
        <f aca="true" t="shared" si="28" ref="BC8:BC27">AZ$6*$G8</f>
        <v>186.67870649999998</v>
      </c>
      <c r="BD8" s="78"/>
      <c r="BE8" s="78"/>
      <c r="BF8" s="78">
        <f aca="true" t="shared" si="29" ref="BF8:BF27">D8*0.45121/100</f>
        <v>1983.3522123</v>
      </c>
      <c r="BG8" s="78">
        <f aca="true" t="shared" si="30" ref="BG8:BG27">BE8+BF8</f>
        <v>1983.3522123</v>
      </c>
      <c r="BH8" s="78">
        <f aca="true" t="shared" si="31" ref="BH8:BH27">BF$6*$F8</f>
        <v>413.54750129999996</v>
      </c>
      <c r="BI8" s="77">
        <f aca="true" t="shared" si="32" ref="BI8:BI27">BF$6*$G8</f>
        <v>20.2367685</v>
      </c>
      <c r="BJ8" s="78"/>
      <c r="BK8" s="78"/>
      <c r="BL8" s="78">
        <f aca="true" t="shared" si="33" ref="BL8:BL27">D8*1.41147/100</f>
        <v>6204.2998761</v>
      </c>
      <c r="BM8" s="78">
        <f aca="true" t="shared" si="34" ref="BM8:BM27">BK8+BL8</f>
        <v>6204.2998761</v>
      </c>
      <c r="BN8" s="78">
        <f aca="true" t="shared" si="35" ref="BN8:BN27">BL$6*$F8</f>
        <v>1293.6545991</v>
      </c>
      <c r="BO8" s="77">
        <f aca="true" t="shared" si="36" ref="BO8:BO27">BL$6*$G8</f>
        <v>63.304429500000005</v>
      </c>
      <c r="BP8" s="78"/>
      <c r="BQ8" s="78"/>
      <c r="BR8" s="78">
        <f aca="true" t="shared" si="37" ref="BR8:BR27">D8*0.71579/100</f>
        <v>3146.3479977000006</v>
      </c>
      <c r="BS8" s="78">
        <f aca="true" t="shared" si="38" ref="BS8:BS27">BQ8+BR8</f>
        <v>3146.3479977000006</v>
      </c>
      <c r="BT8" s="78">
        <f aca="true" t="shared" si="39" ref="BT8:BT27">BR$6*$F8</f>
        <v>656.0430087</v>
      </c>
      <c r="BU8" s="77">
        <f aca="true" t="shared" si="40" ref="BU8:BU27">BR$6*$G8</f>
        <v>32.1031815</v>
      </c>
      <c r="BV8" s="78"/>
      <c r="BW8" s="78"/>
      <c r="BX8" s="78">
        <f aca="true" t="shared" si="41" ref="BX8:BX27">D8*0.13901/100</f>
        <v>611.0365263</v>
      </c>
      <c r="BY8" s="78">
        <f aca="true" t="shared" si="42" ref="BY8:BY27">BW8+BX8</f>
        <v>611.0365263</v>
      </c>
      <c r="BZ8" s="78">
        <f aca="true" t="shared" si="43" ref="BZ8:BZ27">BX$6*$F8</f>
        <v>127.4068353</v>
      </c>
      <c r="CA8" s="77">
        <f aca="true" t="shared" si="44" ref="CA8:CA27">BX$6*$G8</f>
        <v>6.2345985</v>
      </c>
      <c r="CB8" s="78"/>
      <c r="CC8" s="78"/>
      <c r="CD8" s="78">
        <f aca="true" t="shared" si="45" ref="CD8:CD27">D8*0.55234/100</f>
        <v>2427.8822742</v>
      </c>
      <c r="CE8" s="78">
        <f aca="true" t="shared" si="46" ref="CE8:CE27">CC8+CD8</f>
        <v>2427.8822742</v>
      </c>
      <c r="CF8" s="78">
        <f aca="true" t="shared" si="47" ref="CF8:CF27">CD$6*$F8</f>
        <v>506.23618020000004</v>
      </c>
      <c r="CG8" s="77">
        <f aca="true" t="shared" si="48" ref="CG8:CG27">CD$6*$G8</f>
        <v>24.772449</v>
      </c>
      <c r="CH8" s="78"/>
      <c r="CI8" s="78"/>
      <c r="CJ8" s="78">
        <f aca="true" t="shared" si="49" ref="CJ8:CJ27">D8*1.34713/100</f>
        <v>5921.4850419</v>
      </c>
      <c r="CK8" s="78">
        <f aca="true" t="shared" si="50" ref="CK8:CK27">CI8+CJ8</f>
        <v>5921.4850419</v>
      </c>
      <c r="CL8" s="78">
        <f aca="true" t="shared" si="51" ref="CL8:CL27">CJ$6*$F8</f>
        <v>1234.6850589</v>
      </c>
      <c r="CM8" s="77">
        <f aca="true" t="shared" si="52" ref="CM8:CM27">CJ$6*$G8</f>
        <v>60.418780500000004</v>
      </c>
      <c r="CN8" s="78"/>
      <c r="CO8" s="78"/>
      <c r="CP8" s="78">
        <f aca="true" t="shared" si="53" ref="CP8:CP27">D8*3.01524/100</f>
        <v>13253.8794012</v>
      </c>
      <c r="CQ8" s="78">
        <f aca="true" t="shared" si="54" ref="CQ8:CQ27">CO8+CP8</f>
        <v>13253.8794012</v>
      </c>
      <c r="CR8" s="78">
        <f aca="true" t="shared" si="55" ref="CR8:CR27">CP$6*$F8</f>
        <v>2763.5579172</v>
      </c>
      <c r="CS8" s="77">
        <f aca="true" t="shared" si="56" ref="CS8:CS27">CP$6*$G8</f>
        <v>135.23351399999999</v>
      </c>
      <c r="CT8" s="78"/>
      <c r="CU8" s="78"/>
      <c r="CV8" s="78">
        <f aca="true" t="shared" si="57" ref="CV8:CV27">D8*0.45619/100</f>
        <v>2005.2424497</v>
      </c>
      <c r="CW8" s="78">
        <f aca="true" t="shared" si="58" ref="CW8:CW27">CU8+CV8</f>
        <v>2005.2424497</v>
      </c>
      <c r="CX8" s="78">
        <f aca="true" t="shared" si="59" ref="CX8:CX27">CV$6*$F8</f>
        <v>418.1118207</v>
      </c>
      <c r="CY8" s="77">
        <f aca="true" t="shared" si="60" ref="CY8:CY27">CV$6*$G8</f>
        <v>20.4601215</v>
      </c>
      <c r="CZ8" s="78"/>
      <c r="DA8" s="78"/>
      <c r="DB8" s="78">
        <f aca="true" t="shared" si="61" ref="DB8:DB27">D8*1.31079/100</f>
        <v>5761.7478476999995</v>
      </c>
      <c r="DC8" s="78">
        <f aca="true" t="shared" si="62" ref="DC8:DC27">DA8+DB8</f>
        <v>5761.7478476999995</v>
      </c>
      <c r="DD8" s="78">
        <f aca="true" t="shared" si="63" ref="DD8:DD27">DB$6*$F8</f>
        <v>1201.3783587</v>
      </c>
      <c r="DE8" s="77">
        <f aca="true" t="shared" si="64" ref="DE8:DE27">DB$6*$G8</f>
        <v>58.788931500000004</v>
      </c>
      <c r="DF8" s="78"/>
      <c r="DG8" s="78"/>
      <c r="DH8" s="78">
        <f aca="true" t="shared" si="65" ref="DH8:DH27">D8*0.05051/100</f>
        <v>222.0232713</v>
      </c>
      <c r="DI8" s="78">
        <f aca="true" t="shared" si="66" ref="DI8:DI27">DG8+DH8</f>
        <v>222.0232713</v>
      </c>
      <c r="DJ8" s="78">
        <f aca="true" t="shared" si="67" ref="DJ8:DJ27">DH$6*$F8</f>
        <v>46.2939303</v>
      </c>
      <c r="DK8" s="77">
        <f aca="true" t="shared" si="68" ref="DK8:DK27">DH$6*$G8</f>
        <v>2.2653735</v>
      </c>
      <c r="DL8" s="78"/>
      <c r="DM8" s="90"/>
      <c r="DN8" s="90">
        <f aca="true" t="shared" si="69" ref="DN8:DN27">D8*2.76518/100</f>
        <v>12154.708163399999</v>
      </c>
      <c r="DO8" s="90">
        <f aca="true" t="shared" si="70" ref="DO8:DO27">DM8+DN8</f>
        <v>12154.708163399999</v>
      </c>
      <c r="DP8" s="90">
        <f aca="true" t="shared" si="71" ref="DP8:DP27">DN$6*$F8</f>
        <v>2534.3704254</v>
      </c>
      <c r="DQ8" s="94">
        <f aca="true" t="shared" si="72" ref="DQ8:DQ27">DN$6*$G8</f>
        <v>124.01832300000001</v>
      </c>
      <c r="DR8" s="78"/>
      <c r="DS8" s="78"/>
      <c r="DT8" s="78">
        <f aca="true" t="shared" si="73" ref="DT8:DT27">D8*0.43534/100</f>
        <v>1913.5935642</v>
      </c>
      <c r="DU8" s="78">
        <f aca="true" t="shared" si="74" ref="DU8:DU27">DS8+DT8</f>
        <v>1913.5935642</v>
      </c>
      <c r="DV8" s="78">
        <f aca="true" t="shared" si="75" ref="DV8:DV27">DT$6*$F8</f>
        <v>399.0021702</v>
      </c>
      <c r="DW8" s="77">
        <f aca="true" t="shared" si="76" ref="DW8:DW27">DT$6*$G8</f>
        <v>19.524999</v>
      </c>
      <c r="DX8" s="78"/>
      <c r="DY8" s="78"/>
      <c r="DZ8" s="78">
        <f aca="true" t="shared" si="77" ref="DZ8:DZ27">D8*2.24029/100</f>
        <v>9847.4859327</v>
      </c>
      <c r="EA8" s="78">
        <f aca="true" t="shared" si="78" ref="EA8:EA27">DY8+DZ8</f>
        <v>9847.4859327</v>
      </c>
      <c r="EB8" s="78">
        <f aca="true" t="shared" si="79" ref="EB8:EB27">DZ$6*$F8</f>
        <v>2053.2929937</v>
      </c>
      <c r="EC8" s="77">
        <f aca="true" t="shared" si="80" ref="EC8:EC27">DZ$6*$G8</f>
        <v>100.4770065</v>
      </c>
      <c r="ED8" s="78"/>
      <c r="EE8" s="78"/>
      <c r="EF8" s="78">
        <f aca="true" t="shared" si="81" ref="EF8:EF27">D8*0.63958/100</f>
        <v>2811.3570354000003</v>
      </c>
      <c r="EG8" s="78">
        <f aca="true" t="shared" si="82" ref="EG8:EG27">EE8+EF8</f>
        <v>2811.3570354000003</v>
      </c>
      <c r="EH8" s="78">
        <f aca="true" t="shared" si="83" ref="EH8:EH27">EF$6*$F8</f>
        <v>586.1942574</v>
      </c>
      <c r="EI8" s="77">
        <f aca="true" t="shared" si="84" ref="EI8:EI27">EF$6*$G8</f>
        <v>28.685163</v>
      </c>
      <c r="EJ8" s="78"/>
      <c r="EK8" s="78"/>
      <c r="EL8" s="78">
        <f aca="true" t="shared" si="85" ref="EL8:EL27">D8*0.00642/100</f>
        <v>28.219944600000005</v>
      </c>
      <c r="EM8" s="78">
        <f aca="true" t="shared" si="86" ref="EM8:EM27">EK8+EL8</f>
        <v>28.219944600000005</v>
      </c>
      <c r="EN8" s="78">
        <f aca="true" t="shared" si="87" ref="EN8:EN27">EL$6*$F8</f>
        <v>5.8841226</v>
      </c>
      <c r="EO8" s="77">
        <f aca="true" t="shared" si="88" ref="EO8:EO27">EL$6*$G8</f>
        <v>0.287937</v>
      </c>
      <c r="EP8" s="78"/>
      <c r="EQ8" s="78"/>
      <c r="ER8" s="78">
        <f aca="true" t="shared" si="89" ref="ER8:ER27">D8*0.01192/100</f>
        <v>52.3959096</v>
      </c>
      <c r="ES8" s="78">
        <f aca="true" t="shared" si="90" ref="ES8:ES27">EQ8+ER8</f>
        <v>52.3959096</v>
      </c>
      <c r="ET8" s="78">
        <f aca="true" t="shared" si="91" ref="ET8:ET27">ER$6*$F8</f>
        <v>10.9250376</v>
      </c>
      <c r="EU8" s="77">
        <f aca="true" t="shared" si="92" ref="EU8:EU27">ER$6*$G8</f>
        <v>0.534612</v>
      </c>
      <c r="EV8" s="78"/>
      <c r="EW8" s="78"/>
      <c r="EX8" s="78">
        <f aca="true" t="shared" si="93" ref="EX8:EX27">D8*2.15476/100</f>
        <v>9471.5276988</v>
      </c>
      <c r="EY8" s="78">
        <f aca="true" t="shared" si="94" ref="EY8:EY27">EW8+EX8</f>
        <v>9471.5276988</v>
      </c>
      <c r="EZ8" s="78">
        <f aca="true" t="shared" si="95" ref="EZ8:EZ27">EX$6*$F8</f>
        <v>1974.9021828</v>
      </c>
      <c r="FA8" s="77">
        <f aca="true" t="shared" si="96" ref="FA8:FA27">EX$6*$G8</f>
        <v>96.640986</v>
      </c>
      <c r="FB8" s="78"/>
      <c r="FC8" s="78"/>
      <c r="FD8" s="78">
        <f aca="true" t="shared" si="97" ref="FD8:FD27">D8*4.00516/100</f>
        <v>17605.2014508</v>
      </c>
      <c r="FE8" s="78">
        <f aca="true" t="shared" si="98" ref="FE8:FE27">FC8+FD8</f>
        <v>17605.2014508</v>
      </c>
      <c r="FF8" s="78">
        <f aca="true" t="shared" si="99" ref="FF8:FF27">FD$6*$F8</f>
        <v>3670.8492948</v>
      </c>
      <c r="FG8" s="77">
        <f aca="true" t="shared" si="100" ref="FG8:FG27">FD$6*$G8</f>
        <v>179.631426</v>
      </c>
      <c r="FH8" s="78"/>
      <c r="FI8" s="80"/>
      <c r="FJ8" s="78"/>
      <c r="FK8" s="78"/>
      <c r="FL8" s="78"/>
      <c r="FM8" s="77">
        <f aca="true" t="shared" si="101" ref="FM8:FM27">FJ$6*$G8</f>
        <v>0</v>
      </c>
    </row>
    <row r="9" spans="1:169" ht="12">
      <c r="A9" s="19">
        <v>42095</v>
      </c>
      <c r="C9" s="36"/>
      <c r="D9" s="36">
        <v>439563</v>
      </c>
      <c r="E9" s="77">
        <f t="shared" si="0"/>
        <v>439563</v>
      </c>
      <c r="F9" s="77">
        <v>91653</v>
      </c>
      <c r="G9" s="77">
        <v>4485</v>
      </c>
      <c r="H9" s="78"/>
      <c r="I9" s="79">
        <f>'2011B Academic'!I9</f>
        <v>0</v>
      </c>
      <c r="J9" s="79">
        <f>'2011B Academic'!J9</f>
        <v>238606.18108169996</v>
      </c>
      <c r="K9" s="79">
        <f t="shared" si="1"/>
        <v>238606.18108169996</v>
      </c>
      <c r="L9" s="79">
        <f>'2011B Academic'!L9</f>
        <v>49751.6222127</v>
      </c>
      <c r="M9" s="79">
        <f>'2011B Academic'!M9</f>
        <v>2434.5741615</v>
      </c>
      <c r="N9" s="78"/>
      <c r="O9" s="78">
        <f t="shared" si="2"/>
        <v>0</v>
      </c>
      <c r="P9" s="80">
        <f t="shared" si="2"/>
        <v>200956.81891829995</v>
      </c>
      <c r="Q9" s="78">
        <f t="shared" si="3"/>
        <v>200956.81891829995</v>
      </c>
      <c r="R9" s="78">
        <f t="shared" si="4"/>
        <v>41901.37778729999</v>
      </c>
      <c r="S9" s="78">
        <f t="shared" si="4"/>
        <v>2050.4258385</v>
      </c>
      <c r="T9" s="78"/>
      <c r="U9" s="78">
        <f aca="true" t="shared" si="102" ref="U9:U27">C9*8.1724/100</f>
        <v>0</v>
      </c>
      <c r="V9" s="77">
        <f t="shared" si="5"/>
        <v>35922.846612</v>
      </c>
      <c r="W9" s="78">
        <f t="shared" si="6"/>
        <v>35922.846612</v>
      </c>
      <c r="X9" s="78">
        <f t="shared" si="7"/>
        <v>7490.249772</v>
      </c>
      <c r="Y9" s="77">
        <f t="shared" si="8"/>
        <v>366.53214</v>
      </c>
      <c r="Z9" s="78"/>
      <c r="AA9" s="78">
        <f aca="true" t="shared" si="103" ref="AA9:AA27">C9*5.95646/100</f>
        <v>0</v>
      </c>
      <c r="AB9" s="78">
        <f t="shared" si="9"/>
        <v>26182.3942698</v>
      </c>
      <c r="AC9" s="78">
        <f t="shared" si="10"/>
        <v>26182.3942698</v>
      </c>
      <c r="AD9" s="78">
        <f t="shared" si="11"/>
        <v>5459.2742838</v>
      </c>
      <c r="AE9" s="77">
        <f t="shared" si="12"/>
        <v>267.14723100000003</v>
      </c>
      <c r="AF9" s="78"/>
      <c r="AG9" s="78">
        <f aca="true" t="shared" si="104" ref="AG9:AG27">C9*3.15804/100</f>
        <v>0</v>
      </c>
      <c r="AH9" s="78">
        <f t="shared" si="13"/>
        <v>13881.5753652</v>
      </c>
      <c r="AI9" s="78">
        <f t="shared" si="14"/>
        <v>13881.5753652</v>
      </c>
      <c r="AJ9" s="78">
        <f t="shared" si="15"/>
        <v>2894.4384012</v>
      </c>
      <c r="AK9" s="77">
        <f t="shared" si="16"/>
        <v>141.638094</v>
      </c>
      <c r="AL9" s="78"/>
      <c r="AM9" s="78">
        <f aca="true" t="shared" si="105" ref="AM9:AM27">C9*2.2968/100</f>
        <v>0</v>
      </c>
      <c r="AN9" s="78">
        <f t="shared" si="17"/>
        <v>10095.882984000002</v>
      </c>
      <c r="AO9" s="78">
        <f t="shared" si="18"/>
        <v>10095.882984000002</v>
      </c>
      <c r="AP9" s="78">
        <f t="shared" si="19"/>
        <v>2105.086104</v>
      </c>
      <c r="AQ9" s="77">
        <f t="shared" si="20"/>
        <v>103.01147999999999</v>
      </c>
      <c r="AR9" s="78"/>
      <c r="AS9" s="78">
        <f aca="true" t="shared" si="106" ref="AS9:AS27">C9*0.26309/100</f>
        <v>0</v>
      </c>
      <c r="AT9" s="78">
        <f t="shared" si="21"/>
        <v>1156.4462967</v>
      </c>
      <c r="AU9" s="78">
        <f t="shared" si="22"/>
        <v>1156.4462967</v>
      </c>
      <c r="AV9" s="78">
        <f t="shared" si="23"/>
        <v>241.12987769999998</v>
      </c>
      <c r="AW9" s="77">
        <f t="shared" si="24"/>
        <v>11.799586499999998</v>
      </c>
      <c r="AX9" s="78"/>
      <c r="AY9" s="78">
        <f aca="true" t="shared" si="107" ref="AY9:AY27">C9*4.16229/100</f>
        <v>0</v>
      </c>
      <c r="AZ9" s="78">
        <f t="shared" si="25"/>
        <v>18295.886792699996</v>
      </c>
      <c r="BA9" s="78">
        <f t="shared" si="26"/>
        <v>18295.886792699996</v>
      </c>
      <c r="BB9" s="78">
        <f t="shared" si="27"/>
        <v>3814.8636536999998</v>
      </c>
      <c r="BC9" s="77">
        <f t="shared" si="28"/>
        <v>186.67870649999998</v>
      </c>
      <c r="BD9" s="78"/>
      <c r="BE9" s="78">
        <f aca="true" t="shared" si="108" ref="BE9:BE27">C9*0.45121/100</f>
        <v>0</v>
      </c>
      <c r="BF9" s="78">
        <f t="shared" si="29"/>
        <v>1983.3522123</v>
      </c>
      <c r="BG9" s="78">
        <f t="shared" si="30"/>
        <v>1983.3522123</v>
      </c>
      <c r="BH9" s="78">
        <f t="shared" si="31"/>
        <v>413.54750129999996</v>
      </c>
      <c r="BI9" s="77">
        <f t="shared" si="32"/>
        <v>20.2367685</v>
      </c>
      <c r="BJ9" s="78"/>
      <c r="BK9" s="78">
        <f aca="true" t="shared" si="109" ref="BK9:BK27">C9*1.41147/100</f>
        <v>0</v>
      </c>
      <c r="BL9" s="78">
        <f t="shared" si="33"/>
        <v>6204.2998761</v>
      </c>
      <c r="BM9" s="78">
        <f t="shared" si="34"/>
        <v>6204.2998761</v>
      </c>
      <c r="BN9" s="78">
        <f t="shared" si="35"/>
        <v>1293.6545991</v>
      </c>
      <c r="BO9" s="77">
        <f t="shared" si="36"/>
        <v>63.304429500000005</v>
      </c>
      <c r="BP9" s="78"/>
      <c r="BQ9" s="78">
        <f aca="true" t="shared" si="110" ref="BQ9:BQ27">C9*0.71579/100</f>
        <v>0</v>
      </c>
      <c r="BR9" s="78">
        <f t="shared" si="37"/>
        <v>3146.3479977000006</v>
      </c>
      <c r="BS9" s="78">
        <f t="shared" si="38"/>
        <v>3146.3479977000006</v>
      </c>
      <c r="BT9" s="78">
        <f t="shared" si="39"/>
        <v>656.0430087</v>
      </c>
      <c r="BU9" s="77">
        <f t="shared" si="40"/>
        <v>32.1031815</v>
      </c>
      <c r="BV9" s="78"/>
      <c r="BW9" s="78">
        <f aca="true" t="shared" si="111" ref="BW9:BW27">C9*0.13901/100</f>
        <v>0</v>
      </c>
      <c r="BX9" s="78">
        <f t="shared" si="41"/>
        <v>611.0365263</v>
      </c>
      <c r="BY9" s="78">
        <f t="shared" si="42"/>
        <v>611.0365263</v>
      </c>
      <c r="BZ9" s="78">
        <f t="shared" si="43"/>
        <v>127.4068353</v>
      </c>
      <c r="CA9" s="77">
        <f t="shared" si="44"/>
        <v>6.2345985</v>
      </c>
      <c r="CB9" s="78"/>
      <c r="CC9" s="78">
        <f aca="true" t="shared" si="112" ref="CC9:CC27">C9*0.55234/100</f>
        <v>0</v>
      </c>
      <c r="CD9" s="78">
        <f t="shared" si="45"/>
        <v>2427.8822742</v>
      </c>
      <c r="CE9" s="78">
        <f t="shared" si="46"/>
        <v>2427.8822742</v>
      </c>
      <c r="CF9" s="78">
        <f t="shared" si="47"/>
        <v>506.23618020000004</v>
      </c>
      <c r="CG9" s="77">
        <f t="shared" si="48"/>
        <v>24.772449</v>
      </c>
      <c r="CH9" s="78"/>
      <c r="CI9" s="78">
        <f aca="true" t="shared" si="113" ref="CI9:CI27">C9*1.34713/100</f>
        <v>0</v>
      </c>
      <c r="CJ9" s="78">
        <f t="shared" si="49"/>
        <v>5921.4850419</v>
      </c>
      <c r="CK9" s="78">
        <f t="shared" si="50"/>
        <v>5921.4850419</v>
      </c>
      <c r="CL9" s="78">
        <f t="shared" si="51"/>
        <v>1234.6850589</v>
      </c>
      <c r="CM9" s="77">
        <f t="shared" si="52"/>
        <v>60.418780500000004</v>
      </c>
      <c r="CN9" s="78"/>
      <c r="CO9" s="78">
        <f aca="true" t="shared" si="114" ref="CO9:CO27">C9*3.01524/100</f>
        <v>0</v>
      </c>
      <c r="CP9" s="78">
        <f t="shared" si="53"/>
        <v>13253.8794012</v>
      </c>
      <c r="CQ9" s="78">
        <f t="shared" si="54"/>
        <v>13253.8794012</v>
      </c>
      <c r="CR9" s="78">
        <f t="shared" si="55"/>
        <v>2763.5579172</v>
      </c>
      <c r="CS9" s="77">
        <f t="shared" si="56"/>
        <v>135.23351399999999</v>
      </c>
      <c r="CT9" s="78"/>
      <c r="CU9" s="78">
        <f aca="true" t="shared" si="115" ref="CU9:CU27">C9*0.45619/100</f>
        <v>0</v>
      </c>
      <c r="CV9" s="78">
        <f t="shared" si="57"/>
        <v>2005.2424497</v>
      </c>
      <c r="CW9" s="78">
        <f t="shared" si="58"/>
        <v>2005.2424497</v>
      </c>
      <c r="CX9" s="78">
        <f t="shared" si="59"/>
        <v>418.1118207</v>
      </c>
      <c r="CY9" s="77">
        <f t="shared" si="60"/>
        <v>20.4601215</v>
      </c>
      <c r="CZ9" s="78"/>
      <c r="DA9" s="78">
        <f aca="true" t="shared" si="116" ref="DA9:DA27">C9*1.31079/100</f>
        <v>0</v>
      </c>
      <c r="DB9" s="78">
        <f t="shared" si="61"/>
        <v>5761.7478476999995</v>
      </c>
      <c r="DC9" s="78">
        <f t="shared" si="62"/>
        <v>5761.7478476999995</v>
      </c>
      <c r="DD9" s="78">
        <f t="shared" si="63"/>
        <v>1201.3783587</v>
      </c>
      <c r="DE9" s="77">
        <f t="shared" si="64"/>
        <v>58.788931500000004</v>
      </c>
      <c r="DF9" s="78"/>
      <c r="DG9" s="78">
        <f aca="true" t="shared" si="117" ref="DG9:DG27">C9*0.05051/100</f>
        <v>0</v>
      </c>
      <c r="DH9" s="78">
        <f t="shared" si="65"/>
        <v>222.0232713</v>
      </c>
      <c r="DI9" s="78">
        <f t="shared" si="66"/>
        <v>222.0232713</v>
      </c>
      <c r="DJ9" s="78">
        <f t="shared" si="67"/>
        <v>46.2939303</v>
      </c>
      <c r="DK9" s="77">
        <f t="shared" si="68"/>
        <v>2.2653735</v>
      </c>
      <c r="DL9" s="78"/>
      <c r="DM9" s="90">
        <f aca="true" t="shared" si="118" ref="DM9:DM27">C9*2.76518/100</f>
        <v>0</v>
      </c>
      <c r="DN9" s="90">
        <f t="shared" si="69"/>
        <v>12154.708163399999</v>
      </c>
      <c r="DO9" s="90">
        <f t="shared" si="70"/>
        <v>12154.708163399999</v>
      </c>
      <c r="DP9" s="90">
        <f t="shared" si="71"/>
        <v>2534.3704254</v>
      </c>
      <c r="DQ9" s="94">
        <f t="shared" si="72"/>
        <v>124.01832300000001</v>
      </c>
      <c r="DR9" s="78"/>
      <c r="DS9" s="78">
        <f aca="true" t="shared" si="119" ref="DS9:DS27">C9*0.43534/100</f>
        <v>0</v>
      </c>
      <c r="DT9" s="78">
        <f t="shared" si="73"/>
        <v>1913.5935642</v>
      </c>
      <c r="DU9" s="78">
        <f t="shared" si="74"/>
        <v>1913.5935642</v>
      </c>
      <c r="DV9" s="78">
        <f t="shared" si="75"/>
        <v>399.0021702</v>
      </c>
      <c r="DW9" s="77">
        <f t="shared" si="76"/>
        <v>19.524999</v>
      </c>
      <c r="DX9" s="78"/>
      <c r="DY9" s="78">
        <f aca="true" t="shared" si="120" ref="DY9:DY27">C9*2.24029/100</f>
        <v>0</v>
      </c>
      <c r="DZ9" s="78">
        <f t="shared" si="77"/>
        <v>9847.4859327</v>
      </c>
      <c r="EA9" s="78">
        <f t="shared" si="78"/>
        <v>9847.4859327</v>
      </c>
      <c r="EB9" s="78">
        <f t="shared" si="79"/>
        <v>2053.2929937</v>
      </c>
      <c r="EC9" s="77">
        <f t="shared" si="80"/>
        <v>100.4770065</v>
      </c>
      <c r="ED9" s="78"/>
      <c r="EE9" s="78">
        <f aca="true" t="shared" si="121" ref="EE9:EE27">C9*0.63958/100</f>
        <v>0</v>
      </c>
      <c r="EF9" s="78">
        <f t="shared" si="81"/>
        <v>2811.3570354000003</v>
      </c>
      <c r="EG9" s="78">
        <f t="shared" si="82"/>
        <v>2811.3570354000003</v>
      </c>
      <c r="EH9" s="78">
        <f t="shared" si="83"/>
        <v>586.1942574</v>
      </c>
      <c r="EI9" s="77">
        <f t="shared" si="84"/>
        <v>28.685163</v>
      </c>
      <c r="EJ9" s="78"/>
      <c r="EK9" s="78">
        <f aca="true" t="shared" si="122" ref="EK9:EK27">C9*0.00642/100</f>
        <v>0</v>
      </c>
      <c r="EL9" s="78">
        <f t="shared" si="85"/>
        <v>28.219944600000005</v>
      </c>
      <c r="EM9" s="78">
        <f t="shared" si="86"/>
        <v>28.219944600000005</v>
      </c>
      <c r="EN9" s="78">
        <f t="shared" si="87"/>
        <v>5.8841226</v>
      </c>
      <c r="EO9" s="77">
        <f t="shared" si="88"/>
        <v>0.287937</v>
      </c>
      <c r="EP9" s="78"/>
      <c r="EQ9" s="78">
        <f aca="true" t="shared" si="123" ref="EQ9:EQ27">C9*0.01192/100</f>
        <v>0</v>
      </c>
      <c r="ER9" s="78">
        <f t="shared" si="89"/>
        <v>52.3959096</v>
      </c>
      <c r="ES9" s="78">
        <f t="shared" si="90"/>
        <v>52.3959096</v>
      </c>
      <c r="ET9" s="78">
        <f t="shared" si="91"/>
        <v>10.9250376</v>
      </c>
      <c r="EU9" s="77">
        <f t="shared" si="92"/>
        <v>0.534612</v>
      </c>
      <c r="EV9" s="78"/>
      <c r="EW9" s="78">
        <f aca="true" t="shared" si="124" ref="EW9:EW27">C9*2.15476/100</f>
        <v>0</v>
      </c>
      <c r="EX9" s="78">
        <f t="shared" si="93"/>
        <v>9471.5276988</v>
      </c>
      <c r="EY9" s="78">
        <f t="shared" si="94"/>
        <v>9471.5276988</v>
      </c>
      <c r="EZ9" s="78">
        <f t="shared" si="95"/>
        <v>1974.9021828</v>
      </c>
      <c r="FA9" s="77">
        <f t="shared" si="96"/>
        <v>96.640986</v>
      </c>
      <c r="FB9" s="78"/>
      <c r="FC9" s="78">
        <f aca="true" t="shared" si="125" ref="FC9:FC27">C9*4.00516/100</f>
        <v>0</v>
      </c>
      <c r="FD9" s="78">
        <f t="shared" si="97"/>
        <v>17605.2014508</v>
      </c>
      <c r="FE9" s="78">
        <f t="shared" si="98"/>
        <v>17605.2014508</v>
      </c>
      <c r="FF9" s="78">
        <f t="shared" si="99"/>
        <v>3670.8492948</v>
      </c>
      <c r="FG9" s="77">
        <f t="shared" si="100"/>
        <v>179.631426</v>
      </c>
      <c r="FH9" s="78"/>
      <c r="FI9" s="80"/>
      <c r="FJ9" s="78"/>
      <c r="FK9" s="78"/>
      <c r="FL9" s="78"/>
      <c r="FM9" s="77">
        <f t="shared" si="101"/>
        <v>0</v>
      </c>
    </row>
    <row r="10" spans="1:169" ht="12">
      <c r="A10" s="19">
        <v>42278</v>
      </c>
      <c r="C10" s="36"/>
      <c r="D10" s="36">
        <v>439563</v>
      </c>
      <c r="E10" s="77">
        <f t="shared" si="0"/>
        <v>439563</v>
      </c>
      <c r="F10" s="77">
        <v>91653</v>
      </c>
      <c r="G10" s="77">
        <v>4485</v>
      </c>
      <c r="H10" s="78"/>
      <c r="I10" s="79">
        <f>'2011B Academic'!I10</f>
        <v>0</v>
      </c>
      <c r="J10" s="79">
        <f>'2011B Academic'!J10</f>
        <v>238606.18108169996</v>
      </c>
      <c r="K10" s="79">
        <f t="shared" si="1"/>
        <v>238606.18108169996</v>
      </c>
      <c r="L10" s="79">
        <f>'2011B Academic'!L10</f>
        <v>49751.6222127</v>
      </c>
      <c r="M10" s="79">
        <f>'2011B Academic'!M10</f>
        <v>2434.5741615</v>
      </c>
      <c r="N10" s="78"/>
      <c r="O10" s="78">
        <f t="shared" si="2"/>
        <v>0</v>
      </c>
      <c r="P10" s="80">
        <f t="shared" si="2"/>
        <v>200956.81891829995</v>
      </c>
      <c r="Q10" s="78">
        <f t="shared" si="3"/>
        <v>200956.81891829995</v>
      </c>
      <c r="R10" s="78">
        <f t="shared" si="4"/>
        <v>41901.37778729999</v>
      </c>
      <c r="S10" s="78">
        <f t="shared" si="4"/>
        <v>2050.4258385</v>
      </c>
      <c r="T10" s="78"/>
      <c r="U10" s="78"/>
      <c r="V10" s="77">
        <f t="shared" si="5"/>
        <v>35922.846612</v>
      </c>
      <c r="W10" s="78">
        <f t="shared" si="6"/>
        <v>35922.846612</v>
      </c>
      <c r="X10" s="78">
        <f t="shared" si="7"/>
        <v>7490.249772</v>
      </c>
      <c r="Y10" s="77">
        <f t="shared" si="8"/>
        <v>366.53214</v>
      </c>
      <c r="Z10" s="78"/>
      <c r="AA10" s="78"/>
      <c r="AB10" s="78">
        <f t="shared" si="9"/>
        <v>26182.3942698</v>
      </c>
      <c r="AC10" s="78">
        <f t="shared" si="10"/>
        <v>26182.3942698</v>
      </c>
      <c r="AD10" s="78">
        <f t="shared" si="11"/>
        <v>5459.2742838</v>
      </c>
      <c r="AE10" s="77">
        <f t="shared" si="12"/>
        <v>267.14723100000003</v>
      </c>
      <c r="AF10" s="78"/>
      <c r="AG10" s="78"/>
      <c r="AH10" s="78">
        <f t="shared" si="13"/>
        <v>13881.5753652</v>
      </c>
      <c r="AI10" s="78">
        <f t="shared" si="14"/>
        <v>13881.5753652</v>
      </c>
      <c r="AJ10" s="78">
        <f t="shared" si="15"/>
        <v>2894.4384012</v>
      </c>
      <c r="AK10" s="77">
        <f t="shared" si="16"/>
        <v>141.638094</v>
      </c>
      <c r="AL10" s="78"/>
      <c r="AM10" s="78"/>
      <c r="AN10" s="78">
        <f t="shared" si="17"/>
        <v>10095.882984000002</v>
      </c>
      <c r="AO10" s="78">
        <f t="shared" si="18"/>
        <v>10095.882984000002</v>
      </c>
      <c r="AP10" s="78">
        <f t="shared" si="19"/>
        <v>2105.086104</v>
      </c>
      <c r="AQ10" s="77">
        <f t="shared" si="20"/>
        <v>103.01147999999999</v>
      </c>
      <c r="AR10" s="78"/>
      <c r="AS10" s="78"/>
      <c r="AT10" s="78">
        <f t="shared" si="21"/>
        <v>1156.4462967</v>
      </c>
      <c r="AU10" s="78">
        <f t="shared" si="22"/>
        <v>1156.4462967</v>
      </c>
      <c r="AV10" s="78">
        <f t="shared" si="23"/>
        <v>241.12987769999998</v>
      </c>
      <c r="AW10" s="77">
        <f t="shared" si="24"/>
        <v>11.799586499999998</v>
      </c>
      <c r="AX10" s="78"/>
      <c r="AY10" s="78"/>
      <c r="AZ10" s="78">
        <f t="shared" si="25"/>
        <v>18295.886792699996</v>
      </c>
      <c r="BA10" s="78">
        <f t="shared" si="26"/>
        <v>18295.886792699996</v>
      </c>
      <c r="BB10" s="78">
        <f t="shared" si="27"/>
        <v>3814.8636536999998</v>
      </c>
      <c r="BC10" s="77">
        <f t="shared" si="28"/>
        <v>186.67870649999998</v>
      </c>
      <c r="BD10" s="78"/>
      <c r="BE10" s="78"/>
      <c r="BF10" s="78">
        <f t="shared" si="29"/>
        <v>1983.3522123</v>
      </c>
      <c r="BG10" s="78">
        <f t="shared" si="30"/>
        <v>1983.3522123</v>
      </c>
      <c r="BH10" s="78">
        <f t="shared" si="31"/>
        <v>413.54750129999996</v>
      </c>
      <c r="BI10" s="77">
        <f t="shared" si="32"/>
        <v>20.2367685</v>
      </c>
      <c r="BJ10" s="78"/>
      <c r="BK10" s="78"/>
      <c r="BL10" s="78">
        <f t="shared" si="33"/>
        <v>6204.2998761</v>
      </c>
      <c r="BM10" s="78">
        <f t="shared" si="34"/>
        <v>6204.2998761</v>
      </c>
      <c r="BN10" s="78">
        <f t="shared" si="35"/>
        <v>1293.6545991</v>
      </c>
      <c r="BO10" s="77">
        <f t="shared" si="36"/>
        <v>63.304429500000005</v>
      </c>
      <c r="BP10" s="78"/>
      <c r="BQ10" s="78"/>
      <c r="BR10" s="78">
        <f t="shared" si="37"/>
        <v>3146.3479977000006</v>
      </c>
      <c r="BS10" s="78">
        <f t="shared" si="38"/>
        <v>3146.3479977000006</v>
      </c>
      <c r="BT10" s="78">
        <f t="shared" si="39"/>
        <v>656.0430087</v>
      </c>
      <c r="BU10" s="77">
        <f t="shared" si="40"/>
        <v>32.1031815</v>
      </c>
      <c r="BV10" s="78"/>
      <c r="BW10" s="78"/>
      <c r="BX10" s="78">
        <f t="shared" si="41"/>
        <v>611.0365263</v>
      </c>
      <c r="BY10" s="78">
        <f t="shared" si="42"/>
        <v>611.0365263</v>
      </c>
      <c r="BZ10" s="78">
        <f t="shared" si="43"/>
        <v>127.4068353</v>
      </c>
      <c r="CA10" s="77">
        <f t="shared" si="44"/>
        <v>6.2345985</v>
      </c>
      <c r="CB10" s="78"/>
      <c r="CC10" s="78"/>
      <c r="CD10" s="78">
        <f t="shared" si="45"/>
        <v>2427.8822742</v>
      </c>
      <c r="CE10" s="78">
        <f t="shared" si="46"/>
        <v>2427.8822742</v>
      </c>
      <c r="CF10" s="78">
        <f t="shared" si="47"/>
        <v>506.23618020000004</v>
      </c>
      <c r="CG10" s="77">
        <f t="shared" si="48"/>
        <v>24.772449</v>
      </c>
      <c r="CH10" s="78"/>
      <c r="CI10" s="78"/>
      <c r="CJ10" s="78">
        <f t="shared" si="49"/>
        <v>5921.4850419</v>
      </c>
      <c r="CK10" s="78">
        <f t="shared" si="50"/>
        <v>5921.4850419</v>
      </c>
      <c r="CL10" s="78">
        <f t="shared" si="51"/>
        <v>1234.6850589</v>
      </c>
      <c r="CM10" s="77">
        <f t="shared" si="52"/>
        <v>60.418780500000004</v>
      </c>
      <c r="CN10" s="78"/>
      <c r="CO10" s="78"/>
      <c r="CP10" s="78">
        <f t="shared" si="53"/>
        <v>13253.8794012</v>
      </c>
      <c r="CQ10" s="78">
        <f t="shared" si="54"/>
        <v>13253.8794012</v>
      </c>
      <c r="CR10" s="78">
        <f t="shared" si="55"/>
        <v>2763.5579172</v>
      </c>
      <c r="CS10" s="77">
        <f t="shared" si="56"/>
        <v>135.23351399999999</v>
      </c>
      <c r="CT10" s="78"/>
      <c r="CU10" s="78"/>
      <c r="CV10" s="78">
        <f t="shared" si="57"/>
        <v>2005.2424497</v>
      </c>
      <c r="CW10" s="78">
        <f t="shared" si="58"/>
        <v>2005.2424497</v>
      </c>
      <c r="CX10" s="78">
        <f t="shared" si="59"/>
        <v>418.1118207</v>
      </c>
      <c r="CY10" s="77">
        <f t="shared" si="60"/>
        <v>20.4601215</v>
      </c>
      <c r="CZ10" s="78"/>
      <c r="DA10" s="78"/>
      <c r="DB10" s="78">
        <f t="shared" si="61"/>
        <v>5761.7478476999995</v>
      </c>
      <c r="DC10" s="78">
        <f t="shared" si="62"/>
        <v>5761.7478476999995</v>
      </c>
      <c r="DD10" s="78">
        <f t="shared" si="63"/>
        <v>1201.3783587</v>
      </c>
      <c r="DE10" s="77">
        <f t="shared" si="64"/>
        <v>58.788931500000004</v>
      </c>
      <c r="DF10" s="78"/>
      <c r="DG10" s="78"/>
      <c r="DH10" s="78">
        <f t="shared" si="65"/>
        <v>222.0232713</v>
      </c>
      <c r="DI10" s="78">
        <f t="shared" si="66"/>
        <v>222.0232713</v>
      </c>
      <c r="DJ10" s="78">
        <f t="shared" si="67"/>
        <v>46.2939303</v>
      </c>
      <c r="DK10" s="77">
        <f t="shared" si="68"/>
        <v>2.2653735</v>
      </c>
      <c r="DL10" s="78"/>
      <c r="DM10" s="90"/>
      <c r="DN10" s="90">
        <f t="shared" si="69"/>
        <v>12154.708163399999</v>
      </c>
      <c r="DO10" s="90">
        <f t="shared" si="70"/>
        <v>12154.708163399999</v>
      </c>
      <c r="DP10" s="90">
        <f t="shared" si="71"/>
        <v>2534.3704254</v>
      </c>
      <c r="DQ10" s="94">
        <f t="shared" si="72"/>
        <v>124.01832300000001</v>
      </c>
      <c r="DR10" s="78"/>
      <c r="DS10" s="78"/>
      <c r="DT10" s="78">
        <f t="shared" si="73"/>
        <v>1913.5935642</v>
      </c>
      <c r="DU10" s="78">
        <f t="shared" si="74"/>
        <v>1913.5935642</v>
      </c>
      <c r="DV10" s="78">
        <f t="shared" si="75"/>
        <v>399.0021702</v>
      </c>
      <c r="DW10" s="77">
        <f t="shared" si="76"/>
        <v>19.524999</v>
      </c>
      <c r="DX10" s="78"/>
      <c r="DY10" s="78"/>
      <c r="DZ10" s="78">
        <f t="shared" si="77"/>
        <v>9847.4859327</v>
      </c>
      <c r="EA10" s="78">
        <f t="shared" si="78"/>
        <v>9847.4859327</v>
      </c>
      <c r="EB10" s="78">
        <f t="shared" si="79"/>
        <v>2053.2929937</v>
      </c>
      <c r="EC10" s="77">
        <f t="shared" si="80"/>
        <v>100.4770065</v>
      </c>
      <c r="ED10" s="78"/>
      <c r="EE10" s="78"/>
      <c r="EF10" s="78">
        <f t="shared" si="81"/>
        <v>2811.3570354000003</v>
      </c>
      <c r="EG10" s="78">
        <f t="shared" si="82"/>
        <v>2811.3570354000003</v>
      </c>
      <c r="EH10" s="78">
        <f t="shared" si="83"/>
        <v>586.1942574</v>
      </c>
      <c r="EI10" s="77">
        <f t="shared" si="84"/>
        <v>28.685163</v>
      </c>
      <c r="EJ10" s="78"/>
      <c r="EK10" s="78"/>
      <c r="EL10" s="78">
        <f t="shared" si="85"/>
        <v>28.219944600000005</v>
      </c>
      <c r="EM10" s="78">
        <f t="shared" si="86"/>
        <v>28.219944600000005</v>
      </c>
      <c r="EN10" s="78">
        <f t="shared" si="87"/>
        <v>5.8841226</v>
      </c>
      <c r="EO10" s="77">
        <f t="shared" si="88"/>
        <v>0.287937</v>
      </c>
      <c r="EP10" s="78"/>
      <c r="EQ10" s="78"/>
      <c r="ER10" s="78">
        <f t="shared" si="89"/>
        <v>52.3959096</v>
      </c>
      <c r="ES10" s="78">
        <f t="shared" si="90"/>
        <v>52.3959096</v>
      </c>
      <c r="ET10" s="78">
        <f t="shared" si="91"/>
        <v>10.9250376</v>
      </c>
      <c r="EU10" s="77">
        <f t="shared" si="92"/>
        <v>0.534612</v>
      </c>
      <c r="EV10" s="78"/>
      <c r="EW10" s="78"/>
      <c r="EX10" s="78">
        <f t="shared" si="93"/>
        <v>9471.5276988</v>
      </c>
      <c r="EY10" s="78">
        <f t="shared" si="94"/>
        <v>9471.5276988</v>
      </c>
      <c r="EZ10" s="78">
        <f t="shared" si="95"/>
        <v>1974.9021828</v>
      </c>
      <c r="FA10" s="77">
        <f t="shared" si="96"/>
        <v>96.640986</v>
      </c>
      <c r="FB10" s="78"/>
      <c r="FC10" s="78"/>
      <c r="FD10" s="78">
        <f t="shared" si="97"/>
        <v>17605.2014508</v>
      </c>
      <c r="FE10" s="78">
        <f t="shared" si="98"/>
        <v>17605.2014508</v>
      </c>
      <c r="FF10" s="78">
        <f t="shared" si="99"/>
        <v>3670.8492948</v>
      </c>
      <c r="FG10" s="77">
        <f t="shared" si="100"/>
        <v>179.631426</v>
      </c>
      <c r="FH10" s="78"/>
      <c r="FI10" s="80"/>
      <c r="FJ10" s="78"/>
      <c r="FK10" s="78"/>
      <c r="FL10" s="78"/>
      <c r="FM10" s="77">
        <f t="shared" si="101"/>
        <v>0</v>
      </c>
    </row>
    <row r="11" spans="1:169" ht="12">
      <c r="A11" s="19">
        <v>42461</v>
      </c>
      <c r="C11" s="36"/>
      <c r="D11" s="36">
        <v>439563</v>
      </c>
      <c r="E11" s="77">
        <f t="shared" si="0"/>
        <v>439563</v>
      </c>
      <c r="F11" s="77">
        <v>91653</v>
      </c>
      <c r="G11" s="77">
        <v>4485</v>
      </c>
      <c r="H11" s="78"/>
      <c r="I11" s="79">
        <f>'2011B Academic'!I11</f>
        <v>0</v>
      </c>
      <c r="J11" s="79">
        <f>'2011B Academic'!J11</f>
        <v>238606.18108169996</v>
      </c>
      <c r="K11" s="79">
        <f t="shared" si="1"/>
        <v>238606.18108169996</v>
      </c>
      <c r="L11" s="79">
        <f>'2011B Academic'!L11</f>
        <v>49751.6222127</v>
      </c>
      <c r="M11" s="79">
        <f>'2011B Academic'!M11</f>
        <v>2434.5741615</v>
      </c>
      <c r="N11" s="78"/>
      <c r="O11" s="78">
        <f t="shared" si="2"/>
        <v>0</v>
      </c>
      <c r="P11" s="80">
        <f t="shared" si="2"/>
        <v>200956.81891829995</v>
      </c>
      <c r="Q11" s="78">
        <f t="shared" si="3"/>
        <v>200956.81891829995</v>
      </c>
      <c r="R11" s="78">
        <f t="shared" si="4"/>
        <v>41901.37778729999</v>
      </c>
      <c r="S11" s="78">
        <f t="shared" si="4"/>
        <v>2050.4258385</v>
      </c>
      <c r="T11" s="78"/>
      <c r="U11" s="78">
        <f t="shared" si="102"/>
        <v>0</v>
      </c>
      <c r="V11" s="77">
        <f t="shared" si="5"/>
        <v>35922.846612</v>
      </c>
      <c r="W11" s="78">
        <f t="shared" si="6"/>
        <v>35922.846612</v>
      </c>
      <c r="X11" s="78">
        <f t="shared" si="7"/>
        <v>7490.249772</v>
      </c>
      <c r="Y11" s="77">
        <f t="shared" si="8"/>
        <v>366.53214</v>
      </c>
      <c r="Z11" s="78"/>
      <c r="AA11" s="78">
        <f t="shared" si="103"/>
        <v>0</v>
      </c>
      <c r="AB11" s="78">
        <f t="shared" si="9"/>
        <v>26182.3942698</v>
      </c>
      <c r="AC11" s="78">
        <f t="shared" si="10"/>
        <v>26182.3942698</v>
      </c>
      <c r="AD11" s="78">
        <f t="shared" si="11"/>
        <v>5459.2742838</v>
      </c>
      <c r="AE11" s="77">
        <f t="shared" si="12"/>
        <v>267.14723100000003</v>
      </c>
      <c r="AF11" s="78"/>
      <c r="AG11" s="78">
        <f t="shared" si="104"/>
        <v>0</v>
      </c>
      <c r="AH11" s="78">
        <f t="shared" si="13"/>
        <v>13881.5753652</v>
      </c>
      <c r="AI11" s="78">
        <f t="shared" si="14"/>
        <v>13881.5753652</v>
      </c>
      <c r="AJ11" s="78">
        <f t="shared" si="15"/>
        <v>2894.4384012</v>
      </c>
      <c r="AK11" s="77">
        <f t="shared" si="16"/>
        <v>141.638094</v>
      </c>
      <c r="AL11" s="78"/>
      <c r="AM11" s="78">
        <f t="shared" si="105"/>
        <v>0</v>
      </c>
      <c r="AN11" s="78">
        <f t="shared" si="17"/>
        <v>10095.882984000002</v>
      </c>
      <c r="AO11" s="78">
        <f t="shared" si="18"/>
        <v>10095.882984000002</v>
      </c>
      <c r="AP11" s="78">
        <f t="shared" si="19"/>
        <v>2105.086104</v>
      </c>
      <c r="AQ11" s="77">
        <f t="shared" si="20"/>
        <v>103.01147999999999</v>
      </c>
      <c r="AR11" s="78"/>
      <c r="AS11" s="78">
        <f t="shared" si="106"/>
        <v>0</v>
      </c>
      <c r="AT11" s="78">
        <f t="shared" si="21"/>
        <v>1156.4462967</v>
      </c>
      <c r="AU11" s="78">
        <f t="shared" si="22"/>
        <v>1156.4462967</v>
      </c>
      <c r="AV11" s="78">
        <f t="shared" si="23"/>
        <v>241.12987769999998</v>
      </c>
      <c r="AW11" s="77">
        <f t="shared" si="24"/>
        <v>11.799586499999998</v>
      </c>
      <c r="AX11" s="78"/>
      <c r="AY11" s="78">
        <f t="shared" si="107"/>
        <v>0</v>
      </c>
      <c r="AZ11" s="78">
        <f t="shared" si="25"/>
        <v>18295.886792699996</v>
      </c>
      <c r="BA11" s="78">
        <f t="shared" si="26"/>
        <v>18295.886792699996</v>
      </c>
      <c r="BB11" s="78">
        <f t="shared" si="27"/>
        <v>3814.8636536999998</v>
      </c>
      <c r="BC11" s="77">
        <f t="shared" si="28"/>
        <v>186.67870649999998</v>
      </c>
      <c r="BD11" s="78"/>
      <c r="BE11" s="78">
        <f t="shared" si="108"/>
        <v>0</v>
      </c>
      <c r="BF11" s="78">
        <f t="shared" si="29"/>
        <v>1983.3522123</v>
      </c>
      <c r="BG11" s="78">
        <f t="shared" si="30"/>
        <v>1983.3522123</v>
      </c>
      <c r="BH11" s="78">
        <f t="shared" si="31"/>
        <v>413.54750129999996</v>
      </c>
      <c r="BI11" s="77">
        <f t="shared" si="32"/>
        <v>20.2367685</v>
      </c>
      <c r="BJ11" s="78"/>
      <c r="BK11" s="78">
        <f t="shared" si="109"/>
        <v>0</v>
      </c>
      <c r="BL11" s="78">
        <f t="shared" si="33"/>
        <v>6204.2998761</v>
      </c>
      <c r="BM11" s="78">
        <f t="shared" si="34"/>
        <v>6204.2998761</v>
      </c>
      <c r="BN11" s="78">
        <f t="shared" si="35"/>
        <v>1293.6545991</v>
      </c>
      <c r="BO11" s="77">
        <f t="shared" si="36"/>
        <v>63.304429500000005</v>
      </c>
      <c r="BP11" s="78"/>
      <c r="BQ11" s="78">
        <f t="shared" si="110"/>
        <v>0</v>
      </c>
      <c r="BR11" s="78">
        <f t="shared" si="37"/>
        <v>3146.3479977000006</v>
      </c>
      <c r="BS11" s="78">
        <f t="shared" si="38"/>
        <v>3146.3479977000006</v>
      </c>
      <c r="BT11" s="78">
        <f t="shared" si="39"/>
        <v>656.0430087</v>
      </c>
      <c r="BU11" s="77">
        <f t="shared" si="40"/>
        <v>32.1031815</v>
      </c>
      <c r="BV11" s="78"/>
      <c r="BW11" s="78">
        <f t="shared" si="111"/>
        <v>0</v>
      </c>
      <c r="BX11" s="78">
        <f t="shared" si="41"/>
        <v>611.0365263</v>
      </c>
      <c r="BY11" s="78">
        <f t="shared" si="42"/>
        <v>611.0365263</v>
      </c>
      <c r="BZ11" s="78">
        <f t="shared" si="43"/>
        <v>127.4068353</v>
      </c>
      <c r="CA11" s="77">
        <f t="shared" si="44"/>
        <v>6.2345985</v>
      </c>
      <c r="CB11" s="78"/>
      <c r="CC11" s="78">
        <f t="shared" si="112"/>
        <v>0</v>
      </c>
      <c r="CD11" s="78">
        <f t="shared" si="45"/>
        <v>2427.8822742</v>
      </c>
      <c r="CE11" s="78">
        <f t="shared" si="46"/>
        <v>2427.8822742</v>
      </c>
      <c r="CF11" s="78">
        <f t="shared" si="47"/>
        <v>506.23618020000004</v>
      </c>
      <c r="CG11" s="77">
        <f t="shared" si="48"/>
        <v>24.772449</v>
      </c>
      <c r="CH11" s="78"/>
      <c r="CI11" s="78">
        <f t="shared" si="113"/>
        <v>0</v>
      </c>
      <c r="CJ11" s="78">
        <f t="shared" si="49"/>
        <v>5921.4850419</v>
      </c>
      <c r="CK11" s="78">
        <f t="shared" si="50"/>
        <v>5921.4850419</v>
      </c>
      <c r="CL11" s="78">
        <f t="shared" si="51"/>
        <v>1234.6850589</v>
      </c>
      <c r="CM11" s="77">
        <f t="shared" si="52"/>
        <v>60.418780500000004</v>
      </c>
      <c r="CN11" s="78"/>
      <c r="CO11" s="78">
        <f t="shared" si="114"/>
        <v>0</v>
      </c>
      <c r="CP11" s="78">
        <f t="shared" si="53"/>
        <v>13253.8794012</v>
      </c>
      <c r="CQ11" s="78">
        <f t="shared" si="54"/>
        <v>13253.8794012</v>
      </c>
      <c r="CR11" s="78">
        <f t="shared" si="55"/>
        <v>2763.5579172</v>
      </c>
      <c r="CS11" s="77">
        <f t="shared" si="56"/>
        <v>135.23351399999999</v>
      </c>
      <c r="CT11" s="78"/>
      <c r="CU11" s="78">
        <f t="shared" si="115"/>
        <v>0</v>
      </c>
      <c r="CV11" s="78">
        <f t="shared" si="57"/>
        <v>2005.2424497</v>
      </c>
      <c r="CW11" s="78">
        <f t="shared" si="58"/>
        <v>2005.2424497</v>
      </c>
      <c r="CX11" s="78">
        <f t="shared" si="59"/>
        <v>418.1118207</v>
      </c>
      <c r="CY11" s="77">
        <f t="shared" si="60"/>
        <v>20.4601215</v>
      </c>
      <c r="CZ11" s="78"/>
      <c r="DA11" s="78">
        <f t="shared" si="116"/>
        <v>0</v>
      </c>
      <c r="DB11" s="78">
        <f t="shared" si="61"/>
        <v>5761.7478476999995</v>
      </c>
      <c r="DC11" s="78">
        <f t="shared" si="62"/>
        <v>5761.7478476999995</v>
      </c>
      <c r="DD11" s="78">
        <f t="shared" si="63"/>
        <v>1201.3783587</v>
      </c>
      <c r="DE11" s="77">
        <f t="shared" si="64"/>
        <v>58.788931500000004</v>
      </c>
      <c r="DF11" s="78"/>
      <c r="DG11" s="78">
        <f t="shared" si="117"/>
        <v>0</v>
      </c>
      <c r="DH11" s="78">
        <f t="shared" si="65"/>
        <v>222.0232713</v>
      </c>
      <c r="DI11" s="78">
        <f t="shared" si="66"/>
        <v>222.0232713</v>
      </c>
      <c r="DJ11" s="78">
        <f t="shared" si="67"/>
        <v>46.2939303</v>
      </c>
      <c r="DK11" s="77">
        <f t="shared" si="68"/>
        <v>2.2653735</v>
      </c>
      <c r="DL11" s="78"/>
      <c r="DM11" s="90">
        <f t="shared" si="118"/>
        <v>0</v>
      </c>
      <c r="DN11" s="90">
        <f t="shared" si="69"/>
        <v>12154.708163399999</v>
      </c>
      <c r="DO11" s="90">
        <f t="shared" si="70"/>
        <v>12154.708163399999</v>
      </c>
      <c r="DP11" s="90">
        <f t="shared" si="71"/>
        <v>2534.3704254</v>
      </c>
      <c r="DQ11" s="94">
        <f t="shared" si="72"/>
        <v>124.01832300000001</v>
      </c>
      <c r="DR11" s="78"/>
      <c r="DS11" s="78">
        <f t="shared" si="119"/>
        <v>0</v>
      </c>
      <c r="DT11" s="78">
        <f t="shared" si="73"/>
        <v>1913.5935642</v>
      </c>
      <c r="DU11" s="78">
        <f t="shared" si="74"/>
        <v>1913.5935642</v>
      </c>
      <c r="DV11" s="78">
        <f t="shared" si="75"/>
        <v>399.0021702</v>
      </c>
      <c r="DW11" s="77">
        <f t="shared" si="76"/>
        <v>19.524999</v>
      </c>
      <c r="DX11" s="78"/>
      <c r="DY11" s="78">
        <f t="shared" si="120"/>
        <v>0</v>
      </c>
      <c r="DZ11" s="78">
        <f t="shared" si="77"/>
        <v>9847.4859327</v>
      </c>
      <c r="EA11" s="78">
        <f t="shared" si="78"/>
        <v>9847.4859327</v>
      </c>
      <c r="EB11" s="78">
        <f t="shared" si="79"/>
        <v>2053.2929937</v>
      </c>
      <c r="EC11" s="77">
        <f t="shared" si="80"/>
        <v>100.4770065</v>
      </c>
      <c r="ED11" s="78"/>
      <c r="EE11" s="78">
        <f t="shared" si="121"/>
        <v>0</v>
      </c>
      <c r="EF11" s="78">
        <f t="shared" si="81"/>
        <v>2811.3570354000003</v>
      </c>
      <c r="EG11" s="78">
        <f t="shared" si="82"/>
        <v>2811.3570354000003</v>
      </c>
      <c r="EH11" s="78">
        <f t="shared" si="83"/>
        <v>586.1942574</v>
      </c>
      <c r="EI11" s="77">
        <f t="shared" si="84"/>
        <v>28.685163</v>
      </c>
      <c r="EJ11" s="78"/>
      <c r="EK11" s="78">
        <f t="shared" si="122"/>
        <v>0</v>
      </c>
      <c r="EL11" s="78">
        <f t="shared" si="85"/>
        <v>28.219944600000005</v>
      </c>
      <c r="EM11" s="78">
        <f t="shared" si="86"/>
        <v>28.219944600000005</v>
      </c>
      <c r="EN11" s="78">
        <f t="shared" si="87"/>
        <v>5.8841226</v>
      </c>
      <c r="EO11" s="77">
        <f t="shared" si="88"/>
        <v>0.287937</v>
      </c>
      <c r="EP11" s="78"/>
      <c r="EQ11" s="78">
        <f t="shared" si="123"/>
        <v>0</v>
      </c>
      <c r="ER11" s="78">
        <f t="shared" si="89"/>
        <v>52.3959096</v>
      </c>
      <c r="ES11" s="78">
        <f t="shared" si="90"/>
        <v>52.3959096</v>
      </c>
      <c r="ET11" s="78">
        <f t="shared" si="91"/>
        <v>10.9250376</v>
      </c>
      <c r="EU11" s="77">
        <f t="shared" si="92"/>
        <v>0.534612</v>
      </c>
      <c r="EV11" s="78"/>
      <c r="EW11" s="78">
        <f t="shared" si="124"/>
        <v>0</v>
      </c>
      <c r="EX11" s="78">
        <f t="shared" si="93"/>
        <v>9471.5276988</v>
      </c>
      <c r="EY11" s="78">
        <f t="shared" si="94"/>
        <v>9471.5276988</v>
      </c>
      <c r="EZ11" s="78">
        <f t="shared" si="95"/>
        <v>1974.9021828</v>
      </c>
      <c r="FA11" s="77">
        <f t="shared" si="96"/>
        <v>96.640986</v>
      </c>
      <c r="FB11" s="78"/>
      <c r="FC11" s="78">
        <f t="shared" si="125"/>
        <v>0</v>
      </c>
      <c r="FD11" s="78">
        <f t="shared" si="97"/>
        <v>17605.2014508</v>
      </c>
      <c r="FE11" s="78">
        <f t="shared" si="98"/>
        <v>17605.2014508</v>
      </c>
      <c r="FF11" s="78">
        <f t="shared" si="99"/>
        <v>3670.8492948</v>
      </c>
      <c r="FG11" s="77">
        <f t="shared" si="100"/>
        <v>179.631426</v>
      </c>
      <c r="FH11" s="78"/>
      <c r="FI11" s="80"/>
      <c r="FJ11" s="78"/>
      <c r="FK11" s="78"/>
      <c r="FL11" s="78"/>
      <c r="FM11" s="77">
        <f t="shared" si="101"/>
        <v>0</v>
      </c>
    </row>
    <row r="12" spans="1:169" ht="12">
      <c r="A12" s="19">
        <v>42644</v>
      </c>
      <c r="C12" s="36"/>
      <c r="D12" s="36">
        <v>439563</v>
      </c>
      <c r="E12" s="77">
        <f t="shared" si="0"/>
        <v>439563</v>
      </c>
      <c r="F12" s="77">
        <v>91653</v>
      </c>
      <c r="G12" s="77">
        <v>4485</v>
      </c>
      <c r="H12" s="78"/>
      <c r="I12" s="79">
        <f>'2011B Academic'!I12</f>
        <v>0</v>
      </c>
      <c r="J12" s="79">
        <f>'2011B Academic'!J12</f>
        <v>238606.18108169996</v>
      </c>
      <c r="K12" s="79">
        <f t="shared" si="1"/>
        <v>238606.18108169996</v>
      </c>
      <c r="L12" s="79">
        <f>'2011B Academic'!L12</f>
        <v>49751.6222127</v>
      </c>
      <c r="M12" s="79">
        <f>'2011B Academic'!M12</f>
        <v>2434.5741615</v>
      </c>
      <c r="N12" s="78"/>
      <c r="O12" s="78">
        <f t="shared" si="2"/>
        <v>0</v>
      </c>
      <c r="P12" s="80">
        <f t="shared" si="2"/>
        <v>200956.81891829995</v>
      </c>
      <c r="Q12" s="78">
        <f t="shared" si="3"/>
        <v>200956.81891829995</v>
      </c>
      <c r="R12" s="78">
        <f t="shared" si="4"/>
        <v>41901.37778729999</v>
      </c>
      <c r="S12" s="78">
        <f t="shared" si="4"/>
        <v>2050.4258385</v>
      </c>
      <c r="T12" s="78"/>
      <c r="U12" s="78"/>
      <c r="V12" s="77">
        <f t="shared" si="5"/>
        <v>35922.846612</v>
      </c>
      <c r="W12" s="78">
        <f t="shared" si="6"/>
        <v>35922.846612</v>
      </c>
      <c r="X12" s="78">
        <f t="shared" si="7"/>
        <v>7490.249772</v>
      </c>
      <c r="Y12" s="77">
        <f t="shared" si="8"/>
        <v>366.53214</v>
      </c>
      <c r="Z12" s="78"/>
      <c r="AA12" s="78"/>
      <c r="AB12" s="78">
        <f t="shared" si="9"/>
        <v>26182.3942698</v>
      </c>
      <c r="AC12" s="78">
        <f t="shared" si="10"/>
        <v>26182.3942698</v>
      </c>
      <c r="AD12" s="78">
        <f t="shared" si="11"/>
        <v>5459.2742838</v>
      </c>
      <c r="AE12" s="77">
        <f t="shared" si="12"/>
        <v>267.14723100000003</v>
      </c>
      <c r="AF12" s="78"/>
      <c r="AG12" s="78"/>
      <c r="AH12" s="78">
        <f t="shared" si="13"/>
        <v>13881.5753652</v>
      </c>
      <c r="AI12" s="78">
        <f t="shared" si="14"/>
        <v>13881.5753652</v>
      </c>
      <c r="AJ12" s="78">
        <f t="shared" si="15"/>
        <v>2894.4384012</v>
      </c>
      <c r="AK12" s="77">
        <f t="shared" si="16"/>
        <v>141.638094</v>
      </c>
      <c r="AL12" s="78"/>
      <c r="AM12" s="78"/>
      <c r="AN12" s="78">
        <f t="shared" si="17"/>
        <v>10095.882984000002</v>
      </c>
      <c r="AO12" s="78">
        <f t="shared" si="18"/>
        <v>10095.882984000002</v>
      </c>
      <c r="AP12" s="78">
        <f t="shared" si="19"/>
        <v>2105.086104</v>
      </c>
      <c r="AQ12" s="77">
        <f t="shared" si="20"/>
        <v>103.01147999999999</v>
      </c>
      <c r="AR12" s="78"/>
      <c r="AS12" s="78"/>
      <c r="AT12" s="78">
        <f t="shared" si="21"/>
        <v>1156.4462967</v>
      </c>
      <c r="AU12" s="78">
        <f t="shared" si="22"/>
        <v>1156.4462967</v>
      </c>
      <c r="AV12" s="78">
        <f t="shared" si="23"/>
        <v>241.12987769999998</v>
      </c>
      <c r="AW12" s="77">
        <f t="shared" si="24"/>
        <v>11.799586499999998</v>
      </c>
      <c r="AX12" s="78"/>
      <c r="AY12" s="78"/>
      <c r="AZ12" s="78">
        <f t="shared" si="25"/>
        <v>18295.886792699996</v>
      </c>
      <c r="BA12" s="78">
        <f t="shared" si="26"/>
        <v>18295.886792699996</v>
      </c>
      <c r="BB12" s="78">
        <f t="shared" si="27"/>
        <v>3814.8636536999998</v>
      </c>
      <c r="BC12" s="77">
        <f t="shared" si="28"/>
        <v>186.67870649999998</v>
      </c>
      <c r="BD12" s="78"/>
      <c r="BE12" s="78"/>
      <c r="BF12" s="78">
        <f t="shared" si="29"/>
        <v>1983.3522123</v>
      </c>
      <c r="BG12" s="78">
        <f t="shared" si="30"/>
        <v>1983.3522123</v>
      </c>
      <c r="BH12" s="78">
        <f t="shared" si="31"/>
        <v>413.54750129999996</v>
      </c>
      <c r="BI12" s="77">
        <f t="shared" si="32"/>
        <v>20.2367685</v>
      </c>
      <c r="BJ12" s="78"/>
      <c r="BK12" s="78"/>
      <c r="BL12" s="78">
        <f t="shared" si="33"/>
        <v>6204.2998761</v>
      </c>
      <c r="BM12" s="78">
        <f t="shared" si="34"/>
        <v>6204.2998761</v>
      </c>
      <c r="BN12" s="78">
        <f t="shared" si="35"/>
        <v>1293.6545991</v>
      </c>
      <c r="BO12" s="77">
        <f t="shared" si="36"/>
        <v>63.304429500000005</v>
      </c>
      <c r="BP12" s="78"/>
      <c r="BQ12" s="78"/>
      <c r="BR12" s="78">
        <f t="shared" si="37"/>
        <v>3146.3479977000006</v>
      </c>
      <c r="BS12" s="78">
        <f t="shared" si="38"/>
        <v>3146.3479977000006</v>
      </c>
      <c r="BT12" s="78">
        <f t="shared" si="39"/>
        <v>656.0430087</v>
      </c>
      <c r="BU12" s="77">
        <f t="shared" si="40"/>
        <v>32.1031815</v>
      </c>
      <c r="BV12" s="78"/>
      <c r="BW12" s="78"/>
      <c r="BX12" s="78">
        <f t="shared" si="41"/>
        <v>611.0365263</v>
      </c>
      <c r="BY12" s="78">
        <f t="shared" si="42"/>
        <v>611.0365263</v>
      </c>
      <c r="BZ12" s="78">
        <f t="shared" si="43"/>
        <v>127.4068353</v>
      </c>
      <c r="CA12" s="77">
        <f t="shared" si="44"/>
        <v>6.2345985</v>
      </c>
      <c r="CB12" s="78"/>
      <c r="CC12" s="78"/>
      <c r="CD12" s="78">
        <f t="shared" si="45"/>
        <v>2427.8822742</v>
      </c>
      <c r="CE12" s="78">
        <f t="shared" si="46"/>
        <v>2427.8822742</v>
      </c>
      <c r="CF12" s="78">
        <f t="shared" si="47"/>
        <v>506.23618020000004</v>
      </c>
      <c r="CG12" s="77">
        <f t="shared" si="48"/>
        <v>24.772449</v>
      </c>
      <c r="CH12" s="78"/>
      <c r="CI12" s="78"/>
      <c r="CJ12" s="78">
        <f t="shared" si="49"/>
        <v>5921.4850419</v>
      </c>
      <c r="CK12" s="78">
        <f t="shared" si="50"/>
        <v>5921.4850419</v>
      </c>
      <c r="CL12" s="78">
        <f t="shared" si="51"/>
        <v>1234.6850589</v>
      </c>
      <c r="CM12" s="77">
        <f t="shared" si="52"/>
        <v>60.418780500000004</v>
      </c>
      <c r="CN12" s="78"/>
      <c r="CO12" s="78"/>
      <c r="CP12" s="78">
        <f t="shared" si="53"/>
        <v>13253.8794012</v>
      </c>
      <c r="CQ12" s="78">
        <f t="shared" si="54"/>
        <v>13253.8794012</v>
      </c>
      <c r="CR12" s="78">
        <f t="shared" si="55"/>
        <v>2763.5579172</v>
      </c>
      <c r="CS12" s="77">
        <f t="shared" si="56"/>
        <v>135.23351399999999</v>
      </c>
      <c r="CT12" s="78"/>
      <c r="CU12" s="78"/>
      <c r="CV12" s="78">
        <f t="shared" si="57"/>
        <v>2005.2424497</v>
      </c>
      <c r="CW12" s="78">
        <f t="shared" si="58"/>
        <v>2005.2424497</v>
      </c>
      <c r="CX12" s="78">
        <f t="shared" si="59"/>
        <v>418.1118207</v>
      </c>
      <c r="CY12" s="77">
        <f t="shared" si="60"/>
        <v>20.4601215</v>
      </c>
      <c r="CZ12" s="78"/>
      <c r="DA12" s="78"/>
      <c r="DB12" s="78">
        <f t="shared" si="61"/>
        <v>5761.7478476999995</v>
      </c>
      <c r="DC12" s="78">
        <f t="shared" si="62"/>
        <v>5761.7478476999995</v>
      </c>
      <c r="DD12" s="78">
        <f t="shared" si="63"/>
        <v>1201.3783587</v>
      </c>
      <c r="DE12" s="77">
        <f t="shared" si="64"/>
        <v>58.788931500000004</v>
      </c>
      <c r="DF12" s="78"/>
      <c r="DG12" s="78"/>
      <c r="DH12" s="78">
        <f t="shared" si="65"/>
        <v>222.0232713</v>
      </c>
      <c r="DI12" s="78">
        <f t="shared" si="66"/>
        <v>222.0232713</v>
      </c>
      <c r="DJ12" s="78">
        <f t="shared" si="67"/>
        <v>46.2939303</v>
      </c>
      <c r="DK12" s="77">
        <f t="shared" si="68"/>
        <v>2.2653735</v>
      </c>
      <c r="DL12" s="78"/>
      <c r="DM12" s="90"/>
      <c r="DN12" s="90">
        <f t="shared" si="69"/>
        <v>12154.708163399999</v>
      </c>
      <c r="DO12" s="90">
        <f t="shared" si="70"/>
        <v>12154.708163399999</v>
      </c>
      <c r="DP12" s="90">
        <f t="shared" si="71"/>
        <v>2534.3704254</v>
      </c>
      <c r="DQ12" s="94">
        <f t="shared" si="72"/>
        <v>124.01832300000001</v>
      </c>
      <c r="DR12" s="78"/>
      <c r="DS12" s="78"/>
      <c r="DT12" s="78">
        <f t="shared" si="73"/>
        <v>1913.5935642</v>
      </c>
      <c r="DU12" s="78">
        <f t="shared" si="74"/>
        <v>1913.5935642</v>
      </c>
      <c r="DV12" s="78">
        <f t="shared" si="75"/>
        <v>399.0021702</v>
      </c>
      <c r="DW12" s="77">
        <f t="shared" si="76"/>
        <v>19.524999</v>
      </c>
      <c r="DX12" s="78"/>
      <c r="DY12" s="78"/>
      <c r="DZ12" s="78">
        <f t="shared" si="77"/>
        <v>9847.4859327</v>
      </c>
      <c r="EA12" s="78">
        <f t="shared" si="78"/>
        <v>9847.4859327</v>
      </c>
      <c r="EB12" s="78">
        <f t="shared" si="79"/>
        <v>2053.2929937</v>
      </c>
      <c r="EC12" s="77">
        <f t="shared" si="80"/>
        <v>100.4770065</v>
      </c>
      <c r="ED12" s="78"/>
      <c r="EE12" s="78"/>
      <c r="EF12" s="78">
        <f t="shared" si="81"/>
        <v>2811.3570354000003</v>
      </c>
      <c r="EG12" s="78">
        <f t="shared" si="82"/>
        <v>2811.3570354000003</v>
      </c>
      <c r="EH12" s="78">
        <f t="shared" si="83"/>
        <v>586.1942574</v>
      </c>
      <c r="EI12" s="77">
        <f t="shared" si="84"/>
        <v>28.685163</v>
      </c>
      <c r="EJ12" s="78"/>
      <c r="EK12" s="78"/>
      <c r="EL12" s="78">
        <f t="shared" si="85"/>
        <v>28.219944600000005</v>
      </c>
      <c r="EM12" s="78">
        <f t="shared" si="86"/>
        <v>28.219944600000005</v>
      </c>
      <c r="EN12" s="78">
        <f t="shared" si="87"/>
        <v>5.8841226</v>
      </c>
      <c r="EO12" s="77">
        <f t="shared" si="88"/>
        <v>0.287937</v>
      </c>
      <c r="EP12" s="78"/>
      <c r="EQ12" s="78"/>
      <c r="ER12" s="78">
        <f t="shared" si="89"/>
        <v>52.3959096</v>
      </c>
      <c r="ES12" s="78">
        <f t="shared" si="90"/>
        <v>52.3959096</v>
      </c>
      <c r="ET12" s="78">
        <f t="shared" si="91"/>
        <v>10.9250376</v>
      </c>
      <c r="EU12" s="77">
        <f t="shared" si="92"/>
        <v>0.534612</v>
      </c>
      <c r="EV12" s="78"/>
      <c r="EW12" s="78"/>
      <c r="EX12" s="78">
        <f t="shared" si="93"/>
        <v>9471.5276988</v>
      </c>
      <c r="EY12" s="78">
        <f t="shared" si="94"/>
        <v>9471.5276988</v>
      </c>
      <c r="EZ12" s="78">
        <f t="shared" si="95"/>
        <v>1974.9021828</v>
      </c>
      <c r="FA12" s="77">
        <f t="shared" si="96"/>
        <v>96.640986</v>
      </c>
      <c r="FB12" s="78"/>
      <c r="FC12" s="78"/>
      <c r="FD12" s="78">
        <f t="shared" si="97"/>
        <v>17605.2014508</v>
      </c>
      <c r="FE12" s="78">
        <f t="shared" si="98"/>
        <v>17605.2014508</v>
      </c>
      <c r="FF12" s="78">
        <f t="shared" si="99"/>
        <v>3670.8492948</v>
      </c>
      <c r="FG12" s="77">
        <f t="shared" si="100"/>
        <v>179.631426</v>
      </c>
      <c r="FH12" s="78"/>
      <c r="FI12" s="80"/>
      <c r="FJ12" s="78"/>
      <c r="FK12" s="78"/>
      <c r="FL12" s="78"/>
      <c r="FM12" s="77">
        <f t="shared" si="101"/>
        <v>0</v>
      </c>
    </row>
    <row r="13" spans="1:169" ht="12">
      <c r="A13" s="19">
        <v>42826</v>
      </c>
      <c r="C13" s="36">
        <v>5000</v>
      </c>
      <c r="D13" s="36">
        <v>439563</v>
      </c>
      <c r="E13" s="77">
        <f t="shared" si="0"/>
        <v>444563</v>
      </c>
      <c r="F13" s="77">
        <v>91653</v>
      </c>
      <c r="G13" s="77">
        <v>4485</v>
      </c>
      <c r="H13" s="78"/>
      <c r="I13" s="79">
        <f>'2011B Academic'!I13</f>
        <v>2714.1295</v>
      </c>
      <c r="J13" s="79">
        <f>'2011B Academic'!J13</f>
        <v>238606.18108169996</v>
      </c>
      <c r="K13" s="79">
        <f t="shared" si="1"/>
        <v>241320.31058169997</v>
      </c>
      <c r="L13" s="79">
        <f>'2011B Academic'!L13</f>
        <v>49751.6222127</v>
      </c>
      <c r="M13" s="79">
        <f>'2011B Academic'!M13</f>
        <v>2434.5741615</v>
      </c>
      <c r="N13" s="78"/>
      <c r="O13" s="78">
        <f t="shared" si="2"/>
        <v>2285.8705</v>
      </c>
      <c r="P13" s="80">
        <f t="shared" si="2"/>
        <v>200956.81891829995</v>
      </c>
      <c r="Q13" s="78">
        <f t="shared" si="3"/>
        <v>203242.68941829994</v>
      </c>
      <c r="R13" s="78">
        <f t="shared" si="4"/>
        <v>41901.37778729999</v>
      </c>
      <c r="S13" s="78">
        <f t="shared" si="4"/>
        <v>2050.4258385</v>
      </c>
      <c r="T13" s="78"/>
      <c r="U13" s="78">
        <f t="shared" si="102"/>
        <v>408.62</v>
      </c>
      <c r="V13" s="77">
        <f t="shared" si="5"/>
        <v>35922.846612</v>
      </c>
      <c r="W13" s="78">
        <f t="shared" si="6"/>
        <v>36331.466612000004</v>
      </c>
      <c r="X13" s="78">
        <f t="shared" si="7"/>
        <v>7490.249772</v>
      </c>
      <c r="Y13" s="77">
        <f t="shared" si="8"/>
        <v>366.53214</v>
      </c>
      <c r="Z13" s="78"/>
      <c r="AA13" s="78">
        <f t="shared" si="103"/>
        <v>297.823</v>
      </c>
      <c r="AB13" s="78">
        <f t="shared" si="9"/>
        <v>26182.3942698</v>
      </c>
      <c r="AC13" s="78">
        <f t="shared" si="10"/>
        <v>26480.2172698</v>
      </c>
      <c r="AD13" s="78">
        <f t="shared" si="11"/>
        <v>5459.2742838</v>
      </c>
      <c r="AE13" s="77">
        <f t="shared" si="12"/>
        <v>267.14723100000003</v>
      </c>
      <c r="AF13" s="78"/>
      <c r="AG13" s="78">
        <f t="shared" si="104"/>
        <v>157.90200000000002</v>
      </c>
      <c r="AH13" s="78">
        <f t="shared" si="13"/>
        <v>13881.5753652</v>
      </c>
      <c r="AI13" s="78">
        <f t="shared" si="14"/>
        <v>14039.4773652</v>
      </c>
      <c r="AJ13" s="78">
        <f t="shared" si="15"/>
        <v>2894.4384012</v>
      </c>
      <c r="AK13" s="77">
        <f t="shared" si="16"/>
        <v>141.638094</v>
      </c>
      <c r="AL13" s="78"/>
      <c r="AM13" s="78">
        <f t="shared" si="105"/>
        <v>114.84</v>
      </c>
      <c r="AN13" s="78">
        <f t="shared" si="17"/>
        <v>10095.882984000002</v>
      </c>
      <c r="AO13" s="78">
        <f t="shared" si="18"/>
        <v>10210.722984000002</v>
      </c>
      <c r="AP13" s="78">
        <f t="shared" si="19"/>
        <v>2105.086104</v>
      </c>
      <c r="AQ13" s="77">
        <f t="shared" si="20"/>
        <v>103.01147999999999</v>
      </c>
      <c r="AR13" s="78"/>
      <c r="AS13" s="78">
        <f t="shared" si="106"/>
        <v>13.1545</v>
      </c>
      <c r="AT13" s="78">
        <f t="shared" si="21"/>
        <v>1156.4462967</v>
      </c>
      <c r="AU13" s="78">
        <f t="shared" si="22"/>
        <v>1169.6007967</v>
      </c>
      <c r="AV13" s="78">
        <f t="shared" si="23"/>
        <v>241.12987769999998</v>
      </c>
      <c r="AW13" s="77">
        <f t="shared" si="24"/>
        <v>11.799586499999998</v>
      </c>
      <c r="AX13" s="78"/>
      <c r="AY13" s="78">
        <f t="shared" si="107"/>
        <v>208.11449999999996</v>
      </c>
      <c r="AZ13" s="78">
        <f t="shared" si="25"/>
        <v>18295.886792699996</v>
      </c>
      <c r="BA13" s="78">
        <f t="shared" si="26"/>
        <v>18504.001292699995</v>
      </c>
      <c r="BB13" s="78">
        <f t="shared" si="27"/>
        <v>3814.8636536999998</v>
      </c>
      <c r="BC13" s="77">
        <f t="shared" si="28"/>
        <v>186.67870649999998</v>
      </c>
      <c r="BD13" s="78"/>
      <c r="BE13" s="78">
        <f t="shared" si="108"/>
        <v>22.5605</v>
      </c>
      <c r="BF13" s="78">
        <f t="shared" si="29"/>
        <v>1983.3522123</v>
      </c>
      <c r="BG13" s="78">
        <f t="shared" si="30"/>
        <v>2005.9127123</v>
      </c>
      <c r="BH13" s="78">
        <f t="shared" si="31"/>
        <v>413.54750129999996</v>
      </c>
      <c r="BI13" s="77">
        <f t="shared" si="32"/>
        <v>20.2367685</v>
      </c>
      <c r="BJ13" s="78"/>
      <c r="BK13" s="78">
        <f t="shared" si="109"/>
        <v>70.57350000000001</v>
      </c>
      <c r="BL13" s="78">
        <f t="shared" si="33"/>
        <v>6204.2998761</v>
      </c>
      <c r="BM13" s="78">
        <f t="shared" si="34"/>
        <v>6274.8733761</v>
      </c>
      <c r="BN13" s="78">
        <f t="shared" si="35"/>
        <v>1293.6545991</v>
      </c>
      <c r="BO13" s="77">
        <f t="shared" si="36"/>
        <v>63.304429500000005</v>
      </c>
      <c r="BP13" s="78"/>
      <c r="BQ13" s="78">
        <f t="shared" si="110"/>
        <v>35.789500000000004</v>
      </c>
      <c r="BR13" s="78">
        <f t="shared" si="37"/>
        <v>3146.3479977000006</v>
      </c>
      <c r="BS13" s="78">
        <f t="shared" si="38"/>
        <v>3182.1374977000005</v>
      </c>
      <c r="BT13" s="78">
        <f t="shared" si="39"/>
        <v>656.0430087</v>
      </c>
      <c r="BU13" s="77">
        <f t="shared" si="40"/>
        <v>32.1031815</v>
      </c>
      <c r="BV13" s="78"/>
      <c r="BW13" s="78">
        <f t="shared" si="111"/>
        <v>6.9505</v>
      </c>
      <c r="BX13" s="78">
        <f t="shared" si="41"/>
        <v>611.0365263</v>
      </c>
      <c r="BY13" s="78">
        <f t="shared" si="42"/>
        <v>617.9870263</v>
      </c>
      <c r="BZ13" s="78">
        <f t="shared" si="43"/>
        <v>127.4068353</v>
      </c>
      <c r="CA13" s="77">
        <f t="shared" si="44"/>
        <v>6.2345985</v>
      </c>
      <c r="CB13" s="78"/>
      <c r="CC13" s="78">
        <f t="shared" si="112"/>
        <v>27.617000000000004</v>
      </c>
      <c r="CD13" s="78">
        <f t="shared" si="45"/>
        <v>2427.8822742</v>
      </c>
      <c r="CE13" s="78">
        <f t="shared" si="46"/>
        <v>2455.4992742000004</v>
      </c>
      <c r="CF13" s="78">
        <f t="shared" si="47"/>
        <v>506.23618020000004</v>
      </c>
      <c r="CG13" s="77">
        <f t="shared" si="48"/>
        <v>24.772449</v>
      </c>
      <c r="CH13" s="78"/>
      <c r="CI13" s="78">
        <f t="shared" si="113"/>
        <v>67.3565</v>
      </c>
      <c r="CJ13" s="78">
        <f t="shared" si="49"/>
        <v>5921.4850419</v>
      </c>
      <c r="CK13" s="78">
        <f t="shared" si="50"/>
        <v>5988.8415419</v>
      </c>
      <c r="CL13" s="78">
        <f t="shared" si="51"/>
        <v>1234.6850589</v>
      </c>
      <c r="CM13" s="77">
        <f t="shared" si="52"/>
        <v>60.418780500000004</v>
      </c>
      <c r="CN13" s="78"/>
      <c r="CO13" s="78">
        <f t="shared" si="114"/>
        <v>150.762</v>
      </c>
      <c r="CP13" s="78">
        <f t="shared" si="53"/>
        <v>13253.8794012</v>
      </c>
      <c r="CQ13" s="78">
        <f t="shared" si="54"/>
        <v>13404.6414012</v>
      </c>
      <c r="CR13" s="78">
        <f t="shared" si="55"/>
        <v>2763.5579172</v>
      </c>
      <c r="CS13" s="77">
        <f t="shared" si="56"/>
        <v>135.23351399999999</v>
      </c>
      <c r="CT13" s="78"/>
      <c r="CU13" s="78">
        <f t="shared" si="115"/>
        <v>22.8095</v>
      </c>
      <c r="CV13" s="78">
        <f t="shared" si="57"/>
        <v>2005.2424497</v>
      </c>
      <c r="CW13" s="78">
        <f t="shared" si="58"/>
        <v>2028.0519497</v>
      </c>
      <c r="CX13" s="78">
        <f t="shared" si="59"/>
        <v>418.1118207</v>
      </c>
      <c r="CY13" s="77">
        <f t="shared" si="60"/>
        <v>20.4601215</v>
      </c>
      <c r="CZ13" s="78"/>
      <c r="DA13" s="78">
        <f t="shared" si="116"/>
        <v>65.5395</v>
      </c>
      <c r="DB13" s="78">
        <f t="shared" si="61"/>
        <v>5761.7478476999995</v>
      </c>
      <c r="DC13" s="78">
        <f t="shared" si="62"/>
        <v>5827.287347699999</v>
      </c>
      <c r="DD13" s="78">
        <f t="shared" si="63"/>
        <v>1201.3783587</v>
      </c>
      <c r="DE13" s="77">
        <f t="shared" si="64"/>
        <v>58.788931500000004</v>
      </c>
      <c r="DF13" s="78"/>
      <c r="DG13" s="78">
        <f t="shared" si="117"/>
        <v>2.5254999999999996</v>
      </c>
      <c r="DH13" s="78">
        <f t="shared" si="65"/>
        <v>222.0232713</v>
      </c>
      <c r="DI13" s="78">
        <f t="shared" si="66"/>
        <v>224.5487713</v>
      </c>
      <c r="DJ13" s="78">
        <f t="shared" si="67"/>
        <v>46.2939303</v>
      </c>
      <c r="DK13" s="77">
        <f t="shared" si="68"/>
        <v>2.2653735</v>
      </c>
      <c r="DL13" s="78"/>
      <c r="DM13" s="90">
        <f t="shared" si="118"/>
        <v>138.259</v>
      </c>
      <c r="DN13" s="90">
        <f t="shared" si="69"/>
        <v>12154.708163399999</v>
      </c>
      <c r="DO13" s="90">
        <f t="shared" si="70"/>
        <v>12292.967163399999</v>
      </c>
      <c r="DP13" s="90">
        <f t="shared" si="71"/>
        <v>2534.3704254</v>
      </c>
      <c r="DQ13" s="94">
        <f t="shared" si="72"/>
        <v>124.01832300000001</v>
      </c>
      <c r="DR13" s="78"/>
      <c r="DS13" s="78">
        <f t="shared" si="119"/>
        <v>21.767</v>
      </c>
      <c r="DT13" s="78">
        <f t="shared" si="73"/>
        <v>1913.5935642</v>
      </c>
      <c r="DU13" s="78">
        <f t="shared" si="74"/>
        <v>1935.3605642</v>
      </c>
      <c r="DV13" s="78">
        <f t="shared" si="75"/>
        <v>399.0021702</v>
      </c>
      <c r="DW13" s="77">
        <f t="shared" si="76"/>
        <v>19.524999</v>
      </c>
      <c r="DX13" s="78"/>
      <c r="DY13" s="78">
        <f t="shared" si="120"/>
        <v>112.01449999999998</v>
      </c>
      <c r="DZ13" s="78">
        <f t="shared" si="77"/>
        <v>9847.4859327</v>
      </c>
      <c r="EA13" s="78">
        <f t="shared" si="78"/>
        <v>9959.500432699999</v>
      </c>
      <c r="EB13" s="78">
        <f t="shared" si="79"/>
        <v>2053.2929937</v>
      </c>
      <c r="EC13" s="77">
        <f t="shared" si="80"/>
        <v>100.4770065</v>
      </c>
      <c r="ED13" s="78"/>
      <c r="EE13" s="78">
        <f t="shared" si="121"/>
        <v>31.979</v>
      </c>
      <c r="EF13" s="78">
        <f t="shared" si="81"/>
        <v>2811.3570354000003</v>
      </c>
      <c r="EG13" s="78">
        <f t="shared" si="82"/>
        <v>2843.3360354</v>
      </c>
      <c r="EH13" s="78">
        <f t="shared" si="83"/>
        <v>586.1942574</v>
      </c>
      <c r="EI13" s="77">
        <f t="shared" si="84"/>
        <v>28.685163</v>
      </c>
      <c r="EJ13" s="78"/>
      <c r="EK13" s="78">
        <f t="shared" si="122"/>
        <v>0.321</v>
      </c>
      <c r="EL13" s="78">
        <f t="shared" si="85"/>
        <v>28.219944600000005</v>
      </c>
      <c r="EM13" s="78">
        <f t="shared" si="86"/>
        <v>28.540944600000007</v>
      </c>
      <c r="EN13" s="78">
        <f t="shared" si="87"/>
        <v>5.8841226</v>
      </c>
      <c r="EO13" s="77">
        <f t="shared" si="88"/>
        <v>0.287937</v>
      </c>
      <c r="EP13" s="78"/>
      <c r="EQ13" s="78">
        <f t="shared" si="123"/>
        <v>0.596</v>
      </c>
      <c r="ER13" s="78">
        <f t="shared" si="89"/>
        <v>52.3959096</v>
      </c>
      <c r="ES13" s="78">
        <f t="shared" si="90"/>
        <v>52.9919096</v>
      </c>
      <c r="ET13" s="78">
        <f t="shared" si="91"/>
        <v>10.9250376</v>
      </c>
      <c r="EU13" s="77">
        <f t="shared" si="92"/>
        <v>0.534612</v>
      </c>
      <c r="EV13" s="78"/>
      <c r="EW13" s="78">
        <f t="shared" si="124"/>
        <v>107.738</v>
      </c>
      <c r="EX13" s="78">
        <f t="shared" si="93"/>
        <v>9471.5276988</v>
      </c>
      <c r="EY13" s="78">
        <f t="shared" si="94"/>
        <v>9579.2656988</v>
      </c>
      <c r="EZ13" s="78">
        <f t="shared" si="95"/>
        <v>1974.9021828</v>
      </c>
      <c r="FA13" s="77">
        <f t="shared" si="96"/>
        <v>96.640986</v>
      </c>
      <c r="FB13" s="78"/>
      <c r="FC13" s="78">
        <f t="shared" si="125"/>
        <v>200.25799999999998</v>
      </c>
      <c r="FD13" s="78">
        <f t="shared" si="97"/>
        <v>17605.2014508</v>
      </c>
      <c r="FE13" s="78">
        <f t="shared" si="98"/>
        <v>17805.4594508</v>
      </c>
      <c r="FF13" s="78">
        <f t="shared" si="99"/>
        <v>3670.8492948</v>
      </c>
      <c r="FG13" s="77">
        <f t="shared" si="100"/>
        <v>179.631426</v>
      </c>
      <c r="FH13" s="78"/>
      <c r="FI13" s="80"/>
      <c r="FJ13" s="78"/>
      <c r="FK13" s="78"/>
      <c r="FL13" s="78"/>
      <c r="FM13" s="77">
        <f t="shared" si="101"/>
        <v>0</v>
      </c>
    </row>
    <row r="14" spans="1:169" ht="12">
      <c r="A14" s="19">
        <v>43009</v>
      </c>
      <c r="C14" s="36"/>
      <c r="D14" s="36">
        <v>439488</v>
      </c>
      <c r="E14" s="77">
        <f t="shared" si="0"/>
        <v>439488</v>
      </c>
      <c r="F14" s="77">
        <v>91653</v>
      </c>
      <c r="G14" s="77">
        <v>4485</v>
      </c>
      <c r="H14" s="78"/>
      <c r="I14" s="79">
        <f>'2011B Academic'!I14</f>
        <v>0</v>
      </c>
      <c r="J14" s="79">
        <f>'2011B Academic'!J14</f>
        <v>238565.46913920002</v>
      </c>
      <c r="K14" s="79">
        <f t="shared" si="1"/>
        <v>238565.46913920002</v>
      </c>
      <c r="L14" s="79">
        <f>'2011B Academic'!L14</f>
        <v>49751.6222127</v>
      </c>
      <c r="M14" s="79">
        <f>'2011B Academic'!M14</f>
        <v>2434.5741615</v>
      </c>
      <c r="N14" s="78"/>
      <c r="O14" s="78">
        <f t="shared" si="2"/>
        <v>0</v>
      </c>
      <c r="P14" s="80">
        <f t="shared" si="2"/>
        <v>200922.5308608</v>
      </c>
      <c r="Q14" s="78">
        <f t="shared" si="3"/>
        <v>200922.5308608</v>
      </c>
      <c r="R14" s="78">
        <f t="shared" si="4"/>
        <v>41901.37778729999</v>
      </c>
      <c r="S14" s="78">
        <f t="shared" si="4"/>
        <v>2050.4258385</v>
      </c>
      <c r="T14" s="78"/>
      <c r="U14" s="78"/>
      <c r="V14" s="77">
        <f t="shared" si="5"/>
        <v>35916.717312</v>
      </c>
      <c r="W14" s="78">
        <f t="shared" si="6"/>
        <v>35916.717312</v>
      </c>
      <c r="X14" s="78">
        <f t="shared" si="7"/>
        <v>7490.249772</v>
      </c>
      <c r="Y14" s="77">
        <f t="shared" si="8"/>
        <v>366.53214</v>
      </c>
      <c r="Z14" s="78"/>
      <c r="AA14" s="78"/>
      <c r="AB14" s="78">
        <f t="shared" si="9"/>
        <v>26177.9269248</v>
      </c>
      <c r="AC14" s="78">
        <f t="shared" si="10"/>
        <v>26177.9269248</v>
      </c>
      <c r="AD14" s="78">
        <f t="shared" si="11"/>
        <v>5459.2742838</v>
      </c>
      <c r="AE14" s="77">
        <f t="shared" si="12"/>
        <v>267.14723100000003</v>
      </c>
      <c r="AF14" s="78"/>
      <c r="AG14" s="78"/>
      <c r="AH14" s="78">
        <f t="shared" si="13"/>
        <v>13879.206835200002</v>
      </c>
      <c r="AI14" s="78">
        <f t="shared" si="14"/>
        <v>13879.206835200002</v>
      </c>
      <c r="AJ14" s="78">
        <f t="shared" si="15"/>
        <v>2894.4384012</v>
      </c>
      <c r="AK14" s="77">
        <f t="shared" si="16"/>
        <v>141.638094</v>
      </c>
      <c r="AL14" s="78"/>
      <c r="AM14" s="78"/>
      <c r="AN14" s="78">
        <f t="shared" si="17"/>
        <v>10094.160384</v>
      </c>
      <c r="AO14" s="78">
        <f t="shared" si="18"/>
        <v>10094.160384</v>
      </c>
      <c r="AP14" s="78">
        <f t="shared" si="19"/>
        <v>2105.086104</v>
      </c>
      <c r="AQ14" s="77">
        <f t="shared" si="20"/>
        <v>103.01147999999999</v>
      </c>
      <c r="AR14" s="78"/>
      <c r="AS14" s="78"/>
      <c r="AT14" s="78">
        <f t="shared" si="21"/>
        <v>1156.2489792000001</v>
      </c>
      <c r="AU14" s="78">
        <f t="shared" si="22"/>
        <v>1156.2489792000001</v>
      </c>
      <c r="AV14" s="78">
        <f t="shared" si="23"/>
        <v>241.12987769999998</v>
      </c>
      <c r="AW14" s="77">
        <f t="shared" si="24"/>
        <v>11.799586499999998</v>
      </c>
      <c r="AX14" s="78"/>
      <c r="AY14" s="78"/>
      <c r="AZ14" s="78">
        <f t="shared" si="25"/>
        <v>18292.765075199997</v>
      </c>
      <c r="BA14" s="78">
        <f t="shared" si="26"/>
        <v>18292.765075199997</v>
      </c>
      <c r="BB14" s="78">
        <f t="shared" si="27"/>
        <v>3814.8636536999998</v>
      </c>
      <c r="BC14" s="77">
        <f t="shared" si="28"/>
        <v>186.67870649999998</v>
      </c>
      <c r="BD14" s="78"/>
      <c r="BE14" s="78"/>
      <c r="BF14" s="78">
        <f t="shared" si="29"/>
        <v>1983.0138048</v>
      </c>
      <c r="BG14" s="78">
        <f t="shared" si="30"/>
        <v>1983.0138048</v>
      </c>
      <c r="BH14" s="78">
        <f t="shared" si="31"/>
        <v>413.54750129999996</v>
      </c>
      <c r="BI14" s="77">
        <f t="shared" si="32"/>
        <v>20.2367685</v>
      </c>
      <c r="BJ14" s="78"/>
      <c r="BK14" s="78"/>
      <c r="BL14" s="78">
        <f t="shared" si="33"/>
        <v>6203.241273600001</v>
      </c>
      <c r="BM14" s="78">
        <f t="shared" si="34"/>
        <v>6203.241273600001</v>
      </c>
      <c r="BN14" s="78">
        <f t="shared" si="35"/>
        <v>1293.6545991</v>
      </c>
      <c r="BO14" s="77">
        <f t="shared" si="36"/>
        <v>63.304429500000005</v>
      </c>
      <c r="BP14" s="78"/>
      <c r="BQ14" s="78"/>
      <c r="BR14" s="78">
        <f t="shared" si="37"/>
        <v>3145.8111552</v>
      </c>
      <c r="BS14" s="78">
        <f t="shared" si="38"/>
        <v>3145.8111552</v>
      </c>
      <c r="BT14" s="78">
        <f t="shared" si="39"/>
        <v>656.0430087</v>
      </c>
      <c r="BU14" s="77">
        <f t="shared" si="40"/>
        <v>32.1031815</v>
      </c>
      <c r="BV14" s="78"/>
      <c r="BW14" s="78"/>
      <c r="BX14" s="78">
        <f t="shared" si="41"/>
        <v>610.9322688</v>
      </c>
      <c r="BY14" s="78">
        <f t="shared" si="42"/>
        <v>610.9322688</v>
      </c>
      <c r="BZ14" s="78">
        <f t="shared" si="43"/>
        <v>127.4068353</v>
      </c>
      <c r="CA14" s="77">
        <f t="shared" si="44"/>
        <v>6.2345985</v>
      </c>
      <c r="CB14" s="78"/>
      <c r="CC14" s="78"/>
      <c r="CD14" s="78">
        <f t="shared" si="45"/>
        <v>2427.4680192</v>
      </c>
      <c r="CE14" s="78">
        <f t="shared" si="46"/>
        <v>2427.4680192</v>
      </c>
      <c r="CF14" s="78">
        <f t="shared" si="47"/>
        <v>506.23618020000004</v>
      </c>
      <c r="CG14" s="77">
        <f t="shared" si="48"/>
        <v>24.772449</v>
      </c>
      <c r="CH14" s="78"/>
      <c r="CI14" s="78"/>
      <c r="CJ14" s="78">
        <f t="shared" si="49"/>
        <v>5920.4746944</v>
      </c>
      <c r="CK14" s="78">
        <f t="shared" si="50"/>
        <v>5920.4746944</v>
      </c>
      <c r="CL14" s="78">
        <f t="shared" si="51"/>
        <v>1234.6850589</v>
      </c>
      <c r="CM14" s="77">
        <f t="shared" si="52"/>
        <v>60.418780500000004</v>
      </c>
      <c r="CN14" s="78"/>
      <c r="CO14" s="78"/>
      <c r="CP14" s="78">
        <f t="shared" si="53"/>
        <v>13251.6179712</v>
      </c>
      <c r="CQ14" s="78">
        <f t="shared" si="54"/>
        <v>13251.6179712</v>
      </c>
      <c r="CR14" s="78">
        <f t="shared" si="55"/>
        <v>2763.5579172</v>
      </c>
      <c r="CS14" s="77">
        <f t="shared" si="56"/>
        <v>135.23351399999999</v>
      </c>
      <c r="CT14" s="78"/>
      <c r="CU14" s="78"/>
      <c r="CV14" s="78">
        <f t="shared" si="57"/>
        <v>2004.9003071999998</v>
      </c>
      <c r="CW14" s="78">
        <f t="shared" si="58"/>
        <v>2004.9003071999998</v>
      </c>
      <c r="CX14" s="78">
        <f t="shared" si="59"/>
        <v>418.1118207</v>
      </c>
      <c r="CY14" s="77">
        <f t="shared" si="60"/>
        <v>20.4601215</v>
      </c>
      <c r="CZ14" s="78"/>
      <c r="DA14" s="78"/>
      <c r="DB14" s="78">
        <f t="shared" si="61"/>
        <v>5760.7647552</v>
      </c>
      <c r="DC14" s="78">
        <f t="shared" si="62"/>
        <v>5760.7647552</v>
      </c>
      <c r="DD14" s="78">
        <f t="shared" si="63"/>
        <v>1201.3783587</v>
      </c>
      <c r="DE14" s="77">
        <f t="shared" si="64"/>
        <v>58.788931500000004</v>
      </c>
      <c r="DF14" s="78"/>
      <c r="DG14" s="78"/>
      <c r="DH14" s="78">
        <f t="shared" si="65"/>
        <v>221.9853888</v>
      </c>
      <c r="DI14" s="78">
        <f t="shared" si="66"/>
        <v>221.9853888</v>
      </c>
      <c r="DJ14" s="78">
        <f t="shared" si="67"/>
        <v>46.2939303</v>
      </c>
      <c r="DK14" s="77">
        <f t="shared" si="68"/>
        <v>2.2653735</v>
      </c>
      <c r="DL14" s="78"/>
      <c r="DM14" s="90"/>
      <c r="DN14" s="90">
        <f t="shared" si="69"/>
        <v>12152.6342784</v>
      </c>
      <c r="DO14" s="90">
        <f t="shared" si="70"/>
        <v>12152.6342784</v>
      </c>
      <c r="DP14" s="90">
        <f t="shared" si="71"/>
        <v>2534.3704254</v>
      </c>
      <c r="DQ14" s="94">
        <f t="shared" si="72"/>
        <v>124.01832300000001</v>
      </c>
      <c r="DR14" s="78"/>
      <c r="DS14" s="78"/>
      <c r="DT14" s="78">
        <f t="shared" si="73"/>
        <v>1913.2670592000002</v>
      </c>
      <c r="DU14" s="78">
        <f t="shared" si="74"/>
        <v>1913.2670592000002</v>
      </c>
      <c r="DV14" s="78">
        <f t="shared" si="75"/>
        <v>399.0021702</v>
      </c>
      <c r="DW14" s="77">
        <f t="shared" si="76"/>
        <v>19.524999</v>
      </c>
      <c r="DX14" s="78"/>
      <c r="DY14" s="78"/>
      <c r="DZ14" s="78">
        <f t="shared" si="77"/>
        <v>9845.8057152</v>
      </c>
      <c r="EA14" s="78">
        <f t="shared" si="78"/>
        <v>9845.8057152</v>
      </c>
      <c r="EB14" s="78">
        <f t="shared" si="79"/>
        <v>2053.2929937</v>
      </c>
      <c r="EC14" s="77">
        <f t="shared" si="80"/>
        <v>100.4770065</v>
      </c>
      <c r="ED14" s="78"/>
      <c r="EE14" s="78"/>
      <c r="EF14" s="78">
        <f t="shared" si="81"/>
        <v>2810.8773504</v>
      </c>
      <c r="EG14" s="78">
        <f t="shared" si="82"/>
        <v>2810.8773504</v>
      </c>
      <c r="EH14" s="78">
        <f t="shared" si="83"/>
        <v>586.1942574</v>
      </c>
      <c r="EI14" s="77">
        <f t="shared" si="84"/>
        <v>28.685163</v>
      </c>
      <c r="EJ14" s="78"/>
      <c r="EK14" s="78"/>
      <c r="EL14" s="78">
        <f t="shared" si="85"/>
        <v>28.2151296</v>
      </c>
      <c r="EM14" s="78">
        <f t="shared" si="86"/>
        <v>28.2151296</v>
      </c>
      <c r="EN14" s="78">
        <f t="shared" si="87"/>
        <v>5.8841226</v>
      </c>
      <c r="EO14" s="77">
        <f t="shared" si="88"/>
        <v>0.287937</v>
      </c>
      <c r="EP14" s="78"/>
      <c r="EQ14" s="78"/>
      <c r="ER14" s="78">
        <f t="shared" si="89"/>
        <v>52.3869696</v>
      </c>
      <c r="ES14" s="78">
        <f t="shared" si="90"/>
        <v>52.3869696</v>
      </c>
      <c r="ET14" s="78">
        <f t="shared" si="91"/>
        <v>10.9250376</v>
      </c>
      <c r="EU14" s="77">
        <f t="shared" si="92"/>
        <v>0.534612</v>
      </c>
      <c r="EV14" s="78"/>
      <c r="EW14" s="78"/>
      <c r="EX14" s="78">
        <f t="shared" si="93"/>
        <v>9469.9116288</v>
      </c>
      <c r="EY14" s="78">
        <f t="shared" si="94"/>
        <v>9469.9116288</v>
      </c>
      <c r="EZ14" s="78">
        <f t="shared" si="95"/>
        <v>1974.9021828</v>
      </c>
      <c r="FA14" s="77">
        <f t="shared" si="96"/>
        <v>96.640986</v>
      </c>
      <c r="FB14" s="78"/>
      <c r="FC14" s="78"/>
      <c r="FD14" s="78">
        <f t="shared" si="97"/>
        <v>17602.1975808</v>
      </c>
      <c r="FE14" s="78">
        <f t="shared" si="98"/>
        <v>17602.1975808</v>
      </c>
      <c r="FF14" s="78">
        <f t="shared" si="99"/>
        <v>3670.8492948</v>
      </c>
      <c r="FG14" s="77">
        <f t="shared" si="100"/>
        <v>179.631426</v>
      </c>
      <c r="FH14" s="78"/>
      <c r="FI14" s="80"/>
      <c r="FJ14" s="78"/>
      <c r="FK14" s="78"/>
      <c r="FL14" s="78"/>
      <c r="FM14" s="77">
        <f t="shared" si="101"/>
        <v>0</v>
      </c>
    </row>
    <row r="15" spans="1:169" s="52" customFormat="1" ht="12">
      <c r="A15" s="51">
        <v>43191</v>
      </c>
      <c r="C15" s="42"/>
      <c r="D15" s="42">
        <v>439488</v>
      </c>
      <c r="E15" s="77">
        <f t="shared" si="0"/>
        <v>439488</v>
      </c>
      <c r="F15" s="77">
        <v>91653</v>
      </c>
      <c r="G15" s="77">
        <v>4485</v>
      </c>
      <c r="H15" s="79"/>
      <c r="I15" s="79">
        <f>'2011B Academic'!I15</f>
        <v>0</v>
      </c>
      <c r="J15" s="79">
        <f>'2011B Academic'!J15</f>
        <v>238565.46913920002</v>
      </c>
      <c r="K15" s="79">
        <f t="shared" si="1"/>
        <v>238565.46913920002</v>
      </c>
      <c r="L15" s="79">
        <f>'2011B Academic'!L15</f>
        <v>49751.6222127</v>
      </c>
      <c r="M15" s="79">
        <f>'2011B Academic'!M15</f>
        <v>2434.5741615</v>
      </c>
      <c r="N15" s="79"/>
      <c r="O15" s="78">
        <f t="shared" si="2"/>
        <v>0</v>
      </c>
      <c r="P15" s="80">
        <f t="shared" si="2"/>
        <v>200922.5308608</v>
      </c>
      <c r="Q15" s="78">
        <f t="shared" si="3"/>
        <v>200922.5308608</v>
      </c>
      <c r="R15" s="78">
        <f t="shared" si="4"/>
        <v>41901.37778729999</v>
      </c>
      <c r="S15" s="78">
        <f t="shared" si="4"/>
        <v>2050.4258385</v>
      </c>
      <c r="T15" s="79"/>
      <c r="U15" s="78">
        <f t="shared" si="102"/>
        <v>0</v>
      </c>
      <c r="V15" s="77">
        <f t="shared" si="5"/>
        <v>35916.717312</v>
      </c>
      <c r="W15" s="78">
        <f t="shared" si="6"/>
        <v>35916.717312</v>
      </c>
      <c r="X15" s="78">
        <f t="shared" si="7"/>
        <v>7490.249772</v>
      </c>
      <c r="Y15" s="77">
        <f t="shared" si="8"/>
        <v>366.53214</v>
      </c>
      <c r="Z15" s="79"/>
      <c r="AA15" s="78">
        <f t="shared" si="103"/>
        <v>0</v>
      </c>
      <c r="AB15" s="78">
        <f t="shared" si="9"/>
        <v>26177.9269248</v>
      </c>
      <c r="AC15" s="78">
        <f t="shared" si="10"/>
        <v>26177.9269248</v>
      </c>
      <c r="AD15" s="78">
        <f t="shared" si="11"/>
        <v>5459.2742838</v>
      </c>
      <c r="AE15" s="77">
        <f t="shared" si="12"/>
        <v>267.14723100000003</v>
      </c>
      <c r="AF15" s="79"/>
      <c r="AG15" s="78">
        <f t="shared" si="104"/>
        <v>0</v>
      </c>
      <c r="AH15" s="78">
        <f t="shared" si="13"/>
        <v>13879.206835200002</v>
      </c>
      <c r="AI15" s="78">
        <f t="shared" si="14"/>
        <v>13879.206835200002</v>
      </c>
      <c r="AJ15" s="78">
        <f t="shared" si="15"/>
        <v>2894.4384012</v>
      </c>
      <c r="AK15" s="77">
        <f t="shared" si="16"/>
        <v>141.638094</v>
      </c>
      <c r="AL15" s="79"/>
      <c r="AM15" s="78">
        <f t="shared" si="105"/>
        <v>0</v>
      </c>
      <c r="AN15" s="78">
        <f t="shared" si="17"/>
        <v>10094.160384</v>
      </c>
      <c r="AO15" s="78">
        <f t="shared" si="18"/>
        <v>10094.160384</v>
      </c>
      <c r="AP15" s="78">
        <f t="shared" si="19"/>
        <v>2105.086104</v>
      </c>
      <c r="AQ15" s="77">
        <f t="shared" si="20"/>
        <v>103.01147999999999</v>
      </c>
      <c r="AR15" s="79"/>
      <c r="AS15" s="78">
        <f t="shared" si="106"/>
        <v>0</v>
      </c>
      <c r="AT15" s="78">
        <f t="shared" si="21"/>
        <v>1156.2489792000001</v>
      </c>
      <c r="AU15" s="78">
        <f t="shared" si="22"/>
        <v>1156.2489792000001</v>
      </c>
      <c r="AV15" s="78">
        <f t="shared" si="23"/>
        <v>241.12987769999998</v>
      </c>
      <c r="AW15" s="77">
        <f t="shared" si="24"/>
        <v>11.799586499999998</v>
      </c>
      <c r="AX15" s="79"/>
      <c r="AY15" s="78">
        <f t="shared" si="107"/>
        <v>0</v>
      </c>
      <c r="AZ15" s="78">
        <f t="shared" si="25"/>
        <v>18292.765075199997</v>
      </c>
      <c r="BA15" s="78">
        <f t="shared" si="26"/>
        <v>18292.765075199997</v>
      </c>
      <c r="BB15" s="78">
        <f t="shared" si="27"/>
        <v>3814.8636536999998</v>
      </c>
      <c r="BC15" s="77">
        <f t="shared" si="28"/>
        <v>186.67870649999998</v>
      </c>
      <c r="BD15" s="79"/>
      <c r="BE15" s="78">
        <f t="shared" si="108"/>
        <v>0</v>
      </c>
      <c r="BF15" s="78">
        <f t="shared" si="29"/>
        <v>1983.0138048</v>
      </c>
      <c r="BG15" s="78">
        <f t="shared" si="30"/>
        <v>1983.0138048</v>
      </c>
      <c r="BH15" s="78">
        <f t="shared" si="31"/>
        <v>413.54750129999996</v>
      </c>
      <c r="BI15" s="77">
        <f t="shared" si="32"/>
        <v>20.2367685</v>
      </c>
      <c r="BJ15" s="79"/>
      <c r="BK15" s="78">
        <f t="shared" si="109"/>
        <v>0</v>
      </c>
      <c r="BL15" s="78">
        <f t="shared" si="33"/>
        <v>6203.241273600001</v>
      </c>
      <c r="BM15" s="78">
        <f t="shared" si="34"/>
        <v>6203.241273600001</v>
      </c>
      <c r="BN15" s="78">
        <f t="shared" si="35"/>
        <v>1293.6545991</v>
      </c>
      <c r="BO15" s="77">
        <f t="shared" si="36"/>
        <v>63.304429500000005</v>
      </c>
      <c r="BP15" s="79"/>
      <c r="BQ15" s="78">
        <f t="shared" si="110"/>
        <v>0</v>
      </c>
      <c r="BR15" s="78">
        <f t="shared" si="37"/>
        <v>3145.8111552</v>
      </c>
      <c r="BS15" s="78">
        <f t="shared" si="38"/>
        <v>3145.8111552</v>
      </c>
      <c r="BT15" s="78">
        <f t="shared" si="39"/>
        <v>656.0430087</v>
      </c>
      <c r="BU15" s="77">
        <f t="shared" si="40"/>
        <v>32.1031815</v>
      </c>
      <c r="BV15" s="79"/>
      <c r="BW15" s="78">
        <f t="shared" si="111"/>
        <v>0</v>
      </c>
      <c r="BX15" s="78">
        <f t="shared" si="41"/>
        <v>610.9322688</v>
      </c>
      <c r="BY15" s="78">
        <f t="shared" si="42"/>
        <v>610.9322688</v>
      </c>
      <c r="BZ15" s="78">
        <f t="shared" si="43"/>
        <v>127.4068353</v>
      </c>
      <c r="CA15" s="77">
        <f t="shared" si="44"/>
        <v>6.2345985</v>
      </c>
      <c r="CB15" s="79"/>
      <c r="CC15" s="78">
        <f t="shared" si="112"/>
        <v>0</v>
      </c>
      <c r="CD15" s="78">
        <f t="shared" si="45"/>
        <v>2427.4680192</v>
      </c>
      <c r="CE15" s="78">
        <f t="shared" si="46"/>
        <v>2427.4680192</v>
      </c>
      <c r="CF15" s="78">
        <f t="shared" si="47"/>
        <v>506.23618020000004</v>
      </c>
      <c r="CG15" s="77">
        <f t="shared" si="48"/>
        <v>24.772449</v>
      </c>
      <c r="CH15" s="79"/>
      <c r="CI15" s="78">
        <f t="shared" si="113"/>
        <v>0</v>
      </c>
      <c r="CJ15" s="78">
        <f t="shared" si="49"/>
        <v>5920.4746944</v>
      </c>
      <c r="CK15" s="78">
        <f t="shared" si="50"/>
        <v>5920.4746944</v>
      </c>
      <c r="CL15" s="78">
        <f t="shared" si="51"/>
        <v>1234.6850589</v>
      </c>
      <c r="CM15" s="77">
        <f t="shared" si="52"/>
        <v>60.418780500000004</v>
      </c>
      <c r="CN15" s="79"/>
      <c r="CO15" s="78">
        <f t="shared" si="114"/>
        <v>0</v>
      </c>
      <c r="CP15" s="78">
        <f t="shared" si="53"/>
        <v>13251.6179712</v>
      </c>
      <c r="CQ15" s="78">
        <f t="shared" si="54"/>
        <v>13251.6179712</v>
      </c>
      <c r="CR15" s="78">
        <f t="shared" si="55"/>
        <v>2763.5579172</v>
      </c>
      <c r="CS15" s="77">
        <f t="shared" si="56"/>
        <v>135.23351399999999</v>
      </c>
      <c r="CT15" s="79"/>
      <c r="CU15" s="78">
        <f t="shared" si="115"/>
        <v>0</v>
      </c>
      <c r="CV15" s="78">
        <f t="shared" si="57"/>
        <v>2004.9003071999998</v>
      </c>
      <c r="CW15" s="78">
        <f t="shared" si="58"/>
        <v>2004.9003071999998</v>
      </c>
      <c r="CX15" s="78">
        <f t="shared" si="59"/>
        <v>418.1118207</v>
      </c>
      <c r="CY15" s="77">
        <f t="shared" si="60"/>
        <v>20.4601215</v>
      </c>
      <c r="CZ15" s="79"/>
      <c r="DA15" s="78">
        <f t="shared" si="116"/>
        <v>0</v>
      </c>
      <c r="DB15" s="78">
        <f t="shared" si="61"/>
        <v>5760.7647552</v>
      </c>
      <c r="DC15" s="78">
        <f t="shared" si="62"/>
        <v>5760.7647552</v>
      </c>
      <c r="DD15" s="78">
        <f t="shared" si="63"/>
        <v>1201.3783587</v>
      </c>
      <c r="DE15" s="77">
        <f t="shared" si="64"/>
        <v>58.788931500000004</v>
      </c>
      <c r="DF15" s="79"/>
      <c r="DG15" s="78">
        <f t="shared" si="117"/>
        <v>0</v>
      </c>
      <c r="DH15" s="78">
        <f t="shared" si="65"/>
        <v>221.9853888</v>
      </c>
      <c r="DI15" s="78">
        <f t="shared" si="66"/>
        <v>221.9853888</v>
      </c>
      <c r="DJ15" s="78">
        <f t="shared" si="67"/>
        <v>46.2939303</v>
      </c>
      <c r="DK15" s="77">
        <f t="shared" si="68"/>
        <v>2.2653735</v>
      </c>
      <c r="DL15" s="79"/>
      <c r="DM15" s="90">
        <f t="shared" si="118"/>
        <v>0</v>
      </c>
      <c r="DN15" s="90">
        <f t="shared" si="69"/>
        <v>12152.6342784</v>
      </c>
      <c r="DO15" s="90">
        <f t="shared" si="70"/>
        <v>12152.6342784</v>
      </c>
      <c r="DP15" s="90">
        <f t="shared" si="71"/>
        <v>2534.3704254</v>
      </c>
      <c r="DQ15" s="94">
        <f t="shared" si="72"/>
        <v>124.01832300000001</v>
      </c>
      <c r="DR15" s="79"/>
      <c r="DS15" s="78">
        <f t="shared" si="119"/>
        <v>0</v>
      </c>
      <c r="DT15" s="78">
        <f t="shared" si="73"/>
        <v>1913.2670592000002</v>
      </c>
      <c r="DU15" s="78">
        <f t="shared" si="74"/>
        <v>1913.2670592000002</v>
      </c>
      <c r="DV15" s="78">
        <f t="shared" si="75"/>
        <v>399.0021702</v>
      </c>
      <c r="DW15" s="77">
        <f t="shared" si="76"/>
        <v>19.524999</v>
      </c>
      <c r="DX15" s="79"/>
      <c r="DY15" s="78">
        <f t="shared" si="120"/>
        <v>0</v>
      </c>
      <c r="DZ15" s="78">
        <f t="shared" si="77"/>
        <v>9845.8057152</v>
      </c>
      <c r="EA15" s="78">
        <f t="shared" si="78"/>
        <v>9845.8057152</v>
      </c>
      <c r="EB15" s="78">
        <f t="shared" si="79"/>
        <v>2053.2929937</v>
      </c>
      <c r="EC15" s="77">
        <f t="shared" si="80"/>
        <v>100.4770065</v>
      </c>
      <c r="ED15" s="79"/>
      <c r="EE15" s="78">
        <f t="shared" si="121"/>
        <v>0</v>
      </c>
      <c r="EF15" s="78">
        <f t="shared" si="81"/>
        <v>2810.8773504</v>
      </c>
      <c r="EG15" s="78">
        <f t="shared" si="82"/>
        <v>2810.8773504</v>
      </c>
      <c r="EH15" s="78">
        <f t="shared" si="83"/>
        <v>586.1942574</v>
      </c>
      <c r="EI15" s="77">
        <f t="shared" si="84"/>
        <v>28.685163</v>
      </c>
      <c r="EJ15" s="79"/>
      <c r="EK15" s="78">
        <f t="shared" si="122"/>
        <v>0</v>
      </c>
      <c r="EL15" s="78">
        <f t="shared" si="85"/>
        <v>28.2151296</v>
      </c>
      <c r="EM15" s="78">
        <f t="shared" si="86"/>
        <v>28.2151296</v>
      </c>
      <c r="EN15" s="78">
        <f t="shared" si="87"/>
        <v>5.8841226</v>
      </c>
      <c r="EO15" s="77">
        <f t="shared" si="88"/>
        <v>0.287937</v>
      </c>
      <c r="EP15" s="79"/>
      <c r="EQ15" s="78">
        <f t="shared" si="123"/>
        <v>0</v>
      </c>
      <c r="ER15" s="78">
        <f t="shared" si="89"/>
        <v>52.3869696</v>
      </c>
      <c r="ES15" s="78">
        <f t="shared" si="90"/>
        <v>52.3869696</v>
      </c>
      <c r="ET15" s="78">
        <f t="shared" si="91"/>
        <v>10.9250376</v>
      </c>
      <c r="EU15" s="77">
        <f t="shared" si="92"/>
        <v>0.534612</v>
      </c>
      <c r="EV15" s="79"/>
      <c r="EW15" s="78">
        <f t="shared" si="124"/>
        <v>0</v>
      </c>
      <c r="EX15" s="78">
        <f t="shared" si="93"/>
        <v>9469.9116288</v>
      </c>
      <c r="EY15" s="78">
        <f t="shared" si="94"/>
        <v>9469.9116288</v>
      </c>
      <c r="EZ15" s="78">
        <f t="shared" si="95"/>
        <v>1974.9021828</v>
      </c>
      <c r="FA15" s="77">
        <f t="shared" si="96"/>
        <v>96.640986</v>
      </c>
      <c r="FB15" s="79"/>
      <c r="FC15" s="78">
        <f t="shared" si="125"/>
        <v>0</v>
      </c>
      <c r="FD15" s="78">
        <f t="shared" si="97"/>
        <v>17602.1975808</v>
      </c>
      <c r="FE15" s="78">
        <f t="shared" si="98"/>
        <v>17602.1975808</v>
      </c>
      <c r="FF15" s="78">
        <f t="shared" si="99"/>
        <v>3670.8492948</v>
      </c>
      <c r="FG15" s="77">
        <f t="shared" si="100"/>
        <v>179.631426</v>
      </c>
      <c r="FH15" s="79"/>
      <c r="FI15" s="80"/>
      <c r="FJ15" s="78"/>
      <c r="FK15" s="78"/>
      <c r="FL15" s="78"/>
      <c r="FM15" s="77">
        <f t="shared" si="101"/>
        <v>0</v>
      </c>
    </row>
    <row r="16" spans="1:169" s="52" customFormat="1" ht="12">
      <c r="A16" s="51">
        <v>43374</v>
      </c>
      <c r="C16" s="42"/>
      <c r="D16" s="42">
        <v>439488</v>
      </c>
      <c r="E16" s="77">
        <f t="shared" si="0"/>
        <v>439488</v>
      </c>
      <c r="F16" s="77">
        <v>91653</v>
      </c>
      <c r="G16" s="77">
        <v>4485</v>
      </c>
      <c r="H16" s="79"/>
      <c r="I16" s="79">
        <f>'2011B Academic'!I16</f>
        <v>0</v>
      </c>
      <c r="J16" s="79">
        <f>'2011B Academic'!J16</f>
        <v>238565.46913920002</v>
      </c>
      <c r="K16" s="79">
        <f t="shared" si="1"/>
        <v>238565.46913920002</v>
      </c>
      <c r="L16" s="79">
        <f>'2011B Academic'!L16</f>
        <v>49751.6222127</v>
      </c>
      <c r="M16" s="79">
        <f>'2011B Academic'!M16</f>
        <v>2434.5741615</v>
      </c>
      <c r="N16" s="79"/>
      <c r="O16" s="78">
        <f t="shared" si="2"/>
        <v>0</v>
      </c>
      <c r="P16" s="80">
        <f t="shared" si="2"/>
        <v>200922.5308608</v>
      </c>
      <c r="Q16" s="78">
        <f t="shared" si="3"/>
        <v>200922.5308608</v>
      </c>
      <c r="R16" s="78">
        <f t="shared" si="4"/>
        <v>41901.37778729999</v>
      </c>
      <c r="S16" s="78">
        <f t="shared" si="4"/>
        <v>2050.4258385</v>
      </c>
      <c r="T16" s="79"/>
      <c r="U16" s="78"/>
      <c r="V16" s="77">
        <f t="shared" si="5"/>
        <v>35916.717312</v>
      </c>
      <c r="W16" s="78">
        <f t="shared" si="6"/>
        <v>35916.717312</v>
      </c>
      <c r="X16" s="78">
        <f t="shared" si="7"/>
        <v>7490.249772</v>
      </c>
      <c r="Y16" s="77">
        <f t="shared" si="8"/>
        <v>366.53214</v>
      </c>
      <c r="Z16" s="79"/>
      <c r="AA16" s="78"/>
      <c r="AB16" s="78">
        <f t="shared" si="9"/>
        <v>26177.9269248</v>
      </c>
      <c r="AC16" s="78">
        <f t="shared" si="10"/>
        <v>26177.9269248</v>
      </c>
      <c r="AD16" s="78">
        <f t="shared" si="11"/>
        <v>5459.2742838</v>
      </c>
      <c r="AE16" s="77">
        <f t="shared" si="12"/>
        <v>267.14723100000003</v>
      </c>
      <c r="AF16" s="79"/>
      <c r="AG16" s="78"/>
      <c r="AH16" s="78">
        <f t="shared" si="13"/>
        <v>13879.206835200002</v>
      </c>
      <c r="AI16" s="78">
        <f t="shared" si="14"/>
        <v>13879.206835200002</v>
      </c>
      <c r="AJ16" s="78">
        <f t="shared" si="15"/>
        <v>2894.4384012</v>
      </c>
      <c r="AK16" s="77">
        <f t="shared" si="16"/>
        <v>141.638094</v>
      </c>
      <c r="AL16" s="79"/>
      <c r="AM16" s="78"/>
      <c r="AN16" s="78">
        <f t="shared" si="17"/>
        <v>10094.160384</v>
      </c>
      <c r="AO16" s="78">
        <f t="shared" si="18"/>
        <v>10094.160384</v>
      </c>
      <c r="AP16" s="78">
        <f t="shared" si="19"/>
        <v>2105.086104</v>
      </c>
      <c r="AQ16" s="77">
        <f t="shared" si="20"/>
        <v>103.01147999999999</v>
      </c>
      <c r="AR16" s="79"/>
      <c r="AS16" s="78"/>
      <c r="AT16" s="78">
        <f t="shared" si="21"/>
        <v>1156.2489792000001</v>
      </c>
      <c r="AU16" s="78">
        <f t="shared" si="22"/>
        <v>1156.2489792000001</v>
      </c>
      <c r="AV16" s="78">
        <f t="shared" si="23"/>
        <v>241.12987769999998</v>
      </c>
      <c r="AW16" s="77">
        <f t="shared" si="24"/>
        <v>11.799586499999998</v>
      </c>
      <c r="AX16" s="79"/>
      <c r="AY16" s="78"/>
      <c r="AZ16" s="78">
        <f t="shared" si="25"/>
        <v>18292.765075199997</v>
      </c>
      <c r="BA16" s="78">
        <f t="shared" si="26"/>
        <v>18292.765075199997</v>
      </c>
      <c r="BB16" s="78">
        <f t="shared" si="27"/>
        <v>3814.8636536999998</v>
      </c>
      <c r="BC16" s="77">
        <f t="shared" si="28"/>
        <v>186.67870649999998</v>
      </c>
      <c r="BD16" s="79"/>
      <c r="BE16" s="78"/>
      <c r="BF16" s="78">
        <f t="shared" si="29"/>
        <v>1983.0138048</v>
      </c>
      <c r="BG16" s="78">
        <f t="shared" si="30"/>
        <v>1983.0138048</v>
      </c>
      <c r="BH16" s="78">
        <f t="shared" si="31"/>
        <v>413.54750129999996</v>
      </c>
      <c r="BI16" s="77">
        <f t="shared" si="32"/>
        <v>20.2367685</v>
      </c>
      <c r="BJ16" s="79"/>
      <c r="BK16" s="78"/>
      <c r="BL16" s="78">
        <f t="shared" si="33"/>
        <v>6203.241273600001</v>
      </c>
      <c r="BM16" s="78">
        <f t="shared" si="34"/>
        <v>6203.241273600001</v>
      </c>
      <c r="BN16" s="78">
        <f t="shared" si="35"/>
        <v>1293.6545991</v>
      </c>
      <c r="BO16" s="77">
        <f t="shared" si="36"/>
        <v>63.304429500000005</v>
      </c>
      <c r="BP16" s="79"/>
      <c r="BQ16" s="78"/>
      <c r="BR16" s="78">
        <f t="shared" si="37"/>
        <v>3145.8111552</v>
      </c>
      <c r="BS16" s="78">
        <f t="shared" si="38"/>
        <v>3145.8111552</v>
      </c>
      <c r="BT16" s="78">
        <f t="shared" si="39"/>
        <v>656.0430087</v>
      </c>
      <c r="BU16" s="77">
        <f t="shared" si="40"/>
        <v>32.1031815</v>
      </c>
      <c r="BV16" s="79"/>
      <c r="BW16" s="78"/>
      <c r="BX16" s="78">
        <f t="shared" si="41"/>
        <v>610.9322688</v>
      </c>
      <c r="BY16" s="78">
        <f t="shared" si="42"/>
        <v>610.9322688</v>
      </c>
      <c r="BZ16" s="78">
        <f t="shared" si="43"/>
        <v>127.4068353</v>
      </c>
      <c r="CA16" s="77">
        <f t="shared" si="44"/>
        <v>6.2345985</v>
      </c>
      <c r="CB16" s="79"/>
      <c r="CC16" s="78"/>
      <c r="CD16" s="78">
        <f t="shared" si="45"/>
        <v>2427.4680192</v>
      </c>
      <c r="CE16" s="78">
        <f t="shared" si="46"/>
        <v>2427.4680192</v>
      </c>
      <c r="CF16" s="78">
        <f t="shared" si="47"/>
        <v>506.23618020000004</v>
      </c>
      <c r="CG16" s="77">
        <f t="shared" si="48"/>
        <v>24.772449</v>
      </c>
      <c r="CH16" s="79"/>
      <c r="CI16" s="78"/>
      <c r="CJ16" s="78">
        <f t="shared" si="49"/>
        <v>5920.4746944</v>
      </c>
      <c r="CK16" s="78">
        <f t="shared" si="50"/>
        <v>5920.4746944</v>
      </c>
      <c r="CL16" s="78">
        <f t="shared" si="51"/>
        <v>1234.6850589</v>
      </c>
      <c r="CM16" s="77">
        <f t="shared" si="52"/>
        <v>60.418780500000004</v>
      </c>
      <c r="CN16" s="79"/>
      <c r="CO16" s="78"/>
      <c r="CP16" s="78">
        <f t="shared" si="53"/>
        <v>13251.6179712</v>
      </c>
      <c r="CQ16" s="78">
        <f t="shared" si="54"/>
        <v>13251.6179712</v>
      </c>
      <c r="CR16" s="78">
        <f t="shared" si="55"/>
        <v>2763.5579172</v>
      </c>
      <c r="CS16" s="77">
        <f t="shared" si="56"/>
        <v>135.23351399999999</v>
      </c>
      <c r="CT16" s="79"/>
      <c r="CU16" s="78"/>
      <c r="CV16" s="78">
        <f t="shared" si="57"/>
        <v>2004.9003071999998</v>
      </c>
      <c r="CW16" s="78">
        <f t="shared" si="58"/>
        <v>2004.9003071999998</v>
      </c>
      <c r="CX16" s="78">
        <f t="shared" si="59"/>
        <v>418.1118207</v>
      </c>
      <c r="CY16" s="77">
        <f t="shared" si="60"/>
        <v>20.4601215</v>
      </c>
      <c r="CZ16" s="79"/>
      <c r="DA16" s="78"/>
      <c r="DB16" s="78">
        <f t="shared" si="61"/>
        <v>5760.7647552</v>
      </c>
      <c r="DC16" s="78">
        <f t="shared" si="62"/>
        <v>5760.7647552</v>
      </c>
      <c r="DD16" s="78">
        <f t="shared" si="63"/>
        <v>1201.3783587</v>
      </c>
      <c r="DE16" s="77">
        <f t="shared" si="64"/>
        <v>58.788931500000004</v>
      </c>
      <c r="DF16" s="79"/>
      <c r="DG16" s="78"/>
      <c r="DH16" s="78">
        <f t="shared" si="65"/>
        <v>221.9853888</v>
      </c>
      <c r="DI16" s="78">
        <f t="shared" si="66"/>
        <v>221.9853888</v>
      </c>
      <c r="DJ16" s="78">
        <f t="shared" si="67"/>
        <v>46.2939303</v>
      </c>
      <c r="DK16" s="77">
        <f t="shared" si="68"/>
        <v>2.2653735</v>
      </c>
      <c r="DL16" s="79"/>
      <c r="DM16" s="90"/>
      <c r="DN16" s="90">
        <f t="shared" si="69"/>
        <v>12152.6342784</v>
      </c>
      <c r="DO16" s="90">
        <f t="shared" si="70"/>
        <v>12152.6342784</v>
      </c>
      <c r="DP16" s="90">
        <f t="shared" si="71"/>
        <v>2534.3704254</v>
      </c>
      <c r="DQ16" s="94">
        <f t="shared" si="72"/>
        <v>124.01832300000001</v>
      </c>
      <c r="DR16" s="79"/>
      <c r="DS16" s="78"/>
      <c r="DT16" s="78">
        <f t="shared" si="73"/>
        <v>1913.2670592000002</v>
      </c>
      <c r="DU16" s="78">
        <f t="shared" si="74"/>
        <v>1913.2670592000002</v>
      </c>
      <c r="DV16" s="78">
        <f t="shared" si="75"/>
        <v>399.0021702</v>
      </c>
      <c r="DW16" s="77">
        <f t="shared" si="76"/>
        <v>19.524999</v>
      </c>
      <c r="DX16" s="79"/>
      <c r="DY16" s="78"/>
      <c r="DZ16" s="78">
        <f t="shared" si="77"/>
        <v>9845.8057152</v>
      </c>
      <c r="EA16" s="78">
        <f t="shared" si="78"/>
        <v>9845.8057152</v>
      </c>
      <c r="EB16" s="78">
        <f t="shared" si="79"/>
        <v>2053.2929937</v>
      </c>
      <c r="EC16" s="77">
        <f t="shared" si="80"/>
        <v>100.4770065</v>
      </c>
      <c r="ED16" s="79"/>
      <c r="EE16" s="78"/>
      <c r="EF16" s="78">
        <f t="shared" si="81"/>
        <v>2810.8773504</v>
      </c>
      <c r="EG16" s="78">
        <f t="shared" si="82"/>
        <v>2810.8773504</v>
      </c>
      <c r="EH16" s="78">
        <f t="shared" si="83"/>
        <v>586.1942574</v>
      </c>
      <c r="EI16" s="77">
        <f t="shared" si="84"/>
        <v>28.685163</v>
      </c>
      <c r="EJ16" s="79"/>
      <c r="EK16" s="78"/>
      <c r="EL16" s="78">
        <f t="shared" si="85"/>
        <v>28.2151296</v>
      </c>
      <c r="EM16" s="78">
        <f t="shared" si="86"/>
        <v>28.2151296</v>
      </c>
      <c r="EN16" s="78">
        <f t="shared" si="87"/>
        <v>5.8841226</v>
      </c>
      <c r="EO16" s="77">
        <f t="shared" si="88"/>
        <v>0.287937</v>
      </c>
      <c r="EP16" s="79"/>
      <c r="EQ16" s="78"/>
      <c r="ER16" s="78">
        <f t="shared" si="89"/>
        <v>52.3869696</v>
      </c>
      <c r="ES16" s="78">
        <f t="shared" si="90"/>
        <v>52.3869696</v>
      </c>
      <c r="ET16" s="78">
        <f t="shared" si="91"/>
        <v>10.9250376</v>
      </c>
      <c r="EU16" s="77">
        <f t="shared" si="92"/>
        <v>0.534612</v>
      </c>
      <c r="EV16" s="79"/>
      <c r="EW16" s="78"/>
      <c r="EX16" s="78">
        <f t="shared" si="93"/>
        <v>9469.9116288</v>
      </c>
      <c r="EY16" s="78">
        <f t="shared" si="94"/>
        <v>9469.9116288</v>
      </c>
      <c r="EZ16" s="78">
        <f t="shared" si="95"/>
        <v>1974.9021828</v>
      </c>
      <c r="FA16" s="77">
        <f t="shared" si="96"/>
        <v>96.640986</v>
      </c>
      <c r="FB16" s="79"/>
      <c r="FC16" s="78"/>
      <c r="FD16" s="78">
        <f t="shared" si="97"/>
        <v>17602.1975808</v>
      </c>
      <c r="FE16" s="78">
        <f t="shared" si="98"/>
        <v>17602.1975808</v>
      </c>
      <c r="FF16" s="78">
        <f t="shared" si="99"/>
        <v>3670.8492948</v>
      </c>
      <c r="FG16" s="77">
        <f t="shared" si="100"/>
        <v>179.631426</v>
      </c>
      <c r="FH16" s="79"/>
      <c r="FI16" s="80"/>
      <c r="FJ16" s="78"/>
      <c r="FK16" s="78"/>
      <c r="FL16" s="78"/>
      <c r="FM16" s="77">
        <f t="shared" si="101"/>
        <v>0</v>
      </c>
    </row>
    <row r="17" spans="1:169" s="52" customFormat="1" ht="12">
      <c r="A17" s="51">
        <v>43556</v>
      </c>
      <c r="C17" s="42">
        <v>5000</v>
      </c>
      <c r="D17" s="42">
        <v>439488</v>
      </c>
      <c r="E17" s="77">
        <f t="shared" si="0"/>
        <v>444488</v>
      </c>
      <c r="F17" s="77">
        <v>91653</v>
      </c>
      <c r="G17" s="77">
        <v>4485</v>
      </c>
      <c r="H17" s="79"/>
      <c r="I17" s="79">
        <f>'2011B Academic'!I17</f>
        <v>2714.1295</v>
      </c>
      <c r="J17" s="79">
        <f>'2011B Academic'!J17</f>
        <v>238565.46913920002</v>
      </c>
      <c r="K17" s="79">
        <f t="shared" si="1"/>
        <v>241279.59863920003</v>
      </c>
      <c r="L17" s="79">
        <f>'2011B Academic'!L17</f>
        <v>49751.6222127</v>
      </c>
      <c r="M17" s="79">
        <f>'2011B Academic'!M17</f>
        <v>2434.5741615</v>
      </c>
      <c r="N17" s="79"/>
      <c r="O17" s="78">
        <f t="shared" si="2"/>
        <v>2285.8705</v>
      </c>
      <c r="P17" s="80">
        <f t="shared" si="2"/>
        <v>200922.5308608</v>
      </c>
      <c r="Q17" s="78">
        <f t="shared" si="3"/>
        <v>203208.4013608</v>
      </c>
      <c r="R17" s="78">
        <f t="shared" si="4"/>
        <v>41901.37778729999</v>
      </c>
      <c r="S17" s="78">
        <f t="shared" si="4"/>
        <v>2050.4258385</v>
      </c>
      <c r="T17" s="79"/>
      <c r="U17" s="78">
        <f t="shared" si="102"/>
        <v>408.62</v>
      </c>
      <c r="V17" s="77">
        <f t="shared" si="5"/>
        <v>35916.717312</v>
      </c>
      <c r="W17" s="78">
        <f t="shared" si="6"/>
        <v>36325.337312</v>
      </c>
      <c r="X17" s="78">
        <f t="shared" si="7"/>
        <v>7490.249772</v>
      </c>
      <c r="Y17" s="77">
        <f t="shared" si="8"/>
        <v>366.53214</v>
      </c>
      <c r="Z17" s="79"/>
      <c r="AA17" s="78">
        <f t="shared" si="103"/>
        <v>297.823</v>
      </c>
      <c r="AB17" s="78">
        <f t="shared" si="9"/>
        <v>26177.9269248</v>
      </c>
      <c r="AC17" s="78">
        <f t="shared" si="10"/>
        <v>26475.7499248</v>
      </c>
      <c r="AD17" s="78">
        <f t="shared" si="11"/>
        <v>5459.2742838</v>
      </c>
      <c r="AE17" s="77">
        <f t="shared" si="12"/>
        <v>267.14723100000003</v>
      </c>
      <c r="AF17" s="79"/>
      <c r="AG17" s="78">
        <f t="shared" si="104"/>
        <v>157.90200000000002</v>
      </c>
      <c r="AH17" s="78">
        <f t="shared" si="13"/>
        <v>13879.206835200002</v>
      </c>
      <c r="AI17" s="78">
        <f t="shared" si="14"/>
        <v>14037.108835200002</v>
      </c>
      <c r="AJ17" s="78">
        <f t="shared" si="15"/>
        <v>2894.4384012</v>
      </c>
      <c r="AK17" s="77">
        <f t="shared" si="16"/>
        <v>141.638094</v>
      </c>
      <c r="AL17" s="79"/>
      <c r="AM17" s="78">
        <f t="shared" si="105"/>
        <v>114.84</v>
      </c>
      <c r="AN17" s="78">
        <f t="shared" si="17"/>
        <v>10094.160384</v>
      </c>
      <c r="AO17" s="78">
        <f t="shared" si="18"/>
        <v>10209.000384</v>
      </c>
      <c r="AP17" s="78">
        <f t="shared" si="19"/>
        <v>2105.086104</v>
      </c>
      <c r="AQ17" s="77">
        <f t="shared" si="20"/>
        <v>103.01147999999999</v>
      </c>
      <c r="AR17" s="79"/>
      <c r="AS17" s="78">
        <f t="shared" si="106"/>
        <v>13.1545</v>
      </c>
      <c r="AT17" s="78">
        <f t="shared" si="21"/>
        <v>1156.2489792000001</v>
      </c>
      <c r="AU17" s="78">
        <f t="shared" si="22"/>
        <v>1169.4034792000002</v>
      </c>
      <c r="AV17" s="78">
        <f t="shared" si="23"/>
        <v>241.12987769999998</v>
      </c>
      <c r="AW17" s="77">
        <f t="shared" si="24"/>
        <v>11.799586499999998</v>
      </c>
      <c r="AX17" s="79"/>
      <c r="AY17" s="78">
        <f t="shared" si="107"/>
        <v>208.11449999999996</v>
      </c>
      <c r="AZ17" s="78">
        <f t="shared" si="25"/>
        <v>18292.765075199997</v>
      </c>
      <c r="BA17" s="78">
        <f t="shared" si="26"/>
        <v>18500.879575199997</v>
      </c>
      <c r="BB17" s="78">
        <f t="shared" si="27"/>
        <v>3814.8636536999998</v>
      </c>
      <c r="BC17" s="77">
        <f t="shared" si="28"/>
        <v>186.67870649999998</v>
      </c>
      <c r="BD17" s="79"/>
      <c r="BE17" s="78">
        <f t="shared" si="108"/>
        <v>22.5605</v>
      </c>
      <c r="BF17" s="78">
        <f t="shared" si="29"/>
        <v>1983.0138048</v>
      </c>
      <c r="BG17" s="78">
        <f t="shared" si="30"/>
        <v>2005.5743048</v>
      </c>
      <c r="BH17" s="78">
        <f t="shared" si="31"/>
        <v>413.54750129999996</v>
      </c>
      <c r="BI17" s="77">
        <f t="shared" si="32"/>
        <v>20.2367685</v>
      </c>
      <c r="BJ17" s="79"/>
      <c r="BK17" s="78">
        <f t="shared" si="109"/>
        <v>70.57350000000001</v>
      </c>
      <c r="BL17" s="78">
        <f t="shared" si="33"/>
        <v>6203.241273600001</v>
      </c>
      <c r="BM17" s="78">
        <f t="shared" si="34"/>
        <v>6273.814773600001</v>
      </c>
      <c r="BN17" s="78">
        <f t="shared" si="35"/>
        <v>1293.6545991</v>
      </c>
      <c r="BO17" s="77">
        <f t="shared" si="36"/>
        <v>63.304429500000005</v>
      </c>
      <c r="BP17" s="79"/>
      <c r="BQ17" s="78">
        <f t="shared" si="110"/>
        <v>35.789500000000004</v>
      </c>
      <c r="BR17" s="78">
        <f t="shared" si="37"/>
        <v>3145.8111552</v>
      </c>
      <c r="BS17" s="78">
        <f t="shared" si="38"/>
        <v>3181.6006552</v>
      </c>
      <c r="BT17" s="78">
        <f t="shared" si="39"/>
        <v>656.0430087</v>
      </c>
      <c r="BU17" s="77">
        <f t="shared" si="40"/>
        <v>32.1031815</v>
      </c>
      <c r="BV17" s="79"/>
      <c r="BW17" s="78">
        <f t="shared" si="111"/>
        <v>6.9505</v>
      </c>
      <c r="BX17" s="78">
        <f t="shared" si="41"/>
        <v>610.9322688</v>
      </c>
      <c r="BY17" s="78">
        <f t="shared" si="42"/>
        <v>617.8827688</v>
      </c>
      <c r="BZ17" s="78">
        <f t="shared" si="43"/>
        <v>127.4068353</v>
      </c>
      <c r="CA17" s="77">
        <f t="shared" si="44"/>
        <v>6.2345985</v>
      </c>
      <c r="CB17" s="79"/>
      <c r="CC17" s="78">
        <f t="shared" si="112"/>
        <v>27.617000000000004</v>
      </c>
      <c r="CD17" s="78">
        <f t="shared" si="45"/>
        <v>2427.4680192</v>
      </c>
      <c r="CE17" s="78">
        <f t="shared" si="46"/>
        <v>2455.0850192000003</v>
      </c>
      <c r="CF17" s="78">
        <f t="shared" si="47"/>
        <v>506.23618020000004</v>
      </c>
      <c r="CG17" s="77">
        <f t="shared" si="48"/>
        <v>24.772449</v>
      </c>
      <c r="CH17" s="79"/>
      <c r="CI17" s="78">
        <f t="shared" si="113"/>
        <v>67.3565</v>
      </c>
      <c r="CJ17" s="78">
        <f t="shared" si="49"/>
        <v>5920.4746944</v>
      </c>
      <c r="CK17" s="78">
        <f t="shared" si="50"/>
        <v>5987.8311944</v>
      </c>
      <c r="CL17" s="78">
        <f t="shared" si="51"/>
        <v>1234.6850589</v>
      </c>
      <c r="CM17" s="77">
        <f t="shared" si="52"/>
        <v>60.418780500000004</v>
      </c>
      <c r="CN17" s="79"/>
      <c r="CO17" s="78">
        <f t="shared" si="114"/>
        <v>150.762</v>
      </c>
      <c r="CP17" s="78">
        <f t="shared" si="53"/>
        <v>13251.6179712</v>
      </c>
      <c r="CQ17" s="78">
        <f t="shared" si="54"/>
        <v>13402.3799712</v>
      </c>
      <c r="CR17" s="78">
        <f t="shared" si="55"/>
        <v>2763.5579172</v>
      </c>
      <c r="CS17" s="77">
        <f t="shared" si="56"/>
        <v>135.23351399999999</v>
      </c>
      <c r="CT17" s="79"/>
      <c r="CU17" s="78">
        <f t="shared" si="115"/>
        <v>22.8095</v>
      </c>
      <c r="CV17" s="78">
        <f t="shared" si="57"/>
        <v>2004.9003071999998</v>
      </c>
      <c r="CW17" s="78">
        <f t="shared" si="58"/>
        <v>2027.7098072</v>
      </c>
      <c r="CX17" s="78">
        <f t="shared" si="59"/>
        <v>418.1118207</v>
      </c>
      <c r="CY17" s="77">
        <f t="shared" si="60"/>
        <v>20.4601215</v>
      </c>
      <c r="CZ17" s="79"/>
      <c r="DA17" s="78">
        <f t="shared" si="116"/>
        <v>65.5395</v>
      </c>
      <c r="DB17" s="78">
        <f t="shared" si="61"/>
        <v>5760.7647552</v>
      </c>
      <c r="DC17" s="78">
        <f t="shared" si="62"/>
        <v>5826.3042552</v>
      </c>
      <c r="DD17" s="78">
        <f t="shared" si="63"/>
        <v>1201.3783587</v>
      </c>
      <c r="DE17" s="77">
        <f t="shared" si="64"/>
        <v>58.788931500000004</v>
      </c>
      <c r="DF17" s="79"/>
      <c r="DG17" s="78">
        <f t="shared" si="117"/>
        <v>2.5254999999999996</v>
      </c>
      <c r="DH17" s="78">
        <f t="shared" si="65"/>
        <v>221.9853888</v>
      </c>
      <c r="DI17" s="78">
        <f t="shared" si="66"/>
        <v>224.5108888</v>
      </c>
      <c r="DJ17" s="78">
        <f t="shared" si="67"/>
        <v>46.2939303</v>
      </c>
      <c r="DK17" s="77">
        <f t="shared" si="68"/>
        <v>2.2653735</v>
      </c>
      <c r="DL17" s="79"/>
      <c r="DM17" s="90">
        <f t="shared" si="118"/>
        <v>138.259</v>
      </c>
      <c r="DN17" s="90">
        <f t="shared" si="69"/>
        <v>12152.6342784</v>
      </c>
      <c r="DO17" s="90">
        <f t="shared" si="70"/>
        <v>12290.8932784</v>
      </c>
      <c r="DP17" s="90">
        <f t="shared" si="71"/>
        <v>2534.3704254</v>
      </c>
      <c r="DQ17" s="94">
        <f t="shared" si="72"/>
        <v>124.01832300000001</v>
      </c>
      <c r="DR17" s="79"/>
      <c r="DS17" s="78">
        <f t="shared" si="119"/>
        <v>21.767</v>
      </c>
      <c r="DT17" s="78">
        <f t="shared" si="73"/>
        <v>1913.2670592000002</v>
      </c>
      <c r="DU17" s="78">
        <f t="shared" si="74"/>
        <v>1935.0340592000002</v>
      </c>
      <c r="DV17" s="78">
        <f t="shared" si="75"/>
        <v>399.0021702</v>
      </c>
      <c r="DW17" s="77">
        <f t="shared" si="76"/>
        <v>19.524999</v>
      </c>
      <c r="DX17" s="79"/>
      <c r="DY17" s="78">
        <f t="shared" si="120"/>
        <v>112.01449999999998</v>
      </c>
      <c r="DZ17" s="78">
        <f t="shared" si="77"/>
        <v>9845.8057152</v>
      </c>
      <c r="EA17" s="78">
        <f t="shared" si="78"/>
        <v>9957.8202152</v>
      </c>
      <c r="EB17" s="78">
        <f t="shared" si="79"/>
        <v>2053.2929937</v>
      </c>
      <c r="EC17" s="77">
        <f t="shared" si="80"/>
        <v>100.4770065</v>
      </c>
      <c r="ED17" s="79"/>
      <c r="EE17" s="78">
        <f t="shared" si="121"/>
        <v>31.979</v>
      </c>
      <c r="EF17" s="78">
        <f t="shared" si="81"/>
        <v>2810.8773504</v>
      </c>
      <c r="EG17" s="78">
        <f t="shared" si="82"/>
        <v>2842.8563504</v>
      </c>
      <c r="EH17" s="78">
        <f t="shared" si="83"/>
        <v>586.1942574</v>
      </c>
      <c r="EI17" s="77">
        <f t="shared" si="84"/>
        <v>28.685163</v>
      </c>
      <c r="EJ17" s="79"/>
      <c r="EK17" s="78">
        <f t="shared" si="122"/>
        <v>0.321</v>
      </c>
      <c r="EL17" s="78">
        <f t="shared" si="85"/>
        <v>28.2151296</v>
      </c>
      <c r="EM17" s="78">
        <f t="shared" si="86"/>
        <v>28.536129600000002</v>
      </c>
      <c r="EN17" s="78">
        <f t="shared" si="87"/>
        <v>5.8841226</v>
      </c>
      <c r="EO17" s="77">
        <f t="shared" si="88"/>
        <v>0.287937</v>
      </c>
      <c r="EP17" s="79"/>
      <c r="EQ17" s="78">
        <f t="shared" si="123"/>
        <v>0.596</v>
      </c>
      <c r="ER17" s="78">
        <f t="shared" si="89"/>
        <v>52.3869696</v>
      </c>
      <c r="ES17" s="78">
        <f t="shared" si="90"/>
        <v>52.9829696</v>
      </c>
      <c r="ET17" s="78">
        <f t="shared" si="91"/>
        <v>10.9250376</v>
      </c>
      <c r="EU17" s="77">
        <f t="shared" si="92"/>
        <v>0.534612</v>
      </c>
      <c r="EV17" s="79"/>
      <c r="EW17" s="78">
        <f t="shared" si="124"/>
        <v>107.738</v>
      </c>
      <c r="EX17" s="78">
        <f t="shared" si="93"/>
        <v>9469.9116288</v>
      </c>
      <c r="EY17" s="78">
        <f t="shared" si="94"/>
        <v>9577.6496288</v>
      </c>
      <c r="EZ17" s="78">
        <f t="shared" si="95"/>
        <v>1974.9021828</v>
      </c>
      <c r="FA17" s="77">
        <f t="shared" si="96"/>
        <v>96.640986</v>
      </c>
      <c r="FB17" s="79"/>
      <c r="FC17" s="78">
        <f t="shared" si="125"/>
        <v>200.25799999999998</v>
      </c>
      <c r="FD17" s="78">
        <f t="shared" si="97"/>
        <v>17602.1975808</v>
      </c>
      <c r="FE17" s="78">
        <f t="shared" si="98"/>
        <v>17802.4555808</v>
      </c>
      <c r="FF17" s="78">
        <f t="shared" si="99"/>
        <v>3670.8492948</v>
      </c>
      <c r="FG17" s="77">
        <f t="shared" si="100"/>
        <v>179.631426</v>
      </c>
      <c r="FH17" s="79"/>
      <c r="FI17" s="80"/>
      <c r="FJ17" s="78"/>
      <c r="FK17" s="78"/>
      <c r="FL17" s="78"/>
      <c r="FM17" s="77">
        <f t="shared" si="101"/>
        <v>0</v>
      </c>
    </row>
    <row r="18" spans="1:169" s="52" customFormat="1" ht="12">
      <c r="A18" s="51">
        <v>43739</v>
      </c>
      <c r="C18" s="42"/>
      <c r="D18" s="42">
        <v>439413</v>
      </c>
      <c r="E18" s="77">
        <f t="shared" si="0"/>
        <v>439413</v>
      </c>
      <c r="F18" s="77">
        <v>91653</v>
      </c>
      <c r="G18" s="77">
        <v>4485</v>
      </c>
      <c r="H18" s="79"/>
      <c r="I18" s="79">
        <f>'2011B Academic'!I18</f>
        <v>0</v>
      </c>
      <c r="J18" s="79">
        <f>'2011B Academic'!J18</f>
        <v>238524.7571967001</v>
      </c>
      <c r="K18" s="79">
        <f t="shared" si="1"/>
        <v>238524.7571967001</v>
      </c>
      <c r="L18" s="79">
        <f>'2011B Academic'!L18</f>
        <v>49751.6222127</v>
      </c>
      <c r="M18" s="79">
        <f>'2011B Academic'!M18</f>
        <v>2434.5741615</v>
      </c>
      <c r="N18" s="79"/>
      <c r="O18" s="78">
        <f t="shared" si="2"/>
        <v>0</v>
      </c>
      <c r="P18" s="80">
        <f t="shared" si="2"/>
        <v>200888.24280329997</v>
      </c>
      <c r="Q18" s="78">
        <f t="shared" si="3"/>
        <v>200888.24280329997</v>
      </c>
      <c r="R18" s="78">
        <f t="shared" si="4"/>
        <v>41901.37778729999</v>
      </c>
      <c r="S18" s="78">
        <f t="shared" si="4"/>
        <v>2050.4258385</v>
      </c>
      <c r="T18" s="79"/>
      <c r="U18" s="78"/>
      <c r="V18" s="77">
        <f t="shared" si="5"/>
        <v>35910.58801199999</v>
      </c>
      <c r="W18" s="78">
        <f t="shared" si="6"/>
        <v>35910.58801199999</v>
      </c>
      <c r="X18" s="78">
        <f t="shared" si="7"/>
        <v>7490.249772</v>
      </c>
      <c r="Y18" s="77">
        <f t="shared" si="8"/>
        <v>366.53214</v>
      </c>
      <c r="Z18" s="79"/>
      <c r="AA18" s="78"/>
      <c r="AB18" s="78">
        <f t="shared" si="9"/>
        <v>26173.4595798</v>
      </c>
      <c r="AC18" s="78">
        <f t="shared" si="10"/>
        <v>26173.4595798</v>
      </c>
      <c r="AD18" s="78">
        <f t="shared" si="11"/>
        <v>5459.2742838</v>
      </c>
      <c r="AE18" s="77">
        <f t="shared" si="12"/>
        <v>267.14723100000003</v>
      </c>
      <c r="AF18" s="79"/>
      <c r="AG18" s="78"/>
      <c r="AH18" s="78">
        <f t="shared" si="13"/>
        <v>13876.8383052</v>
      </c>
      <c r="AI18" s="78">
        <f t="shared" si="14"/>
        <v>13876.8383052</v>
      </c>
      <c r="AJ18" s="78">
        <f t="shared" si="15"/>
        <v>2894.4384012</v>
      </c>
      <c r="AK18" s="77">
        <f t="shared" si="16"/>
        <v>141.638094</v>
      </c>
      <c r="AL18" s="79"/>
      <c r="AM18" s="78"/>
      <c r="AN18" s="78">
        <f t="shared" si="17"/>
        <v>10092.437784000002</v>
      </c>
      <c r="AO18" s="78">
        <f t="shared" si="18"/>
        <v>10092.437784000002</v>
      </c>
      <c r="AP18" s="78">
        <f t="shared" si="19"/>
        <v>2105.086104</v>
      </c>
      <c r="AQ18" s="77">
        <f t="shared" si="20"/>
        <v>103.01147999999999</v>
      </c>
      <c r="AR18" s="79"/>
      <c r="AS18" s="78"/>
      <c r="AT18" s="78">
        <f t="shared" si="21"/>
        <v>1156.0516617</v>
      </c>
      <c r="AU18" s="78">
        <f t="shared" si="22"/>
        <v>1156.0516617</v>
      </c>
      <c r="AV18" s="78">
        <f t="shared" si="23"/>
        <v>241.12987769999998</v>
      </c>
      <c r="AW18" s="77">
        <f t="shared" si="24"/>
        <v>11.799586499999998</v>
      </c>
      <c r="AX18" s="79"/>
      <c r="AY18" s="78"/>
      <c r="AZ18" s="78">
        <f t="shared" si="25"/>
        <v>18289.6433577</v>
      </c>
      <c r="BA18" s="78">
        <f t="shared" si="26"/>
        <v>18289.6433577</v>
      </c>
      <c r="BB18" s="78">
        <f t="shared" si="27"/>
        <v>3814.8636536999998</v>
      </c>
      <c r="BC18" s="77">
        <f t="shared" si="28"/>
        <v>186.67870649999998</v>
      </c>
      <c r="BD18" s="79"/>
      <c r="BE18" s="78"/>
      <c r="BF18" s="78">
        <f t="shared" si="29"/>
        <v>1982.6753973</v>
      </c>
      <c r="BG18" s="78">
        <f t="shared" si="30"/>
        <v>1982.6753973</v>
      </c>
      <c r="BH18" s="78">
        <f t="shared" si="31"/>
        <v>413.54750129999996</v>
      </c>
      <c r="BI18" s="77">
        <f t="shared" si="32"/>
        <v>20.2367685</v>
      </c>
      <c r="BJ18" s="79"/>
      <c r="BK18" s="78"/>
      <c r="BL18" s="78">
        <f t="shared" si="33"/>
        <v>6202.1826711</v>
      </c>
      <c r="BM18" s="78">
        <f t="shared" si="34"/>
        <v>6202.1826711</v>
      </c>
      <c r="BN18" s="78">
        <f t="shared" si="35"/>
        <v>1293.6545991</v>
      </c>
      <c r="BO18" s="77">
        <f t="shared" si="36"/>
        <v>63.304429500000005</v>
      </c>
      <c r="BP18" s="79"/>
      <c r="BQ18" s="78"/>
      <c r="BR18" s="78">
        <f t="shared" si="37"/>
        <v>3145.2743127</v>
      </c>
      <c r="BS18" s="78">
        <f t="shared" si="38"/>
        <v>3145.2743127</v>
      </c>
      <c r="BT18" s="78">
        <f t="shared" si="39"/>
        <v>656.0430087</v>
      </c>
      <c r="BU18" s="77">
        <f t="shared" si="40"/>
        <v>32.1031815</v>
      </c>
      <c r="BV18" s="79"/>
      <c r="BW18" s="78"/>
      <c r="BX18" s="78">
        <f t="shared" si="41"/>
        <v>610.8280113</v>
      </c>
      <c r="BY18" s="78">
        <f t="shared" si="42"/>
        <v>610.8280113</v>
      </c>
      <c r="BZ18" s="78">
        <f t="shared" si="43"/>
        <v>127.4068353</v>
      </c>
      <c r="CA18" s="77">
        <f t="shared" si="44"/>
        <v>6.2345985</v>
      </c>
      <c r="CB18" s="79"/>
      <c r="CC18" s="78"/>
      <c r="CD18" s="78">
        <f t="shared" si="45"/>
        <v>2427.0537642</v>
      </c>
      <c r="CE18" s="78">
        <f t="shared" si="46"/>
        <v>2427.0537642</v>
      </c>
      <c r="CF18" s="78">
        <f t="shared" si="47"/>
        <v>506.23618020000004</v>
      </c>
      <c r="CG18" s="77">
        <f t="shared" si="48"/>
        <v>24.772449</v>
      </c>
      <c r="CH18" s="79"/>
      <c r="CI18" s="78"/>
      <c r="CJ18" s="78">
        <f t="shared" si="49"/>
        <v>5919.4643469</v>
      </c>
      <c r="CK18" s="78">
        <f t="shared" si="50"/>
        <v>5919.4643469</v>
      </c>
      <c r="CL18" s="78">
        <f t="shared" si="51"/>
        <v>1234.6850589</v>
      </c>
      <c r="CM18" s="77">
        <f t="shared" si="52"/>
        <v>60.418780500000004</v>
      </c>
      <c r="CN18" s="79"/>
      <c r="CO18" s="78"/>
      <c r="CP18" s="78">
        <f t="shared" si="53"/>
        <v>13249.3565412</v>
      </c>
      <c r="CQ18" s="78">
        <f t="shared" si="54"/>
        <v>13249.3565412</v>
      </c>
      <c r="CR18" s="78">
        <f t="shared" si="55"/>
        <v>2763.5579172</v>
      </c>
      <c r="CS18" s="77">
        <f t="shared" si="56"/>
        <v>135.23351399999999</v>
      </c>
      <c r="CT18" s="79"/>
      <c r="CU18" s="78"/>
      <c r="CV18" s="78">
        <f t="shared" si="57"/>
        <v>2004.5581647</v>
      </c>
      <c r="CW18" s="78">
        <f t="shared" si="58"/>
        <v>2004.5581647</v>
      </c>
      <c r="CX18" s="78">
        <f t="shared" si="59"/>
        <v>418.1118207</v>
      </c>
      <c r="CY18" s="77">
        <f t="shared" si="60"/>
        <v>20.4601215</v>
      </c>
      <c r="CZ18" s="79"/>
      <c r="DA18" s="78"/>
      <c r="DB18" s="78">
        <f t="shared" si="61"/>
        <v>5759.781662699999</v>
      </c>
      <c r="DC18" s="78">
        <f t="shared" si="62"/>
        <v>5759.781662699999</v>
      </c>
      <c r="DD18" s="78">
        <f t="shared" si="63"/>
        <v>1201.3783587</v>
      </c>
      <c r="DE18" s="77">
        <f t="shared" si="64"/>
        <v>58.788931500000004</v>
      </c>
      <c r="DF18" s="79"/>
      <c r="DG18" s="78"/>
      <c r="DH18" s="78">
        <f t="shared" si="65"/>
        <v>221.9475063</v>
      </c>
      <c r="DI18" s="78">
        <f t="shared" si="66"/>
        <v>221.9475063</v>
      </c>
      <c r="DJ18" s="78">
        <f t="shared" si="67"/>
        <v>46.2939303</v>
      </c>
      <c r="DK18" s="77">
        <f t="shared" si="68"/>
        <v>2.2653735</v>
      </c>
      <c r="DL18" s="79"/>
      <c r="DM18" s="90"/>
      <c r="DN18" s="90">
        <f t="shared" si="69"/>
        <v>12150.5603934</v>
      </c>
      <c r="DO18" s="90">
        <f t="shared" si="70"/>
        <v>12150.5603934</v>
      </c>
      <c r="DP18" s="90">
        <f t="shared" si="71"/>
        <v>2534.3704254</v>
      </c>
      <c r="DQ18" s="94">
        <f t="shared" si="72"/>
        <v>124.01832300000001</v>
      </c>
      <c r="DR18" s="79"/>
      <c r="DS18" s="78"/>
      <c r="DT18" s="78">
        <f t="shared" si="73"/>
        <v>1912.9405542</v>
      </c>
      <c r="DU18" s="78">
        <f t="shared" si="74"/>
        <v>1912.9405542</v>
      </c>
      <c r="DV18" s="78">
        <f t="shared" si="75"/>
        <v>399.0021702</v>
      </c>
      <c r="DW18" s="77">
        <f t="shared" si="76"/>
        <v>19.524999</v>
      </c>
      <c r="DX18" s="79"/>
      <c r="DY18" s="78"/>
      <c r="DZ18" s="78">
        <f t="shared" si="77"/>
        <v>9844.125497699999</v>
      </c>
      <c r="EA18" s="78">
        <f t="shared" si="78"/>
        <v>9844.125497699999</v>
      </c>
      <c r="EB18" s="78">
        <f t="shared" si="79"/>
        <v>2053.2929937</v>
      </c>
      <c r="EC18" s="77">
        <f t="shared" si="80"/>
        <v>100.4770065</v>
      </c>
      <c r="ED18" s="79"/>
      <c r="EE18" s="78"/>
      <c r="EF18" s="78">
        <f t="shared" si="81"/>
        <v>2810.3976654000003</v>
      </c>
      <c r="EG18" s="78">
        <f t="shared" si="82"/>
        <v>2810.3976654000003</v>
      </c>
      <c r="EH18" s="78">
        <f t="shared" si="83"/>
        <v>586.1942574</v>
      </c>
      <c r="EI18" s="77">
        <f t="shared" si="84"/>
        <v>28.685163</v>
      </c>
      <c r="EJ18" s="79"/>
      <c r="EK18" s="78"/>
      <c r="EL18" s="78">
        <f t="shared" si="85"/>
        <v>28.2103146</v>
      </c>
      <c r="EM18" s="78">
        <f t="shared" si="86"/>
        <v>28.2103146</v>
      </c>
      <c r="EN18" s="78">
        <f t="shared" si="87"/>
        <v>5.8841226</v>
      </c>
      <c r="EO18" s="77">
        <f t="shared" si="88"/>
        <v>0.287937</v>
      </c>
      <c r="EP18" s="79"/>
      <c r="EQ18" s="78"/>
      <c r="ER18" s="78">
        <f t="shared" si="89"/>
        <v>52.3780296</v>
      </c>
      <c r="ES18" s="78">
        <f t="shared" si="90"/>
        <v>52.3780296</v>
      </c>
      <c r="ET18" s="78">
        <f t="shared" si="91"/>
        <v>10.9250376</v>
      </c>
      <c r="EU18" s="77">
        <f t="shared" si="92"/>
        <v>0.534612</v>
      </c>
      <c r="EV18" s="79"/>
      <c r="EW18" s="78"/>
      <c r="EX18" s="78">
        <f t="shared" si="93"/>
        <v>9468.2955588</v>
      </c>
      <c r="EY18" s="78">
        <f t="shared" si="94"/>
        <v>9468.2955588</v>
      </c>
      <c r="EZ18" s="78">
        <f t="shared" si="95"/>
        <v>1974.9021828</v>
      </c>
      <c r="FA18" s="77">
        <f t="shared" si="96"/>
        <v>96.640986</v>
      </c>
      <c r="FB18" s="79"/>
      <c r="FC18" s="78"/>
      <c r="FD18" s="78">
        <f t="shared" si="97"/>
        <v>17599.1937108</v>
      </c>
      <c r="FE18" s="78">
        <f t="shared" si="98"/>
        <v>17599.1937108</v>
      </c>
      <c r="FF18" s="78">
        <f t="shared" si="99"/>
        <v>3670.8492948</v>
      </c>
      <c r="FG18" s="77">
        <f t="shared" si="100"/>
        <v>179.631426</v>
      </c>
      <c r="FH18" s="79"/>
      <c r="FI18" s="80"/>
      <c r="FJ18" s="78"/>
      <c r="FK18" s="78"/>
      <c r="FL18" s="78"/>
      <c r="FM18" s="77">
        <f t="shared" si="101"/>
        <v>0</v>
      </c>
    </row>
    <row r="19" spans="1:169" s="52" customFormat="1" ht="12">
      <c r="A19" s="51">
        <v>43922</v>
      </c>
      <c r="C19" s="42">
        <v>5000</v>
      </c>
      <c r="D19" s="42">
        <v>439413</v>
      </c>
      <c r="E19" s="77">
        <f t="shared" si="0"/>
        <v>444413</v>
      </c>
      <c r="F19" s="77">
        <v>91653</v>
      </c>
      <c r="G19" s="77">
        <v>4485</v>
      </c>
      <c r="H19" s="79"/>
      <c r="I19" s="79">
        <f>'2011B Academic'!I19</f>
        <v>2714.1295</v>
      </c>
      <c r="J19" s="79">
        <f>'2011B Academic'!J19</f>
        <v>238524.7571967001</v>
      </c>
      <c r="K19" s="79">
        <f t="shared" si="1"/>
        <v>241238.88669670012</v>
      </c>
      <c r="L19" s="79">
        <f>'2011B Academic'!L19</f>
        <v>49751.6222127</v>
      </c>
      <c r="M19" s="79">
        <f>'2011B Academic'!M19</f>
        <v>2434.5741615</v>
      </c>
      <c r="N19" s="79"/>
      <c r="O19" s="78">
        <f t="shared" si="2"/>
        <v>2285.8705</v>
      </c>
      <c r="P19" s="80">
        <f t="shared" si="2"/>
        <v>200888.24280329997</v>
      </c>
      <c r="Q19" s="78">
        <f t="shared" si="3"/>
        <v>203174.11330329996</v>
      </c>
      <c r="R19" s="78">
        <f t="shared" si="4"/>
        <v>41901.37778729999</v>
      </c>
      <c r="S19" s="78">
        <f t="shared" si="4"/>
        <v>2050.4258385</v>
      </c>
      <c r="T19" s="79"/>
      <c r="U19" s="78">
        <f t="shared" si="102"/>
        <v>408.62</v>
      </c>
      <c r="V19" s="77">
        <f t="shared" si="5"/>
        <v>35910.58801199999</v>
      </c>
      <c r="W19" s="78">
        <f t="shared" si="6"/>
        <v>36319.208011999996</v>
      </c>
      <c r="X19" s="78">
        <f t="shared" si="7"/>
        <v>7490.249772</v>
      </c>
      <c r="Y19" s="77">
        <f t="shared" si="8"/>
        <v>366.53214</v>
      </c>
      <c r="Z19" s="79"/>
      <c r="AA19" s="78">
        <f t="shared" si="103"/>
        <v>297.823</v>
      </c>
      <c r="AB19" s="78">
        <f t="shared" si="9"/>
        <v>26173.4595798</v>
      </c>
      <c r="AC19" s="78">
        <f t="shared" si="10"/>
        <v>26471.2825798</v>
      </c>
      <c r="AD19" s="78">
        <f t="shared" si="11"/>
        <v>5459.2742838</v>
      </c>
      <c r="AE19" s="77">
        <f t="shared" si="12"/>
        <v>267.14723100000003</v>
      </c>
      <c r="AF19" s="79"/>
      <c r="AG19" s="78">
        <f t="shared" si="104"/>
        <v>157.90200000000002</v>
      </c>
      <c r="AH19" s="78">
        <f t="shared" si="13"/>
        <v>13876.8383052</v>
      </c>
      <c r="AI19" s="78">
        <f t="shared" si="14"/>
        <v>14034.7403052</v>
      </c>
      <c r="AJ19" s="78">
        <f t="shared" si="15"/>
        <v>2894.4384012</v>
      </c>
      <c r="AK19" s="77">
        <f t="shared" si="16"/>
        <v>141.638094</v>
      </c>
      <c r="AL19" s="79"/>
      <c r="AM19" s="78">
        <f t="shared" si="105"/>
        <v>114.84</v>
      </c>
      <c r="AN19" s="78">
        <f t="shared" si="17"/>
        <v>10092.437784000002</v>
      </c>
      <c r="AO19" s="78">
        <f t="shared" si="18"/>
        <v>10207.277784000002</v>
      </c>
      <c r="AP19" s="78">
        <f t="shared" si="19"/>
        <v>2105.086104</v>
      </c>
      <c r="AQ19" s="77">
        <f t="shared" si="20"/>
        <v>103.01147999999999</v>
      </c>
      <c r="AR19" s="79"/>
      <c r="AS19" s="78">
        <f t="shared" si="106"/>
        <v>13.1545</v>
      </c>
      <c r="AT19" s="78">
        <f t="shared" si="21"/>
        <v>1156.0516617</v>
      </c>
      <c r="AU19" s="78">
        <f t="shared" si="22"/>
        <v>1169.2061617000002</v>
      </c>
      <c r="AV19" s="78">
        <f t="shared" si="23"/>
        <v>241.12987769999998</v>
      </c>
      <c r="AW19" s="77">
        <f t="shared" si="24"/>
        <v>11.799586499999998</v>
      </c>
      <c r="AX19" s="79"/>
      <c r="AY19" s="78">
        <f t="shared" si="107"/>
        <v>208.11449999999996</v>
      </c>
      <c r="AZ19" s="78">
        <f t="shared" si="25"/>
        <v>18289.6433577</v>
      </c>
      <c r="BA19" s="78">
        <f t="shared" si="26"/>
        <v>18497.7578577</v>
      </c>
      <c r="BB19" s="78">
        <f t="shared" si="27"/>
        <v>3814.8636536999998</v>
      </c>
      <c r="BC19" s="77">
        <f t="shared" si="28"/>
        <v>186.67870649999998</v>
      </c>
      <c r="BD19" s="79"/>
      <c r="BE19" s="78">
        <f t="shared" si="108"/>
        <v>22.5605</v>
      </c>
      <c r="BF19" s="78">
        <f t="shared" si="29"/>
        <v>1982.6753973</v>
      </c>
      <c r="BG19" s="78">
        <f t="shared" si="30"/>
        <v>2005.2358973</v>
      </c>
      <c r="BH19" s="78">
        <f t="shared" si="31"/>
        <v>413.54750129999996</v>
      </c>
      <c r="BI19" s="77">
        <f t="shared" si="32"/>
        <v>20.2367685</v>
      </c>
      <c r="BJ19" s="79"/>
      <c r="BK19" s="78">
        <f t="shared" si="109"/>
        <v>70.57350000000001</v>
      </c>
      <c r="BL19" s="78">
        <f t="shared" si="33"/>
        <v>6202.1826711</v>
      </c>
      <c r="BM19" s="78">
        <f t="shared" si="34"/>
        <v>6272.756171100001</v>
      </c>
      <c r="BN19" s="78">
        <f t="shared" si="35"/>
        <v>1293.6545991</v>
      </c>
      <c r="BO19" s="77">
        <f t="shared" si="36"/>
        <v>63.304429500000005</v>
      </c>
      <c r="BP19" s="79"/>
      <c r="BQ19" s="78">
        <f t="shared" si="110"/>
        <v>35.789500000000004</v>
      </c>
      <c r="BR19" s="78">
        <f t="shared" si="37"/>
        <v>3145.2743127</v>
      </c>
      <c r="BS19" s="78">
        <f t="shared" si="38"/>
        <v>3181.0638126999997</v>
      </c>
      <c r="BT19" s="78">
        <f t="shared" si="39"/>
        <v>656.0430087</v>
      </c>
      <c r="BU19" s="77">
        <f t="shared" si="40"/>
        <v>32.1031815</v>
      </c>
      <c r="BV19" s="79"/>
      <c r="BW19" s="78">
        <f t="shared" si="111"/>
        <v>6.9505</v>
      </c>
      <c r="BX19" s="78">
        <f t="shared" si="41"/>
        <v>610.8280113</v>
      </c>
      <c r="BY19" s="78">
        <f t="shared" si="42"/>
        <v>617.7785113</v>
      </c>
      <c r="BZ19" s="78">
        <f t="shared" si="43"/>
        <v>127.4068353</v>
      </c>
      <c r="CA19" s="77">
        <f t="shared" si="44"/>
        <v>6.2345985</v>
      </c>
      <c r="CB19" s="79"/>
      <c r="CC19" s="78">
        <f t="shared" si="112"/>
        <v>27.617000000000004</v>
      </c>
      <c r="CD19" s="78">
        <f t="shared" si="45"/>
        <v>2427.0537642</v>
      </c>
      <c r="CE19" s="78">
        <f t="shared" si="46"/>
        <v>2454.6707642</v>
      </c>
      <c r="CF19" s="78">
        <f t="shared" si="47"/>
        <v>506.23618020000004</v>
      </c>
      <c r="CG19" s="77">
        <f t="shared" si="48"/>
        <v>24.772449</v>
      </c>
      <c r="CH19" s="79"/>
      <c r="CI19" s="78">
        <f t="shared" si="113"/>
        <v>67.3565</v>
      </c>
      <c r="CJ19" s="78">
        <f t="shared" si="49"/>
        <v>5919.4643469</v>
      </c>
      <c r="CK19" s="78">
        <f t="shared" si="50"/>
        <v>5986.8208469</v>
      </c>
      <c r="CL19" s="78">
        <f t="shared" si="51"/>
        <v>1234.6850589</v>
      </c>
      <c r="CM19" s="77">
        <f t="shared" si="52"/>
        <v>60.418780500000004</v>
      </c>
      <c r="CN19" s="79"/>
      <c r="CO19" s="78">
        <f t="shared" si="114"/>
        <v>150.762</v>
      </c>
      <c r="CP19" s="78">
        <f t="shared" si="53"/>
        <v>13249.3565412</v>
      </c>
      <c r="CQ19" s="78">
        <f t="shared" si="54"/>
        <v>13400.118541200001</v>
      </c>
      <c r="CR19" s="78">
        <f t="shared" si="55"/>
        <v>2763.5579172</v>
      </c>
      <c r="CS19" s="77">
        <f t="shared" si="56"/>
        <v>135.23351399999999</v>
      </c>
      <c r="CT19" s="79"/>
      <c r="CU19" s="78">
        <f t="shared" si="115"/>
        <v>22.8095</v>
      </c>
      <c r="CV19" s="78">
        <f t="shared" si="57"/>
        <v>2004.5581647</v>
      </c>
      <c r="CW19" s="78">
        <f t="shared" si="58"/>
        <v>2027.3676647</v>
      </c>
      <c r="CX19" s="78">
        <f t="shared" si="59"/>
        <v>418.1118207</v>
      </c>
      <c r="CY19" s="77">
        <f t="shared" si="60"/>
        <v>20.4601215</v>
      </c>
      <c r="CZ19" s="79"/>
      <c r="DA19" s="78">
        <f t="shared" si="116"/>
        <v>65.5395</v>
      </c>
      <c r="DB19" s="78">
        <f t="shared" si="61"/>
        <v>5759.781662699999</v>
      </c>
      <c r="DC19" s="78">
        <f t="shared" si="62"/>
        <v>5825.321162699999</v>
      </c>
      <c r="DD19" s="78">
        <f t="shared" si="63"/>
        <v>1201.3783587</v>
      </c>
      <c r="DE19" s="77">
        <f t="shared" si="64"/>
        <v>58.788931500000004</v>
      </c>
      <c r="DF19" s="79"/>
      <c r="DG19" s="78">
        <f t="shared" si="117"/>
        <v>2.5254999999999996</v>
      </c>
      <c r="DH19" s="78">
        <f t="shared" si="65"/>
        <v>221.9475063</v>
      </c>
      <c r="DI19" s="78">
        <f t="shared" si="66"/>
        <v>224.47300629999998</v>
      </c>
      <c r="DJ19" s="78">
        <f t="shared" si="67"/>
        <v>46.2939303</v>
      </c>
      <c r="DK19" s="77">
        <f t="shared" si="68"/>
        <v>2.2653735</v>
      </c>
      <c r="DL19" s="79"/>
      <c r="DM19" s="90">
        <f t="shared" si="118"/>
        <v>138.259</v>
      </c>
      <c r="DN19" s="90">
        <f t="shared" si="69"/>
        <v>12150.5603934</v>
      </c>
      <c r="DO19" s="90">
        <f t="shared" si="70"/>
        <v>12288.8193934</v>
      </c>
      <c r="DP19" s="90">
        <f t="shared" si="71"/>
        <v>2534.3704254</v>
      </c>
      <c r="DQ19" s="94">
        <f t="shared" si="72"/>
        <v>124.01832300000001</v>
      </c>
      <c r="DR19" s="79"/>
      <c r="DS19" s="78">
        <f t="shared" si="119"/>
        <v>21.767</v>
      </c>
      <c r="DT19" s="78">
        <f t="shared" si="73"/>
        <v>1912.9405542</v>
      </c>
      <c r="DU19" s="78">
        <f t="shared" si="74"/>
        <v>1934.7075542</v>
      </c>
      <c r="DV19" s="78">
        <f t="shared" si="75"/>
        <v>399.0021702</v>
      </c>
      <c r="DW19" s="77">
        <f t="shared" si="76"/>
        <v>19.524999</v>
      </c>
      <c r="DX19" s="79"/>
      <c r="DY19" s="78">
        <f t="shared" si="120"/>
        <v>112.01449999999998</v>
      </c>
      <c r="DZ19" s="78">
        <f t="shared" si="77"/>
        <v>9844.125497699999</v>
      </c>
      <c r="EA19" s="78">
        <f t="shared" si="78"/>
        <v>9956.139997699998</v>
      </c>
      <c r="EB19" s="78">
        <f t="shared" si="79"/>
        <v>2053.2929937</v>
      </c>
      <c r="EC19" s="77">
        <f t="shared" si="80"/>
        <v>100.4770065</v>
      </c>
      <c r="ED19" s="79"/>
      <c r="EE19" s="78">
        <f t="shared" si="121"/>
        <v>31.979</v>
      </c>
      <c r="EF19" s="78">
        <f t="shared" si="81"/>
        <v>2810.3976654000003</v>
      </c>
      <c r="EG19" s="78">
        <f t="shared" si="82"/>
        <v>2842.3766654</v>
      </c>
      <c r="EH19" s="78">
        <f t="shared" si="83"/>
        <v>586.1942574</v>
      </c>
      <c r="EI19" s="77">
        <f t="shared" si="84"/>
        <v>28.685163</v>
      </c>
      <c r="EJ19" s="79"/>
      <c r="EK19" s="78">
        <f t="shared" si="122"/>
        <v>0.321</v>
      </c>
      <c r="EL19" s="78">
        <f t="shared" si="85"/>
        <v>28.2103146</v>
      </c>
      <c r="EM19" s="78">
        <f t="shared" si="86"/>
        <v>28.5313146</v>
      </c>
      <c r="EN19" s="78">
        <f t="shared" si="87"/>
        <v>5.8841226</v>
      </c>
      <c r="EO19" s="77">
        <f t="shared" si="88"/>
        <v>0.287937</v>
      </c>
      <c r="EP19" s="79"/>
      <c r="EQ19" s="78">
        <f t="shared" si="123"/>
        <v>0.596</v>
      </c>
      <c r="ER19" s="78">
        <f t="shared" si="89"/>
        <v>52.3780296</v>
      </c>
      <c r="ES19" s="78">
        <f t="shared" si="90"/>
        <v>52.974029599999994</v>
      </c>
      <c r="ET19" s="78">
        <f t="shared" si="91"/>
        <v>10.9250376</v>
      </c>
      <c r="EU19" s="77">
        <f t="shared" si="92"/>
        <v>0.534612</v>
      </c>
      <c r="EV19" s="79"/>
      <c r="EW19" s="78">
        <f t="shared" si="124"/>
        <v>107.738</v>
      </c>
      <c r="EX19" s="78">
        <f t="shared" si="93"/>
        <v>9468.2955588</v>
      </c>
      <c r="EY19" s="78">
        <f t="shared" si="94"/>
        <v>9576.0335588</v>
      </c>
      <c r="EZ19" s="78">
        <f t="shared" si="95"/>
        <v>1974.9021828</v>
      </c>
      <c r="FA19" s="77">
        <f t="shared" si="96"/>
        <v>96.640986</v>
      </c>
      <c r="FB19" s="79"/>
      <c r="FC19" s="78">
        <f t="shared" si="125"/>
        <v>200.25799999999998</v>
      </c>
      <c r="FD19" s="78">
        <f t="shared" si="97"/>
        <v>17599.1937108</v>
      </c>
      <c r="FE19" s="78">
        <f t="shared" si="98"/>
        <v>17799.4517108</v>
      </c>
      <c r="FF19" s="78">
        <f t="shared" si="99"/>
        <v>3670.8492948</v>
      </c>
      <c r="FG19" s="77">
        <f t="shared" si="100"/>
        <v>179.631426</v>
      </c>
      <c r="FH19" s="79"/>
      <c r="FI19" s="80"/>
      <c r="FJ19" s="78"/>
      <c r="FK19" s="78"/>
      <c r="FL19" s="78"/>
      <c r="FM19" s="77">
        <f t="shared" si="101"/>
        <v>0</v>
      </c>
    </row>
    <row r="20" spans="1:169" s="52" customFormat="1" ht="12">
      <c r="A20" s="51">
        <v>44105</v>
      </c>
      <c r="C20" s="42"/>
      <c r="D20" s="42">
        <v>439338</v>
      </c>
      <c r="E20" s="77">
        <f t="shared" si="0"/>
        <v>439338</v>
      </c>
      <c r="F20" s="77">
        <v>91653</v>
      </c>
      <c r="G20" s="77">
        <v>4485</v>
      </c>
      <c r="H20" s="79"/>
      <c r="I20" s="79">
        <f>'2011B Academic'!I20</f>
        <v>0</v>
      </c>
      <c r="J20" s="79">
        <f>'2011B Academic'!J20</f>
        <v>238484.04525420006</v>
      </c>
      <c r="K20" s="79">
        <f t="shared" si="1"/>
        <v>238484.04525420006</v>
      </c>
      <c r="L20" s="79">
        <f>'2011B Academic'!L20</f>
        <v>49751.6222127</v>
      </c>
      <c r="M20" s="79">
        <f>'2011B Academic'!M20</f>
        <v>2434.5741615</v>
      </c>
      <c r="N20" s="79"/>
      <c r="O20" s="78">
        <f t="shared" si="2"/>
        <v>0</v>
      </c>
      <c r="P20" s="80">
        <f t="shared" si="2"/>
        <v>200853.95474579997</v>
      </c>
      <c r="Q20" s="78">
        <f t="shared" si="3"/>
        <v>200853.95474579997</v>
      </c>
      <c r="R20" s="78">
        <f t="shared" si="4"/>
        <v>41901.37778729999</v>
      </c>
      <c r="S20" s="78">
        <f t="shared" si="4"/>
        <v>2050.4258385</v>
      </c>
      <c r="T20" s="79"/>
      <c r="U20" s="78"/>
      <c r="V20" s="77">
        <f t="shared" si="5"/>
        <v>35904.458712</v>
      </c>
      <c r="W20" s="78">
        <f t="shared" si="6"/>
        <v>35904.458712</v>
      </c>
      <c r="X20" s="78">
        <f t="shared" si="7"/>
        <v>7490.249772</v>
      </c>
      <c r="Y20" s="77">
        <f t="shared" si="8"/>
        <v>366.53214</v>
      </c>
      <c r="Z20" s="79"/>
      <c r="AA20" s="78"/>
      <c r="AB20" s="78">
        <f t="shared" si="9"/>
        <v>26168.9922348</v>
      </c>
      <c r="AC20" s="78">
        <f t="shared" si="10"/>
        <v>26168.9922348</v>
      </c>
      <c r="AD20" s="78">
        <f t="shared" si="11"/>
        <v>5459.2742838</v>
      </c>
      <c r="AE20" s="77">
        <f t="shared" si="12"/>
        <v>267.14723100000003</v>
      </c>
      <c r="AF20" s="79"/>
      <c r="AG20" s="78"/>
      <c r="AH20" s="78">
        <f t="shared" si="13"/>
        <v>13874.469775200001</v>
      </c>
      <c r="AI20" s="78">
        <f t="shared" si="14"/>
        <v>13874.469775200001</v>
      </c>
      <c r="AJ20" s="78">
        <f t="shared" si="15"/>
        <v>2894.4384012</v>
      </c>
      <c r="AK20" s="77">
        <f t="shared" si="16"/>
        <v>141.638094</v>
      </c>
      <c r="AL20" s="79"/>
      <c r="AM20" s="78"/>
      <c r="AN20" s="78">
        <f t="shared" si="17"/>
        <v>10090.715184</v>
      </c>
      <c r="AO20" s="78">
        <f t="shared" si="18"/>
        <v>10090.715184</v>
      </c>
      <c r="AP20" s="78">
        <f t="shared" si="19"/>
        <v>2105.086104</v>
      </c>
      <c r="AQ20" s="77">
        <f t="shared" si="20"/>
        <v>103.01147999999999</v>
      </c>
      <c r="AR20" s="79"/>
      <c r="AS20" s="78"/>
      <c r="AT20" s="78">
        <f t="shared" si="21"/>
        <v>1155.8543442</v>
      </c>
      <c r="AU20" s="78">
        <f t="shared" si="22"/>
        <v>1155.8543442</v>
      </c>
      <c r="AV20" s="78">
        <f t="shared" si="23"/>
        <v>241.12987769999998</v>
      </c>
      <c r="AW20" s="77">
        <f t="shared" si="24"/>
        <v>11.799586499999998</v>
      </c>
      <c r="AX20" s="79"/>
      <c r="AY20" s="78"/>
      <c r="AZ20" s="78">
        <f t="shared" si="25"/>
        <v>18286.521640199997</v>
      </c>
      <c r="BA20" s="78">
        <f t="shared" si="26"/>
        <v>18286.521640199997</v>
      </c>
      <c r="BB20" s="78">
        <f t="shared" si="27"/>
        <v>3814.8636536999998</v>
      </c>
      <c r="BC20" s="77">
        <f t="shared" si="28"/>
        <v>186.67870649999998</v>
      </c>
      <c r="BD20" s="79"/>
      <c r="BE20" s="78"/>
      <c r="BF20" s="78">
        <f t="shared" si="29"/>
        <v>1982.3369897999999</v>
      </c>
      <c r="BG20" s="78">
        <f t="shared" si="30"/>
        <v>1982.3369897999999</v>
      </c>
      <c r="BH20" s="78">
        <f t="shared" si="31"/>
        <v>413.54750129999996</v>
      </c>
      <c r="BI20" s="77">
        <f t="shared" si="32"/>
        <v>20.2367685</v>
      </c>
      <c r="BJ20" s="79"/>
      <c r="BK20" s="78"/>
      <c r="BL20" s="78">
        <f t="shared" si="33"/>
        <v>6201.1240686</v>
      </c>
      <c r="BM20" s="78">
        <f t="shared" si="34"/>
        <v>6201.1240686</v>
      </c>
      <c r="BN20" s="78">
        <f t="shared" si="35"/>
        <v>1293.6545991</v>
      </c>
      <c r="BO20" s="77">
        <f t="shared" si="36"/>
        <v>63.304429500000005</v>
      </c>
      <c r="BP20" s="79"/>
      <c r="BQ20" s="78"/>
      <c r="BR20" s="78">
        <f t="shared" si="37"/>
        <v>3144.7374702</v>
      </c>
      <c r="BS20" s="78">
        <f t="shared" si="38"/>
        <v>3144.7374702</v>
      </c>
      <c r="BT20" s="78">
        <f t="shared" si="39"/>
        <v>656.0430087</v>
      </c>
      <c r="BU20" s="77">
        <f t="shared" si="40"/>
        <v>32.1031815</v>
      </c>
      <c r="BV20" s="79"/>
      <c r="BW20" s="78"/>
      <c r="BX20" s="78">
        <f t="shared" si="41"/>
        <v>610.7237537999999</v>
      </c>
      <c r="BY20" s="78">
        <f t="shared" si="42"/>
        <v>610.7237537999999</v>
      </c>
      <c r="BZ20" s="78">
        <f t="shared" si="43"/>
        <v>127.4068353</v>
      </c>
      <c r="CA20" s="77">
        <f t="shared" si="44"/>
        <v>6.2345985</v>
      </c>
      <c r="CB20" s="79"/>
      <c r="CC20" s="78"/>
      <c r="CD20" s="78">
        <f t="shared" si="45"/>
        <v>2426.6395092000002</v>
      </c>
      <c r="CE20" s="78">
        <f t="shared" si="46"/>
        <v>2426.6395092000002</v>
      </c>
      <c r="CF20" s="78">
        <f t="shared" si="47"/>
        <v>506.23618020000004</v>
      </c>
      <c r="CG20" s="77">
        <f t="shared" si="48"/>
        <v>24.772449</v>
      </c>
      <c r="CH20" s="79"/>
      <c r="CI20" s="78"/>
      <c r="CJ20" s="78">
        <f t="shared" si="49"/>
        <v>5918.453999399999</v>
      </c>
      <c r="CK20" s="78">
        <f t="shared" si="50"/>
        <v>5918.453999399999</v>
      </c>
      <c r="CL20" s="78">
        <f t="shared" si="51"/>
        <v>1234.6850589</v>
      </c>
      <c r="CM20" s="77">
        <f t="shared" si="52"/>
        <v>60.418780500000004</v>
      </c>
      <c r="CN20" s="79"/>
      <c r="CO20" s="78"/>
      <c r="CP20" s="78">
        <f t="shared" si="53"/>
        <v>13247.095111199998</v>
      </c>
      <c r="CQ20" s="78">
        <f t="shared" si="54"/>
        <v>13247.095111199998</v>
      </c>
      <c r="CR20" s="78">
        <f t="shared" si="55"/>
        <v>2763.5579172</v>
      </c>
      <c r="CS20" s="77">
        <f t="shared" si="56"/>
        <v>135.23351399999999</v>
      </c>
      <c r="CT20" s="79"/>
      <c r="CU20" s="78"/>
      <c r="CV20" s="78">
        <f t="shared" si="57"/>
        <v>2004.2160222</v>
      </c>
      <c r="CW20" s="78">
        <f t="shared" si="58"/>
        <v>2004.2160222</v>
      </c>
      <c r="CX20" s="78">
        <f t="shared" si="59"/>
        <v>418.1118207</v>
      </c>
      <c r="CY20" s="77">
        <f t="shared" si="60"/>
        <v>20.4601215</v>
      </c>
      <c r="CZ20" s="79"/>
      <c r="DA20" s="78"/>
      <c r="DB20" s="78">
        <f t="shared" si="61"/>
        <v>5758.7985702</v>
      </c>
      <c r="DC20" s="78">
        <f t="shared" si="62"/>
        <v>5758.7985702</v>
      </c>
      <c r="DD20" s="78">
        <f t="shared" si="63"/>
        <v>1201.3783587</v>
      </c>
      <c r="DE20" s="77">
        <f t="shared" si="64"/>
        <v>58.788931500000004</v>
      </c>
      <c r="DF20" s="79"/>
      <c r="DG20" s="78"/>
      <c r="DH20" s="78">
        <f t="shared" si="65"/>
        <v>221.90962380000002</v>
      </c>
      <c r="DI20" s="78">
        <f t="shared" si="66"/>
        <v>221.90962380000002</v>
      </c>
      <c r="DJ20" s="78">
        <f t="shared" si="67"/>
        <v>46.2939303</v>
      </c>
      <c r="DK20" s="77">
        <f t="shared" si="68"/>
        <v>2.2653735</v>
      </c>
      <c r="DL20" s="79"/>
      <c r="DM20" s="90"/>
      <c r="DN20" s="90">
        <f t="shared" si="69"/>
        <v>12148.4865084</v>
      </c>
      <c r="DO20" s="90">
        <f t="shared" si="70"/>
        <v>12148.4865084</v>
      </c>
      <c r="DP20" s="90">
        <f t="shared" si="71"/>
        <v>2534.3704254</v>
      </c>
      <c r="DQ20" s="94">
        <f t="shared" si="72"/>
        <v>124.01832300000001</v>
      </c>
      <c r="DR20" s="79"/>
      <c r="DS20" s="78"/>
      <c r="DT20" s="78">
        <f t="shared" si="73"/>
        <v>1912.6140492</v>
      </c>
      <c r="DU20" s="78">
        <f t="shared" si="74"/>
        <v>1912.6140492</v>
      </c>
      <c r="DV20" s="78">
        <f t="shared" si="75"/>
        <v>399.0021702</v>
      </c>
      <c r="DW20" s="77">
        <f t="shared" si="76"/>
        <v>19.524999</v>
      </c>
      <c r="DX20" s="79"/>
      <c r="DY20" s="78"/>
      <c r="DZ20" s="78">
        <f t="shared" si="77"/>
        <v>9842.4452802</v>
      </c>
      <c r="EA20" s="78">
        <f t="shared" si="78"/>
        <v>9842.4452802</v>
      </c>
      <c r="EB20" s="78">
        <f t="shared" si="79"/>
        <v>2053.2929937</v>
      </c>
      <c r="EC20" s="77">
        <f t="shared" si="80"/>
        <v>100.4770065</v>
      </c>
      <c r="ED20" s="79"/>
      <c r="EE20" s="78"/>
      <c r="EF20" s="78">
        <f t="shared" si="81"/>
        <v>2809.9179804</v>
      </c>
      <c r="EG20" s="78">
        <f t="shared" si="82"/>
        <v>2809.9179804</v>
      </c>
      <c r="EH20" s="78">
        <f t="shared" si="83"/>
        <v>586.1942574</v>
      </c>
      <c r="EI20" s="77">
        <f t="shared" si="84"/>
        <v>28.685163</v>
      </c>
      <c r="EJ20" s="79"/>
      <c r="EK20" s="78"/>
      <c r="EL20" s="78">
        <f t="shared" si="85"/>
        <v>28.205499600000003</v>
      </c>
      <c r="EM20" s="78">
        <f t="shared" si="86"/>
        <v>28.205499600000003</v>
      </c>
      <c r="EN20" s="78">
        <f t="shared" si="87"/>
        <v>5.8841226</v>
      </c>
      <c r="EO20" s="77">
        <f t="shared" si="88"/>
        <v>0.287937</v>
      </c>
      <c r="EP20" s="79"/>
      <c r="EQ20" s="78"/>
      <c r="ER20" s="78">
        <f t="shared" si="89"/>
        <v>52.369089599999995</v>
      </c>
      <c r="ES20" s="78">
        <f t="shared" si="90"/>
        <v>52.369089599999995</v>
      </c>
      <c r="ET20" s="78">
        <f t="shared" si="91"/>
        <v>10.9250376</v>
      </c>
      <c r="EU20" s="77">
        <f t="shared" si="92"/>
        <v>0.534612</v>
      </c>
      <c r="EV20" s="79"/>
      <c r="EW20" s="78"/>
      <c r="EX20" s="78">
        <f t="shared" si="93"/>
        <v>9466.6794888</v>
      </c>
      <c r="EY20" s="78">
        <f t="shared" si="94"/>
        <v>9466.6794888</v>
      </c>
      <c r="EZ20" s="78">
        <f t="shared" si="95"/>
        <v>1974.9021828</v>
      </c>
      <c r="FA20" s="77">
        <f t="shared" si="96"/>
        <v>96.640986</v>
      </c>
      <c r="FB20" s="79"/>
      <c r="FC20" s="78"/>
      <c r="FD20" s="78">
        <f t="shared" si="97"/>
        <v>17596.1898408</v>
      </c>
      <c r="FE20" s="78">
        <f t="shared" si="98"/>
        <v>17596.1898408</v>
      </c>
      <c r="FF20" s="78">
        <f t="shared" si="99"/>
        <v>3670.8492948</v>
      </c>
      <c r="FG20" s="77">
        <f t="shared" si="100"/>
        <v>179.631426</v>
      </c>
      <c r="FH20" s="79"/>
      <c r="FI20" s="80"/>
      <c r="FJ20" s="78"/>
      <c r="FK20" s="78"/>
      <c r="FL20" s="78"/>
      <c r="FM20" s="77">
        <f t="shared" si="101"/>
        <v>0</v>
      </c>
    </row>
    <row r="21" spans="1:169" s="52" customFormat="1" ht="12">
      <c r="A21" s="51">
        <v>44287</v>
      </c>
      <c r="C21" s="42">
        <v>5000</v>
      </c>
      <c r="D21" s="42">
        <v>439338</v>
      </c>
      <c r="E21" s="77">
        <f t="shared" si="0"/>
        <v>444338</v>
      </c>
      <c r="F21" s="77">
        <v>91653</v>
      </c>
      <c r="G21" s="77">
        <v>4485</v>
      </c>
      <c r="H21" s="79"/>
      <c r="I21" s="79">
        <f>'2011B Academic'!I21</f>
        <v>2714.1295</v>
      </c>
      <c r="J21" s="79">
        <f>'2011B Academic'!J21</f>
        <v>238484.04525420006</v>
      </c>
      <c r="K21" s="79">
        <f t="shared" si="1"/>
        <v>241198.17475420007</v>
      </c>
      <c r="L21" s="79">
        <f>'2011B Academic'!L21</f>
        <v>49751.6222127</v>
      </c>
      <c r="M21" s="79">
        <f>'2011B Academic'!M21</f>
        <v>2434.5741615</v>
      </c>
      <c r="N21" s="79"/>
      <c r="O21" s="78">
        <f t="shared" si="2"/>
        <v>2285.8705</v>
      </c>
      <c r="P21" s="80">
        <f t="shared" si="2"/>
        <v>200853.95474579997</v>
      </c>
      <c r="Q21" s="78">
        <f t="shared" si="3"/>
        <v>203139.82524579996</v>
      </c>
      <c r="R21" s="78">
        <f t="shared" si="4"/>
        <v>41901.37778729999</v>
      </c>
      <c r="S21" s="78">
        <f t="shared" si="4"/>
        <v>2050.4258385</v>
      </c>
      <c r="T21" s="79"/>
      <c r="U21" s="78">
        <f t="shared" si="102"/>
        <v>408.62</v>
      </c>
      <c r="V21" s="77">
        <f t="shared" si="5"/>
        <v>35904.458712</v>
      </c>
      <c r="W21" s="78">
        <f t="shared" si="6"/>
        <v>36313.078712</v>
      </c>
      <c r="X21" s="78">
        <f t="shared" si="7"/>
        <v>7490.249772</v>
      </c>
      <c r="Y21" s="77">
        <f t="shared" si="8"/>
        <v>366.53214</v>
      </c>
      <c r="Z21" s="79"/>
      <c r="AA21" s="78">
        <f t="shared" si="103"/>
        <v>297.823</v>
      </c>
      <c r="AB21" s="78">
        <f t="shared" si="9"/>
        <v>26168.9922348</v>
      </c>
      <c r="AC21" s="78">
        <f t="shared" si="10"/>
        <v>26466.8152348</v>
      </c>
      <c r="AD21" s="78">
        <f t="shared" si="11"/>
        <v>5459.2742838</v>
      </c>
      <c r="AE21" s="77">
        <f t="shared" si="12"/>
        <v>267.14723100000003</v>
      </c>
      <c r="AF21" s="79"/>
      <c r="AG21" s="78">
        <f t="shared" si="104"/>
        <v>157.90200000000002</v>
      </c>
      <c r="AH21" s="78">
        <f t="shared" si="13"/>
        <v>13874.469775200001</v>
      </c>
      <c r="AI21" s="78">
        <f t="shared" si="14"/>
        <v>14032.371775200001</v>
      </c>
      <c r="AJ21" s="78">
        <f t="shared" si="15"/>
        <v>2894.4384012</v>
      </c>
      <c r="AK21" s="77">
        <f t="shared" si="16"/>
        <v>141.638094</v>
      </c>
      <c r="AL21" s="79"/>
      <c r="AM21" s="78">
        <f t="shared" si="105"/>
        <v>114.84</v>
      </c>
      <c r="AN21" s="78">
        <f t="shared" si="17"/>
        <v>10090.715184</v>
      </c>
      <c r="AO21" s="78">
        <f t="shared" si="18"/>
        <v>10205.555184</v>
      </c>
      <c r="AP21" s="78">
        <f t="shared" si="19"/>
        <v>2105.086104</v>
      </c>
      <c r="AQ21" s="77">
        <f t="shared" si="20"/>
        <v>103.01147999999999</v>
      </c>
      <c r="AR21" s="79"/>
      <c r="AS21" s="78">
        <f t="shared" si="106"/>
        <v>13.1545</v>
      </c>
      <c r="AT21" s="78">
        <f t="shared" si="21"/>
        <v>1155.8543442</v>
      </c>
      <c r="AU21" s="78">
        <f t="shared" si="22"/>
        <v>1169.0088442</v>
      </c>
      <c r="AV21" s="78">
        <f t="shared" si="23"/>
        <v>241.12987769999998</v>
      </c>
      <c r="AW21" s="77">
        <f t="shared" si="24"/>
        <v>11.799586499999998</v>
      </c>
      <c r="AX21" s="79"/>
      <c r="AY21" s="78">
        <f t="shared" si="107"/>
        <v>208.11449999999996</v>
      </c>
      <c r="AZ21" s="78">
        <f t="shared" si="25"/>
        <v>18286.521640199997</v>
      </c>
      <c r="BA21" s="78">
        <f t="shared" si="26"/>
        <v>18494.636140199997</v>
      </c>
      <c r="BB21" s="78">
        <f t="shared" si="27"/>
        <v>3814.8636536999998</v>
      </c>
      <c r="BC21" s="77">
        <f t="shared" si="28"/>
        <v>186.67870649999998</v>
      </c>
      <c r="BD21" s="79"/>
      <c r="BE21" s="78">
        <f t="shared" si="108"/>
        <v>22.5605</v>
      </c>
      <c r="BF21" s="78">
        <f t="shared" si="29"/>
        <v>1982.3369897999999</v>
      </c>
      <c r="BG21" s="78">
        <f t="shared" si="30"/>
        <v>2004.8974898</v>
      </c>
      <c r="BH21" s="78">
        <f t="shared" si="31"/>
        <v>413.54750129999996</v>
      </c>
      <c r="BI21" s="77">
        <f t="shared" si="32"/>
        <v>20.2367685</v>
      </c>
      <c r="BJ21" s="79"/>
      <c r="BK21" s="78">
        <f t="shared" si="109"/>
        <v>70.57350000000001</v>
      </c>
      <c r="BL21" s="78">
        <f t="shared" si="33"/>
        <v>6201.1240686</v>
      </c>
      <c r="BM21" s="78">
        <f t="shared" si="34"/>
        <v>6271.6975686000005</v>
      </c>
      <c r="BN21" s="78">
        <f t="shared" si="35"/>
        <v>1293.6545991</v>
      </c>
      <c r="BO21" s="77">
        <f t="shared" si="36"/>
        <v>63.304429500000005</v>
      </c>
      <c r="BP21" s="79"/>
      <c r="BQ21" s="78">
        <f t="shared" si="110"/>
        <v>35.789500000000004</v>
      </c>
      <c r="BR21" s="78">
        <f t="shared" si="37"/>
        <v>3144.7374702</v>
      </c>
      <c r="BS21" s="78">
        <f t="shared" si="38"/>
        <v>3180.5269702</v>
      </c>
      <c r="BT21" s="78">
        <f t="shared" si="39"/>
        <v>656.0430087</v>
      </c>
      <c r="BU21" s="77">
        <f t="shared" si="40"/>
        <v>32.1031815</v>
      </c>
      <c r="BV21" s="79"/>
      <c r="BW21" s="78">
        <f t="shared" si="111"/>
        <v>6.9505</v>
      </c>
      <c r="BX21" s="78">
        <f t="shared" si="41"/>
        <v>610.7237537999999</v>
      </c>
      <c r="BY21" s="78">
        <f t="shared" si="42"/>
        <v>617.6742538</v>
      </c>
      <c r="BZ21" s="78">
        <f t="shared" si="43"/>
        <v>127.4068353</v>
      </c>
      <c r="CA21" s="77">
        <f t="shared" si="44"/>
        <v>6.2345985</v>
      </c>
      <c r="CB21" s="79"/>
      <c r="CC21" s="78">
        <f t="shared" si="112"/>
        <v>27.617000000000004</v>
      </c>
      <c r="CD21" s="78">
        <f t="shared" si="45"/>
        <v>2426.6395092000002</v>
      </c>
      <c r="CE21" s="78">
        <f t="shared" si="46"/>
        <v>2454.2565092000004</v>
      </c>
      <c r="CF21" s="78">
        <f t="shared" si="47"/>
        <v>506.23618020000004</v>
      </c>
      <c r="CG21" s="77">
        <f t="shared" si="48"/>
        <v>24.772449</v>
      </c>
      <c r="CH21" s="79"/>
      <c r="CI21" s="78">
        <f t="shared" si="113"/>
        <v>67.3565</v>
      </c>
      <c r="CJ21" s="78">
        <f t="shared" si="49"/>
        <v>5918.453999399999</v>
      </c>
      <c r="CK21" s="78">
        <f t="shared" si="50"/>
        <v>5985.810499399999</v>
      </c>
      <c r="CL21" s="78">
        <f t="shared" si="51"/>
        <v>1234.6850589</v>
      </c>
      <c r="CM21" s="77">
        <f t="shared" si="52"/>
        <v>60.418780500000004</v>
      </c>
      <c r="CN21" s="79"/>
      <c r="CO21" s="78">
        <f t="shared" si="114"/>
        <v>150.762</v>
      </c>
      <c r="CP21" s="78">
        <f t="shared" si="53"/>
        <v>13247.095111199998</v>
      </c>
      <c r="CQ21" s="78">
        <f t="shared" si="54"/>
        <v>13397.857111199999</v>
      </c>
      <c r="CR21" s="78">
        <f t="shared" si="55"/>
        <v>2763.5579172</v>
      </c>
      <c r="CS21" s="77">
        <f t="shared" si="56"/>
        <v>135.23351399999999</v>
      </c>
      <c r="CT21" s="79"/>
      <c r="CU21" s="78">
        <f t="shared" si="115"/>
        <v>22.8095</v>
      </c>
      <c r="CV21" s="78">
        <f t="shared" si="57"/>
        <v>2004.2160222</v>
      </c>
      <c r="CW21" s="78">
        <f t="shared" si="58"/>
        <v>2027.0255222</v>
      </c>
      <c r="CX21" s="78">
        <f t="shared" si="59"/>
        <v>418.1118207</v>
      </c>
      <c r="CY21" s="77">
        <f t="shared" si="60"/>
        <v>20.4601215</v>
      </c>
      <c r="CZ21" s="79"/>
      <c r="DA21" s="78">
        <f t="shared" si="116"/>
        <v>65.5395</v>
      </c>
      <c r="DB21" s="78">
        <f t="shared" si="61"/>
        <v>5758.7985702</v>
      </c>
      <c r="DC21" s="78">
        <f t="shared" si="62"/>
        <v>5824.3380701999995</v>
      </c>
      <c r="DD21" s="78">
        <f t="shared" si="63"/>
        <v>1201.3783587</v>
      </c>
      <c r="DE21" s="77">
        <f t="shared" si="64"/>
        <v>58.788931500000004</v>
      </c>
      <c r="DF21" s="79"/>
      <c r="DG21" s="78">
        <f t="shared" si="117"/>
        <v>2.5254999999999996</v>
      </c>
      <c r="DH21" s="78">
        <f t="shared" si="65"/>
        <v>221.90962380000002</v>
      </c>
      <c r="DI21" s="78">
        <f t="shared" si="66"/>
        <v>224.4351238</v>
      </c>
      <c r="DJ21" s="78">
        <f t="shared" si="67"/>
        <v>46.2939303</v>
      </c>
      <c r="DK21" s="77">
        <f t="shared" si="68"/>
        <v>2.2653735</v>
      </c>
      <c r="DL21" s="79"/>
      <c r="DM21" s="90">
        <f t="shared" si="118"/>
        <v>138.259</v>
      </c>
      <c r="DN21" s="90">
        <f t="shared" si="69"/>
        <v>12148.4865084</v>
      </c>
      <c r="DO21" s="90">
        <f t="shared" si="70"/>
        <v>12286.7455084</v>
      </c>
      <c r="DP21" s="90">
        <f t="shared" si="71"/>
        <v>2534.3704254</v>
      </c>
      <c r="DQ21" s="94">
        <f t="shared" si="72"/>
        <v>124.01832300000001</v>
      </c>
      <c r="DR21" s="79"/>
      <c r="DS21" s="78">
        <f t="shared" si="119"/>
        <v>21.767</v>
      </c>
      <c r="DT21" s="78">
        <f t="shared" si="73"/>
        <v>1912.6140492</v>
      </c>
      <c r="DU21" s="78">
        <f t="shared" si="74"/>
        <v>1934.3810492</v>
      </c>
      <c r="DV21" s="78">
        <f t="shared" si="75"/>
        <v>399.0021702</v>
      </c>
      <c r="DW21" s="77">
        <f t="shared" si="76"/>
        <v>19.524999</v>
      </c>
      <c r="DX21" s="79"/>
      <c r="DY21" s="78">
        <f t="shared" si="120"/>
        <v>112.01449999999998</v>
      </c>
      <c r="DZ21" s="78">
        <f t="shared" si="77"/>
        <v>9842.4452802</v>
      </c>
      <c r="EA21" s="78">
        <f t="shared" si="78"/>
        <v>9954.459780199999</v>
      </c>
      <c r="EB21" s="78">
        <f t="shared" si="79"/>
        <v>2053.2929937</v>
      </c>
      <c r="EC21" s="77">
        <f t="shared" si="80"/>
        <v>100.4770065</v>
      </c>
      <c r="ED21" s="79"/>
      <c r="EE21" s="78">
        <f t="shared" si="121"/>
        <v>31.979</v>
      </c>
      <c r="EF21" s="78">
        <f t="shared" si="81"/>
        <v>2809.9179804</v>
      </c>
      <c r="EG21" s="78">
        <f t="shared" si="82"/>
        <v>2841.8969804</v>
      </c>
      <c r="EH21" s="78">
        <f t="shared" si="83"/>
        <v>586.1942574</v>
      </c>
      <c r="EI21" s="77">
        <f t="shared" si="84"/>
        <v>28.685163</v>
      </c>
      <c r="EJ21" s="79"/>
      <c r="EK21" s="78">
        <f t="shared" si="122"/>
        <v>0.321</v>
      </c>
      <c r="EL21" s="78">
        <f t="shared" si="85"/>
        <v>28.205499600000003</v>
      </c>
      <c r="EM21" s="78">
        <f t="shared" si="86"/>
        <v>28.526499600000005</v>
      </c>
      <c r="EN21" s="78">
        <f t="shared" si="87"/>
        <v>5.8841226</v>
      </c>
      <c r="EO21" s="77">
        <f t="shared" si="88"/>
        <v>0.287937</v>
      </c>
      <c r="EP21" s="79"/>
      <c r="EQ21" s="78">
        <f t="shared" si="123"/>
        <v>0.596</v>
      </c>
      <c r="ER21" s="78">
        <f t="shared" si="89"/>
        <v>52.369089599999995</v>
      </c>
      <c r="ES21" s="78">
        <f t="shared" si="90"/>
        <v>52.96508959999999</v>
      </c>
      <c r="ET21" s="78">
        <f t="shared" si="91"/>
        <v>10.9250376</v>
      </c>
      <c r="EU21" s="77">
        <f t="shared" si="92"/>
        <v>0.534612</v>
      </c>
      <c r="EV21" s="79"/>
      <c r="EW21" s="78">
        <f t="shared" si="124"/>
        <v>107.738</v>
      </c>
      <c r="EX21" s="78">
        <f t="shared" si="93"/>
        <v>9466.6794888</v>
      </c>
      <c r="EY21" s="78">
        <f t="shared" si="94"/>
        <v>9574.4174888</v>
      </c>
      <c r="EZ21" s="78">
        <f t="shared" si="95"/>
        <v>1974.9021828</v>
      </c>
      <c r="FA21" s="77">
        <f t="shared" si="96"/>
        <v>96.640986</v>
      </c>
      <c r="FB21" s="79"/>
      <c r="FC21" s="78">
        <f t="shared" si="125"/>
        <v>200.25799999999998</v>
      </c>
      <c r="FD21" s="78">
        <f t="shared" si="97"/>
        <v>17596.1898408</v>
      </c>
      <c r="FE21" s="78">
        <f t="shared" si="98"/>
        <v>17796.447840800003</v>
      </c>
      <c r="FF21" s="78">
        <f t="shared" si="99"/>
        <v>3670.8492948</v>
      </c>
      <c r="FG21" s="77">
        <f t="shared" si="100"/>
        <v>179.631426</v>
      </c>
      <c r="FH21" s="79"/>
      <c r="FI21" s="80"/>
      <c r="FJ21" s="78"/>
      <c r="FK21" s="78"/>
      <c r="FL21" s="78"/>
      <c r="FM21" s="77">
        <f t="shared" si="101"/>
        <v>0</v>
      </c>
    </row>
    <row r="22" spans="1:169" s="52" customFormat="1" ht="12">
      <c r="A22" s="51">
        <v>44470</v>
      </c>
      <c r="C22" s="42"/>
      <c r="D22" s="42">
        <v>439263</v>
      </c>
      <c r="E22" s="77">
        <f t="shared" si="0"/>
        <v>439263</v>
      </c>
      <c r="F22" s="77">
        <v>91653</v>
      </c>
      <c r="G22" s="77">
        <v>4485</v>
      </c>
      <c r="H22" s="79"/>
      <c r="I22" s="79">
        <f>'2011B Academic'!I22</f>
        <v>0</v>
      </c>
      <c r="J22" s="79">
        <f>'2011B Academic'!J22</f>
        <v>238443.33331170003</v>
      </c>
      <c r="K22" s="79">
        <f t="shared" si="1"/>
        <v>238443.33331170003</v>
      </c>
      <c r="L22" s="79">
        <f>'2011B Academic'!L22</f>
        <v>49751.6222127</v>
      </c>
      <c r="M22" s="79">
        <f>'2011B Academic'!M22</f>
        <v>2434.5741615</v>
      </c>
      <c r="N22" s="79"/>
      <c r="O22" s="78">
        <f t="shared" si="2"/>
        <v>0</v>
      </c>
      <c r="P22" s="80">
        <f t="shared" si="2"/>
        <v>200819.6666883</v>
      </c>
      <c r="Q22" s="78">
        <f t="shared" si="3"/>
        <v>200819.6666883</v>
      </c>
      <c r="R22" s="78">
        <f t="shared" si="4"/>
        <v>41901.37778729999</v>
      </c>
      <c r="S22" s="78">
        <f t="shared" si="4"/>
        <v>2050.4258385</v>
      </c>
      <c r="T22" s="79"/>
      <c r="U22" s="78"/>
      <c r="V22" s="77">
        <f t="shared" si="5"/>
        <v>35898.329412</v>
      </c>
      <c r="W22" s="78">
        <f t="shared" si="6"/>
        <v>35898.329412</v>
      </c>
      <c r="X22" s="78">
        <f t="shared" si="7"/>
        <v>7490.249772</v>
      </c>
      <c r="Y22" s="77">
        <f t="shared" si="8"/>
        <v>366.53214</v>
      </c>
      <c r="Z22" s="79"/>
      <c r="AA22" s="78"/>
      <c r="AB22" s="78">
        <f t="shared" si="9"/>
        <v>26164.5248898</v>
      </c>
      <c r="AC22" s="78">
        <f t="shared" si="10"/>
        <v>26164.5248898</v>
      </c>
      <c r="AD22" s="78">
        <f t="shared" si="11"/>
        <v>5459.2742838</v>
      </c>
      <c r="AE22" s="77">
        <f t="shared" si="12"/>
        <v>267.14723100000003</v>
      </c>
      <c r="AF22" s="79"/>
      <c r="AG22" s="78"/>
      <c r="AH22" s="78">
        <f t="shared" si="13"/>
        <v>13872.101245200001</v>
      </c>
      <c r="AI22" s="78">
        <f t="shared" si="14"/>
        <v>13872.101245200001</v>
      </c>
      <c r="AJ22" s="78">
        <f t="shared" si="15"/>
        <v>2894.4384012</v>
      </c>
      <c r="AK22" s="77">
        <f t="shared" si="16"/>
        <v>141.638094</v>
      </c>
      <c r="AL22" s="79"/>
      <c r="AM22" s="78"/>
      <c r="AN22" s="78">
        <f t="shared" si="17"/>
        <v>10088.992584</v>
      </c>
      <c r="AO22" s="78">
        <f t="shared" si="18"/>
        <v>10088.992584</v>
      </c>
      <c r="AP22" s="78">
        <f t="shared" si="19"/>
        <v>2105.086104</v>
      </c>
      <c r="AQ22" s="77">
        <f t="shared" si="20"/>
        <v>103.01147999999999</v>
      </c>
      <c r="AR22" s="79"/>
      <c r="AS22" s="78"/>
      <c r="AT22" s="78">
        <f t="shared" si="21"/>
        <v>1155.6570267</v>
      </c>
      <c r="AU22" s="78">
        <f t="shared" si="22"/>
        <v>1155.6570267</v>
      </c>
      <c r="AV22" s="78">
        <f t="shared" si="23"/>
        <v>241.12987769999998</v>
      </c>
      <c r="AW22" s="77">
        <f t="shared" si="24"/>
        <v>11.799586499999998</v>
      </c>
      <c r="AX22" s="79"/>
      <c r="AY22" s="78"/>
      <c r="AZ22" s="78">
        <f t="shared" si="25"/>
        <v>18283.3999227</v>
      </c>
      <c r="BA22" s="78">
        <f t="shared" si="26"/>
        <v>18283.3999227</v>
      </c>
      <c r="BB22" s="78">
        <f t="shared" si="27"/>
        <v>3814.8636536999998</v>
      </c>
      <c r="BC22" s="77">
        <f t="shared" si="28"/>
        <v>186.67870649999998</v>
      </c>
      <c r="BD22" s="79"/>
      <c r="BE22" s="78"/>
      <c r="BF22" s="78">
        <f t="shared" si="29"/>
        <v>1981.9985823000002</v>
      </c>
      <c r="BG22" s="78">
        <f t="shared" si="30"/>
        <v>1981.9985823000002</v>
      </c>
      <c r="BH22" s="78">
        <f t="shared" si="31"/>
        <v>413.54750129999996</v>
      </c>
      <c r="BI22" s="77">
        <f t="shared" si="32"/>
        <v>20.2367685</v>
      </c>
      <c r="BJ22" s="79"/>
      <c r="BK22" s="78"/>
      <c r="BL22" s="78">
        <f t="shared" si="33"/>
        <v>6200.0654661</v>
      </c>
      <c r="BM22" s="78">
        <f t="shared" si="34"/>
        <v>6200.0654661</v>
      </c>
      <c r="BN22" s="78">
        <f t="shared" si="35"/>
        <v>1293.6545991</v>
      </c>
      <c r="BO22" s="77">
        <f t="shared" si="36"/>
        <v>63.304429500000005</v>
      </c>
      <c r="BP22" s="79"/>
      <c r="BQ22" s="78"/>
      <c r="BR22" s="78">
        <f t="shared" si="37"/>
        <v>3144.2006277</v>
      </c>
      <c r="BS22" s="78">
        <f t="shared" si="38"/>
        <v>3144.2006277</v>
      </c>
      <c r="BT22" s="78">
        <f t="shared" si="39"/>
        <v>656.0430087</v>
      </c>
      <c r="BU22" s="77">
        <f t="shared" si="40"/>
        <v>32.1031815</v>
      </c>
      <c r="BV22" s="79"/>
      <c r="BW22" s="78"/>
      <c r="BX22" s="78">
        <f t="shared" si="41"/>
        <v>610.6194962999999</v>
      </c>
      <c r="BY22" s="78">
        <f t="shared" si="42"/>
        <v>610.6194962999999</v>
      </c>
      <c r="BZ22" s="78">
        <f t="shared" si="43"/>
        <v>127.4068353</v>
      </c>
      <c r="CA22" s="77">
        <f t="shared" si="44"/>
        <v>6.2345985</v>
      </c>
      <c r="CB22" s="79"/>
      <c r="CC22" s="78"/>
      <c r="CD22" s="78">
        <f t="shared" si="45"/>
        <v>2426.2252542</v>
      </c>
      <c r="CE22" s="78">
        <f t="shared" si="46"/>
        <v>2426.2252542</v>
      </c>
      <c r="CF22" s="78">
        <f t="shared" si="47"/>
        <v>506.23618020000004</v>
      </c>
      <c r="CG22" s="77">
        <f t="shared" si="48"/>
        <v>24.772449</v>
      </c>
      <c r="CH22" s="79"/>
      <c r="CI22" s="78"/>
      <c r="CJ22" s="78">
        <f t="shared" si="49"/>
        <v>5917.443651899999</v>
      </c>
      <c r="CK22" s="78">
        <f t="shared" si="50"/>
        <v>5917.443651899999</v>
      </c>
      <c r="CL22" s="78">
        <f t="shared" si="51"/>
        <v>1234.6850589</v>
      </c>
      <c r="CM22" s="77">
        <f t="shared" si="52"/>
        <v>60.418780500000004</v>
      </c>
      <c r="CN22" s="79"/>
      <c r="CO22" s="78"/>
      <c r="CP22" s="78">
        <f t="shared" si="53"/>
        <v>13244.8336812</v>
      </c>
      <c r="CQ22" s="78">
        <f t="shared" si="54"/>
        <v>13244.8336812</v>
      </c>
      <c r="CR22" s="78">
        <f t="shared" si="55"/>
        <v>2763.5579172</v>
      </c>
      <c r="CS22" s="77">
        <f t="shared" si="56"/>
        <v>135.23351399999999</v>
      </c>
      <c r="CT22" s="79"/>
      <c r="CU22" s="78"/>
      <c r="CV22" s="78">
        <f t="shared" si="57"/>
        <v>2003.8738796999999</v>
      </c>
      <c r="CW22" s="78">
        <f t="shared" si="58"/>
        <v>2003.8738796999999</v>
      </c>
      <c r="CX22" s="78">
        <f t="shared" si="59"/>
        <v>418.1118207</v>
      </c>
      <c r="CY22" s="77">
        <f t="shared" si="60"/>
        <v>20.4601215</v>
      </c>
      <c r="CZ22" s="79"/>
      <c r="DA22" s="78"/>
      <c r="DB22" s="78">
        <f t="shared" si="61"/>
        <v>5757.815477699999</v>
      </c>
      <c r="DC22" s="78">
        <f t="shared" si="62"/>
        <v>5757.815477699999</v>
      </c>
      <c r="DD22" s="78">
        <f t="shared" si="63"/>
        <v>1201.3783587</v>
      </c>
      <c r="DE22" s="77">
        <f t="shared" si="64"/>
        <v>58.788931500000004</v>
      </c>
      <c r="DF22" s="79"/>
      <c r="DG22" s="78"/>
      <c r="DH22" s="78">
        <f t="shared" si="65"/>
        <v>221.8717413</v>
      </c>
      <c r="DI22" s="78">
        <f t="shared" si="66"/>
        <v>221.8717413</v>
      </c>
      <c r="DJ22" s="78">
        <f t="shared" si="67"/>
        <v>46.2939303</v>
      </c>
      <c r="DK22" s="77">
        <f t="shared" si="68"/>
        <v>2.2653735</v>
      </c>
      <c r="DL22" s="79"/>
      <c r="DM22" s="90"/>
      <c r="DN22" s="90">
        <f t="shared" si="69"/>
        <v>12146.4126234</v>
      </c>
      <c r="DO22" s="90">
        <f t="shared" si="70"/>
        <v>12146.4126234</v>
      </c>
      <c r="DP22" s="90">
        <f t="shared" si="71"/>
        <v>2534.3704254</v>
      </c>
      <c r="DQ22" s="94">
        <f t="shared" si="72"/>
        <v>124.01832300000001</v>
      </c>
      <c r="DR22" s="79"/>
      <c r="DS22" s="78"/>
      <c r="DT22" s="78">
        <f t="shared" si="73"/>
        <v>1912.2875442000002</v>
      </c>
      <c r="DU22" s="78">
        <f t="shared" si="74"/>
        <v>1912.2875442000002</v>
      </c>
      <c r="DV22" s="78">
        <f t="shared" si="75"/>
        <v>399.0021702</v>
      </c>
      <c r="DW22" s="77">
        <f t="shared" si="76"/>
        <v>19.524999</v>
      </c>
      <c r="DX22" s="79"/>
      <c r="DY22" s="78"/>
      <c r="DZ22" s="78">
        <f t="shared" si="77"/>
        <v>9840.765062699998</v>
      </c>
      <c r="EA22" s="78">
        <f t="shared" si="78"/>
        <v>9840.765062699998</v>
      </c>
      <c r="EB22" s="78">
        <f t="shared" si="79"/>
        <v>2053.2929937</v>
      </c>
      <c r="EC22" s="77">
        <f t="shared" si="80"/>
        <v>100.4770065</v>
      </c>
      <c r="ED22" s="79"/>
      <c r="EE22" s="78"/>
      <c r="EF22" s="78">
        <f t="shared" si="81"/>
        <v>2809.4382954000002</v>
      </c>
      <c r="EG22" s="78">
        <f t="shared" si="82"/>
        <v>2809.4382954000002</v>
      </c>
      <c r="EH22" s="78">
        <f t="shared" si="83"/>
        <v>586.1942574</v>
      </c>
      <c r="EI22" s="77">
        <f t="shared" si="84"/>
        <v>28.685163</v>
      </c>
      <c r="EJ22" s="79"/>
      <c r="EK22" s="78"/>
      <c r="EL22" s="78">
        <f t="shared" si="85"/>
        <v>28.2006846</v>
      </c>
      <c r="EM22" s="78">
        <f t="shared" si="86"/>
        <v>28.2006846</v>
      </c>
      <c r="EN22" s="78">
        <f t="shared" si="87"/>
        <v>5.8841226</v>
      </c>
      <c r="EO22" s="77">
        <f t="shared" si="88"/>
        <v>0.287937</v>
      </c>
      <c r="EP22" s="79"/>
      <c r="EQ22" s="78"/>
      <c r="ER22" s="78">
        <f t="shared" si="89"/>
        <v>52.36014960000001</v>
      </c>
      <c r="ES22" s="78">
        <f t="shared" si="90"/>
        <v>52.36014960000001</v>
      </c>
      <c r="ET22" s="78">
        <f t="shared" si="91"/>
        <v>10.9250376</v>
      </c>
      <c r="EU22" s="77">
        <f t="shared" si="92"/>
        <v>0.534612</v>
      </c>
      <c r="EV22" s="79"/>
      <c r="EW22" s="78"/>
      <c r="EX22" s="78">
        <f t="shared" si="93"/>
        <v>9465.0634188</v>
      </c>
      <c r="EY22" s="78">
        <f t="shared" si="94"/>
        <v>9465.0634188</v>
      </c>
      <c r="EZ22" s="78">
        <f t="shared" si="95"/>
        <v>1974.9021828</v>
      </c>
      <c r="FA22" s="77">
        <f t="shared" si="96"/>
        <v>96.640986</v>
      </c>
      <c r="FB22" s="79"/>
      <c r="FC22" s="78"/>
      <c r="FD22" s="78">
        <f t="shared" si="97"/>
        <v>17593.1859708</v>
      </c>
      <c r="FE22" s="78">
        <f t="shared" si="98"/>
        <v>17593.1859708</v>
      </c>
      <c r="FF22" s="78">
        <f t="shared" si="99"/>
        <v>3670.8492948</v>
      </c>
      <c r="FG22" s="77">
        <f t="shared" si="100"/>
        <v>179.631426</v>
      </c>
      <c r="FH22" s="79"/>
      <c r="FI22" s="80"/>
      <c r="FJ22" s="78"/>
      <c r="FK22" s="78"/>
      <c r="FL22" s="78"/>
      <c r="FM22" s="77">
        <f t="shared" si="101"/>
        <v>0</v>
      </c>
    </row>
    <row r="23" spans="1:169" s="52" customFormat="1" ht="12">
      <c r="A23" s="51">
        <v>44652</v>
      </c>
      <c r="C23" s="42">
        <v>6225000</v>
      </c>
      <c r="D23" s="42">
        <v>439263</v>
      </c>
      <c r="E23" s="77">
        <f t="shared" si="0"/>
        <v>6664263</v>
      </c>
      <c r="F23" s="77">
        <v>91653</v>
      </c>
      <c r="G23" s="77">
        <v>4485</v>
      </c>
      <c r="H23" s="79"/>
      <c r="I23" s="79">
        <f>'2011B Academic'!I23</f>
        <v>3379091.2275</v>
      </c>
      <c r="J23" s="79">
        <f>'2011B Academic'!J23</f>
        <v>238443.33331170003</v>
      </c>
      <c r="K23" s="79">
        <f t="shared" si="1"/>
        <v>3617534.5608117003</v>
      </c>
      <c r="L23" s="79">
        <f>'2011B Academic'!L23</f>
        <v>49751.6222127</v>
      </c>
      <c r="M23" s="79">
        <f>'2011B Academic'!M23</f>
        <v>2434.5741615</v>
      </c>
      <c r="N23" s="79"/>
      <c r="O23" s="78">
        <f t="shared" si="2"/>
        <v>2845908.7725</v>
      </c>
      <c r="P23" s="80">
        <f t="shared" si="2"/>
        <v>200819.6666883</v>
      </c>
      <c r="Q23" s="78">
        <f t="shared" si="3"/>
        <v>3046728.4391883</v>
      </c>
      <c r="R23" s="78">
        <f t="shared" si="4"/>
        <v>41901.37778729999</v>
      </c>
      <c r="S23" s="78">
        <f t="shared" si="4"/>
        <v>2050.4258385</v>
      </c>
      <c r="T23" s="79"/>
      <c r="U23" s="78">
        <f t="shared" si="102"/>
        <v>508731.9</v>
      </c>
      <c r="V23" s="77">
        <f t="shared" si="5"/>
        <v>35898.329412</v>
      </c>
      <c r="W23" s="78">
        <f t="shared" si="6"/>
        <v>544630.229412</v>
      </c>
      <c r="X23" s="78">
        <f t="shared" si="7"/>
        <v>7490.249772</v>
      </c>
      <c r="Y23" s="77">
        <f t="shared" si="8"/>
        <v>366.53214</v>
      </c>
      <c r="Z23" s="79"/>
      <c r="AA23" s="78">
        <f t="shared" si="103"/>
        <v>370789.635</v>
      </c>
      <c r="AB23" s="78">
        <f t="shared" si="9"/>
        <v>26164.5248898</v>
      </c>
      <c r="AC23" s="78">
        <f t="shared" si="10"/>
        <v>396954.1598898</v>
      </c>
      <c r="AD23" s="78">
        <f t="shared" si="11"/>
        <v>5459.2742838</v>
      </c>
      <c r="AE23" s="77">
        <f t="shared" si="12"/>
        <v>267.14723100000003</v>
      </c>
      <c r="AF23" s="79"/>
      <c r="AG23" s="78">
        <f t="shared" si="104"/>
        <v>196587.99</v>
      </c>
      <c r="AH23" s="78">
        <f t="shared" si="13"/>
        <v>13872.101245200001</v>
      </c>
      <c r="AI23" s="78">
        <f t="shared" si="14"/>
        <v>210460.0912452</v>
      </c>
      <c r="AJ23" s="78">
        <f t="shared" si="15"/>
        <v>2894.4384012</v>
      </c>
      <c r="AK23" s="77">
        <f t="shared" si="16"/>
        <v>141.638094</v>
      </c>
      <c r="AL23" s="79"/>
      <c r="AM23" s="78">
        <f t="shared" si="105"/>
        <v>142975.80000000002</v>
      </c>
      <c r="AN23" s="78">
        <f t="shared" si="17"/>
        <v>10088.992584</v>
      </c>
      <c r="AO23" s="78">
        <f t="shared" si="18"/>
        <v>153064.792584</v>
      </c>
      <c r="AP23" s="78">
        <f t="shared" si="19"/>
        <v>2105.086104</v>
      </c>
      <c r="AQ23" s="77">
        <f t="shared" si="20"/>
        <v>103.01147999999999</v>
      </c>
      <c r="AR23" s="79"/>
      <c r="AS23" s="78">
        <f t="shared" si="106"/>
        <v>16377.3525</v>
      </c>
      <c r="AT23" s="78">
        <f t="shared" si="21"/>
        <v>1155.6570267</v>
      </c>
      <c r="AU23" s="78">
        <f t="shared" si="22"/>
        <v>17533.0095267</v>
      </c>
      <c r="AV23" s="78">
        <f t="shared" si="23"/>
        <v>241.12987769999998</v>
      </c>
      <c r="AW23" s="77">
        <f t="shared" si="24"/>
        <v>11.799586499999998</v>
      </c>
      <c r="AX23" s="79"/>
      <c r="AY23" s="78">
        <f t="shared" si="107"/>
        <v>259102.55249999996</v>
      </c>
      <c r="AZ23" s="78">
        <f t="shared" si="25"/>
        <v>18283.3999227</v>
      </c>
      <c r="BA23" s="78">
        <f t="shared" si="26"/>
        <v>277385.95242269995</v>
      </c>
      <c r="BB23" s="78">
        <f t="shared" si="27"/>
        <v>3814.8636536999998</v>
      </c>
      <c r="BC23" s="77">
        <f t="shared" si="28"/>
        <v>186.67870649999998</v>
      </c>
      <c r="BD23" s="79"/>
      <c r="BE23" s="78">
        <f t="shared" si="108"/>
        <v>28087.8225</v>
      </c>
      <c r="BF23" s="78">
        <f t="shared" si="29"/>
        <v>1981.9985823000002</v>
      </c>
      <c r="BG23" s="78">
        <f t="shared" si="30"/>
        <v>30069.821082299997</v>
      </c>
      <c r="BH23" s="78">
        <f t="shared" si="31"/>
        <v>413.54750129999996</v>
      </c>
      <c r="BI23" s="77">
        <f t="shared" si="32"/>
        <v>20.2367685</v>
      </c>
      <c r="BJ23" s="79"/>
      <c r="BK23" s="78">
        <f t="shared" si="109"/>
        <v>87864.0075</v>
      </c>
      <c r="BL23" s="78">
        <f t="shared" si="33"/>
        <v>6200.0654661</v>
      </c>
      <c r="BM23" s="78">
        <f t="shared" si="34"/>
        <v>94064.07296610001</v>
      </c>
      <c r="BN23" s="78">
        <f t="shared" si="35"/>
        <v>1293.6545991</v>
      </c>
      <c r="BO23" s="77">
        <f t="shared" si="36"/>
        <v>63.304429500000005</v>
      </c>
      <c r="BP23" s="79"/>
      <c r="BQ23" s="78">
        <f t="shared" si="110"/>
        <v>44557.9275</v>
      </c>
      <c r="BR23" s="78">
        <f t="shared" si="37"/>
        <v>3144.2006277</v>
      </c>
      <c r="BS23" s="78">
        <f t="shared" si="38"/>
        <v>47702.128127699994</v>
      </c>
      <c r="BT23" s="78">
        <f t="shared" si="39"/>
        <v>656.0430087</v>
      </c>
      <c r="BU23" s="77">
        <f t="shared" si="40"/>
        <v>32.1031815</v>
      </c>
      <c r="BV23" s="79"/>
      <c r="BW23" s="78">
        <f t="shared" si="111"/>
        <v>8653.3725</v>
      </c>
      <c r="BX23" s="78">
        <f t="shared" si="41"/>
        <v>610.6194962999999</v>
      </c>
      <c r="BY23" s="78">
        <f t="shared" si="42"/>
        <v>9263.9919963</v>
      </c>
      <c r="BZ23" s="78">
        <f t="shared" si="43"/>
        <v>127.4068353</v>
      </c>
      <c r="CA23" s="77">
        <f t="shared" si="44"/>
        <v>6.2345985</v>
      </c>
      <c r="CB23" s="79"/>
      <c r="CC23" s="78">
        <f t="shared" si="112"/>
        <v>34383.16500000001</v>
      </c>
      <c r="CD23" s="78">
        <f t="shared" si="45"/>
        <v>2426.2252542</v>
      </c>
      <c r="CE23" s="78">
        <f t="shared" si="46"/>
        <v>36809.39025420001</v>
      </c>
      <c r="CF23" s="78">
        <f t="shared" si="47"/>
        <v>506.23618020000004</v>
      </c>
      <c r="CG23" s="77">
        <f t="shared" si="48"/>
        <v>24.772449</v>
      </c>
      <c r="CH23" s="79"/>
      <c r="CI23" s="78">
        <f t="shared" si="113"/>
        <v>83858.8425</v>
      </c>
      <c r="CJ23" s="78">
        <f t="shared" si="49"/>
        <v>5917.443651899999</v>
      </c>
      <c r="CK23" s="78">
        <f t="shared" si="50"/>
        <v>89776.2861519</v>
      </c>
      <c r="CL23" s="78">
        <f t="shared" si="51"/>
        <v>1234.6850589</v>
      </c>
      <c r="CM23" s="77">
        <f t="shared" si="52"/>
        <v>60.418780500000004</v>
      </c>
      <c r="CN23" s="79"/>
      <c r="CO23" s="78">
        <f t="shared" si="114"/>
        <v>187698.69</v>
      </c>
      <c r="CP23" s="78">
        <f t="shared" si="53"/>
        <v>13244.8336812</v>
      </c>
      <c r="CQ23" s="78">
        <f t="shared" si="54"/>
        <v>200943.5236812</v>
      </c>
      <c r="CR23" s="78">
        <f t="shared" si="55"/>
        <v>2763.5579172</v>
      </c>
      <c r="CS23" s="77">
        <f t="shared" si="56"/>
        <v>135.23351399999999</v>
      </c>
      <c r="CT23" s="79"/>
      <c r="CU23" s="78">
        <f t="shared" si="115"/>
        <v>28397.8275</v>
      </c>
      <c r="CV23" s="78">
        <f t="shared" si="57"/>
        <v>2003.8738796999999</v>
      </c>
      <c r="CW23" s="78">
        <f t="shared" si="58"/>
        <v>30401.7013797</v>
      </c>
      <c r="CX23" s="78">
        <f t="shared" si="59"/>
        <v>418.1118207</v>
      </c>
      <c r="CY23" s="77">
        <f t="shared" si="60"/>
        <v>20.4601215</v>
      </c>
      <c r="CZ23" s="79"/>
      <c r="DA23" s="78">
        <f t="shared" si="116"/>
        <v>81596.67749999999</v>
      </c>
      <c r="DB23" s="78">
        <f t="shared" si="61"/>
        <v>5757.815477699999</v>
      </c>
      <c r="DC23" s="78">
        <f t="shared" si="62"/>
        <v>87354.49297769999</v>
      </c>
      <c r="DD23" s="78">
        <f t="shared" si="63"/>
        <v>1201.3783587</v>
      </c>
      <c r="DE23" s="77">
        <f t="shared" si="64"/>
        <v>58.788931500000004</v>
      </c>
      <c r="DF23" s="79"/>
      <c r="DG23" s="78">
        <f t="shared" si="117"/>
        <v>3144.2475</v>
      </c>
      <c r="DH23" s="78">
        <f t="shared" si="65"/>
        <v>221.8717413</v>
      </c>
      <c r="DI23" s="78">
        <f t="shared" si="66"/>
        <v>3366.1192413</v>
      </c>
      <c r="DJ23" s="78">
        <f t="shared" si="67"/>
        <v>46.2939303</v>
      </c>
      <c r="DK23" s="77">
        <f t="shared" si="68"/>
        <v>2.2653735</v>
      </c>
      <c r="DL23" s="79"/>
      <c r="DM23" s="90">
        <f t="shared" si="118"/>
        <v>172132.455</v>
      </c>
      <c r="DN23" s="90">
        <f t="shared" si="69"/>
        <v>12146.4126234</v>
      </c>
      <c r="DO23" s="90">
        <f t="shared" si="70"/>
        <v>184278.8676234</v>
      </c>
      <c r="DP23" s="90">
        <f t="shared" si="71"/>
        <v>2534.3704254</v>
      </c>
      <c r="DQ23" s="94">
        <f t="shared" si="72"/>
        <v>124.01832300000001</v>
      </c>
      <c r="DR23" s="79"/>
      <c r="DS23" s="78">
        <f t="shared" si="119"/>
        <v>27099.915</v>
      </c>
      <c r="DT23" s="78">
        <f t="shared" si="73"/>
        <v>1912.2875442000002</v>
      </c>
      <c r="DU23" s="78">
        <f t="shared" si="74"/>
        <v>29012.2025442</v>
      </c>
      <c r="DV23" s="78">
        <f t="shared" si="75"/>
        <v>399.0021702</v>
      </c>
      <c r="DW23" s="77">
        <f t="shared" si="76"/>
        <v>19.524999</v>
      </c>
      <c r="DX23" s="79"/>
      <c r="DY23" s="78">
        <f t="shared" si="120"/>
        <v>139458.0525</v>
      </c>
      <c r="DZ23" s="78">
        <f t="shared" si="77"/>
        <v>9840.765062699998</v>
      </c>
      <c r="EA23" s="78">
        <f t="shared" si="78"/>
        <v>149298.8175627</v>
      </c>
      <c r="EB23" s="78">
        <f t="shared" si="79"/>
        <v>2053.2929937</v>
      </c>
      <c r="EC23" s="77">
        <f t="shared" si="80"/>
        <v>100.4770065</v>
      </c>
      <c r="ED23" s="79"/>
      <c r="EE23" s="78">
        <f t="shared" si="121"/>
        <v>39813.855</v>
      </c>
      <c r="EF23" s="78">
        <f t="shared" si="81"/>
        <v>2809.4382954000002</v>
      </c>
      <c r="EG23" s="78">
        <f t="shared" si="82"/>
        <v>42623.293295400006</v>
      </c>
      <c r="EH23" s="78">
        <f t="shared" si="83"/>
        <v>586.1942574</v>
      </c>
      <c r="EI23" s="77">
        <f t="shared" si="84"/>
        <v>28.685163</v>
      </c>
      <c r="EJ23" s="79"/>
      <c r="EK23" s="78">
        <f t="shared" si="122"/>
        <v>399.645</v>
      </c>
      <c r="EL23" s="78">
        <f t="shared" si="85"/>
        <v>28.2006846</v>
      </c>
      <c r="EM23" s="78">
        <f t="shared" si="86"/>
        <v>427.84568459999997</v>
      </c>
      <c r="EN23" s="78">
        <f t="shared" si="87"/>
        <v>5.8841226</v>
      </c>
      <c r="EO23" s="77">
        <f t="shared" si="88"/>
        <v>0.287937</v>
      </c>
      <c r="EP23" s="79"/>
      <c r="EQ23" s="78">
        <f t="shared" si="123"/>
        <v>742.02</v>
      </c>
      <c r="ER23" s="78">
        <f t="shared" si="89"/>
        <v>52.36014960000001</v>
      </c>
      <c r="ES23" s="78">
        <f t="shared" si="90"/>
        <v>794.3801496</v>
      </c>
      <c r="ET23" s="78">
        <f t="shared" si="91"/>
        <v>10.9250376</v>
      </c>
      <c r="EU23" s="77">
        <f t="shared" si="92"/>
        <v>0.534612</v>
      </c>
      <c r="EV23" s="79"/>
      <c r="EW23" s="78">
        <f t="shared" si="124"/>
        <v>134133.81</v>
      </c>
      <c r="EX23" s="78">
        <f t="shared" si="93"/>
        <v>9465.0634188</v>
      </c>
      <c r="EY23" s="78">
        <f t="shared" si="94"/>
        <v>143598.8734188</v>
      </c>
      <c r="EZ23" s="78">
        <f t="shared" si="95"/>
        <v>1974.9021828</v>
      </c>
      <c r="FA23" s="77">
        <f t="shared" si="96"/>
        <v>96.640986</v>
      </c>
      <c r="FB23" s="79"/>
      <c r="FC23" s="78">
        <f t="shared" si="125"/>
        <v>249321.21</v>
      </c>
      <c r="FD23" s="78">
        <f t="shared" si="97"/>
        <v>17593.1859708</v>
      </c>
      <c r="FE23" s="78">
        <f t="shared" si="98"/>
        <v>266914.3959708</v>
      </c>
      <c r="FF23" s="78">
        <f t="shared" si="99"/>
        <v>3670.8492948</v>
      </c>
      <c r="FG23" s="77">
        <f t="shared" si="100"/>
        <v>179.631426</v>
      </c>
      <c r="FH23" s="79"/>
      <c r="FI23" s="80"/>
      <c r="FJ23" s="78"/>
      <c r="FK23" s="78"/>
      <c r="FL23" s="78"/>
      <c r="FM23" s="77">
        <f t="shared" si="101"/>
        <v>0</v>
      </c>
    </row>
    <row r="24" spans="1:169" s="52" customFormat="1" ht="12">
      <c r="A24" s="51">
        <v>44835</v>
      </c>
      <c r="C24" s="42"/>
      <c r="D24" s="42">
        <v>283638</v>
      </c>
      <c r="E24" s="77">
        <f t="shared" si="0"/>
        <v>283638</v>
      </c>
      <c r="F24" s="77">
        <v>91653</v>
      </c>
      <c r="G24" s="77">
        <v>4485</v>
      </c>
      <c r="H24" s="79"/>
      <c r="I24" s="79">
        <f>'2011B Academic'!I24</f>
        <v>0</v>
      </c>
      <c r="J24" s="79">
        <f>'2011B Academic'!J24</f>
        <v>153966.0526242</v>
      </c>
      <c r="K24" s="79">
        <f t="shared" si="1"/>
        <v>153966.0526242</v>
      </c>
      <c r="L24" s="79">
        <f>'2011B Academic'!L24</f>
        <v>49751.6222127</v>
      </c>
      <c r="M24" s="79">
        <f>'2011B Academic'!M24</f>
        <v>2434.5741615</v>
      </c>
      <c r="N24" s="79"/>
      <c r="O24" s="78">
        <f t="shared" si="2"/>
        <v>0</v>
      </c>
      <c r="P24" s="80">
        <f t="shared" si="2"/>
        <v>129671.94737580001</v>
      </c>
      <c r="Q24" s="78">
        <f t="shared" si="3"/>
        <v>129671.94737580001</v>
      </c>
      <c r="R24" s="78">
        <f t="shared" si="4"/>
        <v>41901.37778729999</v>
      </c>
      <c r="S24" s="78">
        <f t="shared" si="4"/>
        <v>2050.4258385</v>
      </c>
      <c r="T24" s="79"/>
      <c r="U24" s="78"/>
      <c r="V24" s="77">
        <f t="shared" si="5"/>
        <v>23180.031912</v>
      </c>
      <c r="W24" s="78">
        <f t="shared" si="6"/>
        <v>23180.031912</v>
      </c>
      <c r="X24" s="78">
        <f t="shared" si="7"/>
        <v>7490.249772</v>
      </c>
      <c r="Y24" s="77">
        <f t="shared" si="8"/>
        <v>366.53214</v>
      </c>
      <c r="Z24" s="79"/>
      <c r="AA24" s="78"/>
      <c r="AB24" s="78">
        <f t="shared" si="9"/>
        <v>16894.7840148</v>
      </c>
      <c r="AC24" s="78">
        <f t="shared" si="10"/>
        <v>16894.7840148</v>
      </c>
      <c r="AD24" s="78">
        <f t="shared" si="11"/>
        <v>5459.2742838</v>
      </c>
      <c r="AE24" s="77">
        <f t="shared" si="12"/>
        <v>267.14723100000003</v>
      </c>
      <c r="AF24" s="79"/>
      <c r="AG24" s="78"/>
      <c r="AH24" s="78">
        <f t="shared" si="13"/>
        <v>8957.401495200002</v>
      </c>
      <c r="AI24" s="78">
        <f t="shared" si="14"/>
        <v>8957.401495200002</v>
      </c>
      <c r="AJ24" s="78">
        <f t="shared" si="15"/>
        <v>2894.4384012</v>
      </c>
      <c r="AK24" s="77">
        <f t="shared" si="16"/>
        <v>141.638094</v>
      </c>
      <c r="AL24" s="79"/>
      <c r="AM24" s="78"/>
      <c r="AN24" s="78">
        <f t="shared" si="17"/>
        <v>6514.597584</v>
      </c>
      <c r="AO24" s="78">
        <f t="shared" si="18"/>
        <v>6514.597584</v>
      </c>
      <c r="AP24" s="78">
        <f t="shared" si="19"/>
        <v>2105.086104</v>
      </c>
      <c r="AQ24" s="77">
        <f t="shared" si="20"/>
        <v>103.01147999999999</v>
      </c>
      <c r="AR24" s="79"/>
      <c r="AS24" s="78"/>
      <c r="AT24" s="78">
        <f t="shared" si="21"/>
        <v>746.2232141999999</v>
      </c>
      <c r="AU24" s="78">
        <f t="shared" si="22"/>
        <v>746.2232141999999</v>
      </c>
      <c r="AV24" s="78">
        <f t="shared" si="23"/>
        <v>241.12987769999998</v>
      </c>
      <c r="AW24" s="77">
        <f t="shared" si="24"/>
        <v>11.799586499999998</v>
      </c>
      <c r="AX24" s="79"/>
      <c r="AY24" s="78"/>
      <c r="AZ24" s="78">
        <f t="shared" si="25"/>
        <v>11805.8361102</v>
      </c>
      <c r="BA24" s="78">
        <f t="shared" si="26"/>
        <v>11805.8361102</v>
      </c>
      <c r="BB24" s="78">
        <f t="shared" si="27"/>
        <v>3814.8636536999998</v>
      </c>
      <c r="BC24" s="77">
        <f t="shared" si="28"/>
        <v>186.67870649999998</v>
      </c>
      <c r="BD24" s="79"/>
      <c r="BE24" s="78"/>
      <c r="BF24" s="78">
        <f t="shared" si="29"/>
        <v>1279.8030198000001</v>
      </c>
      <c r="BG24" s="78">
        <f t="shared" si="30"/>
        <v>1279.8030198000001</v>
      </c>
      <c r="BH24" s="78">
        <f t="shared" si="31"/>
        <v>413.54750129999996</v>
      </c>
      <c r="BI24" s="77">
        <f t="shared" si="32"/>
        <v>20.2367685</v>
      </c>
      <c r="BJ24" s="79"/>
      <c r="BK24" s="78"/>
      <c r="BL24" s="78">
        <f t="shared" si="33"/>
        <v>4003.4652785999997</v>
      </c>
      <c r="BM24" s="78">
        <f t="shared" si="34"/>
        <v>4003.4652785999997</v>
      </c>
      <c r="BN24" s="78">
        <f t="shared" si="35"/>
        <v>1293.6545991</v>
      </c>
      <c r="BO24" s="77">
        <f t="shared" si="36"/>
        <v>63.304429500000005</v>
      </c>
      <c r="BP24" s="79"/>
      <c r="BQ24" s="78"/>
      <c r="BR24" s="78">
        <f t="shared" si="37"/>
        <v>2030.2524402000001</v>
      </c>
      <c r="BS24" s="78">
        <f t="shared" si="38"/>
        <v>2030.2524402000001</v>
      </c>
      <c r="BT24" s="78">
        <f t="shared" si="39"/>
        <v>656.0430087</v>
      </c>
      <c r="BU24" s="77">
        <f t="shared" si="40"/>
        <v>32.1031815</v>
      </c>
      <c r="BV24" s="79"/>
      <c r="BW24" s="78"/>
      <c r="BX24" s="78">
        <f t="shared" si="41"/>
        <v>394.2851838</v>
      </c>
      <c r="BY24" s="78">
        <f t="shared" si="42"/>
        <v>394.2851838</v>
      </c>
      <c r="BZ24" s="78">
        <f t="shared" si="43"/>
        <v>127.4068353</v>
      </c>
      <c r="CA24" s="77">
        <f t="shared" si="44"/>
        <v>6.2345985</v>
      </c>
      <c r="CB24" s="79"/>
      <c r="CC24" s="78"/>
      <c r="CD24" s="78">
        <f t="shared" si="45"/>
        <v>1566.6461292000001</v>
      </c>
      <c r="CE24" s="78">
        <f t="shared" si="46"/>
        <v>1566.6461292000001</v>
      </c>
      <c r="CF24" s="78">
        <f t="shared" si="47"/>
        <v>506.23618020000004</v>
      </c>
      <c r="CG24" s="77">
        <f t="shared" si="48"/>
        <v>24.772449</v>
      </c>
      <c r="CH24" s="79"/>
      <c r="CI24" s="78"/>
      <c r="CJ24" s="78">
        <f t="shared" si="49"/>
        <v>3820.9725894</v>
      </c>
      <c r="CK24" s="78">
        <f t="shared" si="50"/>
        <v>3820.9725894</v>
      </c>
      <c r="CL24" s="78">
        <f t="shared" si="51"/>
        <v>1234.6850589</v>
      </c>
      <c r="CM24" s="77">
        <f t="shared" si="52"/>
        <v>60.418780500000004</v>
      </c>
      <c r="CN24" s="79"/>
      <c r="CO24" s="78"/>
      <c r="CP24" s="78">
        <f t="shared" si="53"/>
        <v>8552.3664312</v>
      </c>
      <c r="CQ24" s="78">
        <f t="shared" si="54"/>
        <v>8552.3664312</v>
      </c>
      <c r="CR24" s="78">
        <f t="shared" si="55"/>
        <v>2763.5579172</v>
      </c>
      <c r="CS24" s="77">
        <f t="shared" si="56"/>
        <v>135.23351399999999</v>
      </c>
      <c r="CT24" s="79"/>
      <c r="CU24" s="78"/>
      <c r="CV24" s="78">
        <f t="shared" si="57"/>
        <v>1293.9281922</v>
      </c>
      <c r="CW24" s="78">
        <f t="shared" si="58"/>
        <v>1293.9281922</v>
      </c>
      <c r="CX24" s="78">
        <f t="shared" si="59"/>
        <v>418.1118207</v>
      </c>
      <c r="CY24" s="77">
        <f t="shared" si="60"/>
        <v>20.4601215</v>
      </c>
      <c r="CZ24" s="79"/>
      <c r="DA24" s="78"/>
      <c r="DB24" s="78">
        <f t="shared" si="61"/>
        <v>3717.8985402</v>
      </c>
      <c r="DC24" s="78">
        <f t="shared" si="62"/>
        <v>3717.8985402</v>
      </c>
      <c r="DD24" s="78">
        <f t="shared" si="63"/>
        <v>1201.3783587</v>
      </c>
      <c r="DE24" s="77">
        <f t="shared" si="64"/>
        <v>58.788931500000004</v>
      </c>
      <c r="DF24" s="79"/>
      <c r="DG24" s="78"/>
      <c r="DH24" s="78">
        <f t="shared" si="65"/>
        <v>143.2655538</v>
      </c>
      <c r="DI24" s="78">
        <f t="shared" si="66"/>
        <v>143.2655538</v>
      </c>
      <c r="DJ24" s="78">
        <f t="shared" si="67"/>
        <v>46.2939303</v>
      </c>
      <c r="DK24" s="77">
        <f t="shared" si="68"/>
        <v>2.2653735</v>
      </c>
      <c r="DL24" s="79"/>
      <c r="DM24" s="90"/>
      <c r="DN24" s="90">
        <f t="shared" si="69"/>
        <v>7843.101248399999</v>
      </c>
      <c r="DO24" s="90">
        <f t="shared" si="70"/>
        <v>7843.101248399999</v>
      </c>
      <c r="DP24" s="90">
        <f t="shared" si="71"/>
        <v>2534.3704254</v>
      </c>
      <c r="DQ24" s="94">
        <f t="shared" si="72"/>
        <v>124.01832300000001</v>
      </c>
      <c r="DR24" s="79"/>
      <c r="DS24" s="78"/>
      <c r="DT24" s="78">
        <f t="shared" si="73"/>
        <v>1234.7896692000002</v>
      </c>
      <c r="DU24" s="78">
        <f t="shared" si="74"/>
        <v>1234.7896692000002</v>
      </c>
      <c r="DV24" s="78">
        <f t="shared" si="75"/>
        <v>399.0021702</v>
      </c>
      <c r="DW24" s="77">
        <f t="shared" si="76"/>
        <v>19.524999</v>
      </c>
      <c r="DX24" s="79"/>
      <c r="DY24" s="78"/>
      <c r="DZ24" s="78">
        <f t="shared" si="77"/>
        <v>6354.313750199999</v>
      </c>
      <c r="EA24" s="78">
        <f t="shared" si="78"/>
        <v>6354.313750199999</v>
      </c>
      <c r="EB24" s="78">
        <f t="shared" si="79"/>
        <v>2053.2929937</v>
      </c>
      <c r="EC24" s="77">
        <f t="shared" si="80"/>
        <v>100.4770065</v>
      </c>
      <c r="ED24" s="79"/>
      <c r="EE24" s="78"/>
      <c r="EF24" s="78">
        <f t="shared" si="81"/>
        <v>1814.0919204000002</v>
      </c>
      <c r="EG24" s="78">
        <f t="shared" si="82"/>
        <v>1814.0919204000002</v>
      </c>
      <c r="EH24" s="78">
        <f t="shared" si="83"/>
        <v>586.1942574</v>
      </c>
      <c r="EI24" s="77">
        <f t="shared" si="84"/>
        <v>28.685163</v>
      </c>
      <c r="EJ24" s="79"/>
      <c r="EK24" s="78"/>
      <c r="EL24" s="78">
        <f t="shared" si="85"/>
        <v>18.2095596</v>
      </c>
      <c r="EM24" s="78">
        <f t="shared" si="86"/>
        <v>18.2095596</v>
      </c>
      <c r="EN24" s="78">
        <f t="shared" si="87"/>
        <v>5.8841226</v>
      </c>
      <c r="EO24" s="77">
        <f t="shared" si="88"/>
        <v>0.287937</v>
      </c>
      <c r="EP24" s="79"/>
      <c r="EQ24" s="78"/>
      <c r="ER24" s="78">
        <f t="shared" si="89"/>
        <v>33.8096496</v>
      </c>
      <c r="ES24" s="78">
        <f t="shared" si="90"/>
        <v>33.8096496</v>
      </c>
      <c r="ET24" s="78">
        <f t="shared" si="91"/>
        <v>10.9250376</v>
      </c>
      <c r="EU24" s="77">
        <f t="shared" si="92"/>
        <v>0.534612</v>
      </c>
      <c r="EV24" s="79"/>
      <c r="EW24" s="78"/>
      <c r="EX24" s="78">
        <f t="shared" si="93"/>
        <v>6111.718168800001</v>
      </c>
      <c r="EY24" s="78">
        <f t="shared" si="94"/>
        <v>6111.718168800001</v>
      </c>
      <c r="EZ24" s="78">
        <f t="shared" si="95"/>
        <v>1974.9021828</v>
      </c>
      <c r="FA24" s="77">
        <f t="shared" si="96"/>
        <v>96.640986</v>
      </c>
      <c r="FB24" s="79"/>
      <c r="FC24" s="78"/>
      <c r="FD24" s="78">
        <f t="shared" si="97"/>
        <v>11360.155720800001</v>
      </c>
      <c r="FE24" s="78">
        <f t="shared" si="98"/>
        <v>11360.155720800001</v>
      </c>
      <c r="FF24" s="78">
        <f t="shared" si="99"/>
        <v>3670.8492948</v>
      </c>
      <c r="FG24" s="77">
        <f t="shared" si="100"/>
        <v>179.631426</v>
      </c>
      <c r="FH24" s="79"/>
      <c r="FI24" s="80"/>
      <c r="FJ24" s="78"/>
      <c r="FK24" s="78"/>
      <c r="FL24" s="78"/>
      <c r="FM24" s="77">
        <f t="shared" si="101"/>
        <v>0</v>
      </c>
    </row>
    <row r="25" spans="1:169" s="52" customFormat="1" ht="12">
      <c r="A25" s="51">
        <v>45017</v>
      </c>
      <c r="C25" s="42">
        <v>6540000</v>
      </c>
      <c r="D25" s="42">
        <v>283638</v>
      </c>
      <c r="E25" s="77">
        <f t="shared" si="0"/>
        <v>6823638</v>
      </c>
      <c r="F25" s="77">
        <v>91653</v>
      </c>
      <c r="G25" s="77">
        <v>4485</v>
      </c>
      <c r="H25" s="79"/>
      <c r="I25" s="79">
        <f>'2011B Academic'!I25</f>
        <v>3550081.3860000004</v>
      </c>
      <c r="J25" s="79">
        <f>'2011B Academic'!J25</f>
        <v>153966.0526242</v>
      </c>
      <c r="K25" s="79">
        <f t="shared" si="1"/>
        <v>3704047.4386242004</v>
      </c>
      <c r="L25" s="79">
        <f>'2011B Academic'!L25</f>
        <v>49751.6222127</v>
      </c>
      <c r="M25" s="79">
        <f>'2011B Academic'!M25</f>
        <v>2434.5741615</v>
      </c>
      <c r="N25" s="79"/>
      <c r="O25" s="78">
        <f t="shared" si="2"/>
        <v>2989918.614</v>
      </c>
      <c r="P25" s="80">
        <f t="shared" si="2"/>
        <v>129671.94737580001</v>
      </c>
      <c r="Q25" s="78">
        <f t="shared" si="3"/>
        <v>3119590.5613758</v>
      </c>
      <c r="R25" s="78">
        <f t="shared" si="4"/>
        <v>41901.37778729999</v>
      </c>
      <c r="S25" s="78">
        <f t="shared" si="4"/>
        <v>2050.4258385</v>
      </c>
      <c r="T25" s="79"/>
      <c r="U25" s="78">
        <f t="shared" si="102"/>
        <v>534474.96</v>
      </c>
      <c r="V25" s="77">
        <f t="shared" si="5"/>
        <v>23180.031912</v>
      </c>
      <c r="W25" s="78">
        <f t="shared" si="6"/>
        <v>557654.991912</v>
      </c>
      <c r="X25" s="78">
        <f t="shared" si="7"/>
        <v>7490.249772</v>
      </c>
      <c r="Y25" s="77">
        <f t="shared" si="8"/>
        <v>366.53214</v>
      </c>
      <c r="Z25" s="79"/>
      <c r="AA25" s="78">
        <f t="shared" si="103"/>
        <v>389552.484</v>
      </c>
      <c r="AB25" s="78">
        <f t="shared" si="9"/>
        <v>16894.7840148</v>
      </c>
      <c r="AC25" s="78">
        <f t="shared" si="10"/>
        <v>406447.2680148</v>
      </c>
      <c r="AD25" s="78">
        <f t="shared" si="11"/>
        <v>5459.2742838</v>
      </c>
      <c r="AE25" s="77">
        <f t="shared" si="12"/>
        <v>267.14723100000003</v>
      </c>
      <c r="AF25" s="79"/>
      <c r="AG25" s="78">
        <f t="shared" si="104"/>
        <v>206535.81600000002</v>
      </c>
      <c r="AH25" s="78">
        <f t="shared" si="13"/>
        <v>8957.401495200002</v>
      </c>
      <c r="AI25" s="78">
        <f t="shared" si="14"/>
        <v>215493.21749520002</v>
      </c>
      <c r="AJ25" s="78">
        <f t="shared" si="15"/>
        <v>2894.4384012</v>
      </c>
      <c r="AK25" s="77">
        <f t="shared" si="16"/>
        <v>141.638094</v>
      </c>
      <c r="AL25" s="79"/>
      <c r="AM25" s="78">
        <f t="shared" si="105"/>
        <v>150210.72000000003</v>
      </c>
      <c r="AN25" s="78">
        <f t="shared" si="17"/>
        <v>6514.597584</v>
      </c>
      <c r="AO25" s="78">
        <f t="shared" si="18"/>
        <v>156725.31758400003</v>
      </c>
      <c r="AP25" s="78">
        <f t="shared" si="19"/>
        <v>2105.086104</v>
      </c>
      <c r="AQ25" s="77">
        <f t="shared" si="20"/>
        <v>103.01147999999999</v>
      </c>
      <c r="AR25" s="79"/>
      <c r="AS25" s="78">
        <f t="shared" si="106"/>
        <v>17206.086</v>
      </c>
      <c r="AT25" s="78">
        <f t="shared" si="21"/>
        <v>746.2232141999999</v>
      </c>
      <c r="AU25" s="78">
        <f t="shared" si="22"/>
        <v>17952.3092142</v>
      </c>
      <c r="AV25" s="78">
        <f t="shared" si="23"/>
        <v>241.12987769999998</v>
      </c>
      <c r="AW25" s="77">
        <f t="shared" si="24"/>
        <v>11.799586499999998</v>
      </c>
      <c r="AX25" s="79"/>
      <c r="AY25" s="78">
        <f t="shared" si="107"/>
        <v>272213.766</v>
      </c>
      <c r="AZ25" s="78">
        <f t="shared" si="25"/>
        <v>11805.8361102</v>
      </c>
      <c r="BA25" s="78">
        <f t="shared" si="26"/>
        <v>284019.6021102</v>
      </c>
      <c r="BB25" s="78">
        <f t="shared" si="27"/>
        <v>3814.8636536999998</v>
      </c>
      <c r="BC25" s="77">
        <f t="shared" si="28"/>
        <v>186.67870649999998</v>
      </c>
      <c r="BD25" s="79"/>
      <c r="BE25" s="78">
        <f t="shared" si="108"/>
        <v>29509.134</v>
      </c>
      <c r="BF25" s="78">
        <f t="shared" si="29"/>
        <v>1279.8030198000001</v>
      </c>
      <c r="BG25" s="78">
        <f t="shared" si="30"/>
        <v>30788.9370198</v>
      </c>
      <c r="BH25" s="78">
        <f t="shared" si="31"/>
        <v>413.54750129999996</v>
      </c>
      <c r="BI25" s="77">
        <f t="shared" si="32"/>
        <v>20.2367685</v>
      </c>
      <c r="BJ25" s="79"/>
      <c r="BK25" s="78">
        <f t="shared" si="109"/>
        <v>92310.138</v>
      </c>
      <c r="BL25" s="78">
        <f t="shared" si="33"/>
        <v>4003.4652785999997</v>
      </c>
      <c r="BM25" s="78">
        <f t="shared" si="34"/>
        <v>96313.6032786</v>
      </c>
      <c r="BN25" s="78">
        <f t="shared" si="35"/>
        <v>1293.6545991</v>
      </c>
      <c r="BO25" s="77">
        <f t="shared" si="36"/>
        <v>63.304429500000005</v>
      </c>
      <c r="BP25" s="79"/>
      <c r="BQ25" s="78">
        <f t="shared" si="110"/>
        <v>46812.666000000005</v>
      </c>
      <c r="BR25" s="78">
        <f t="shared" si="37"/>
        <v>2030.2524402000001</v>
      </c>
      <c r="BS25" s="78">
        <f t="shared" si="38"/>
        <v>48842.9184402</v>
      </c>
      <c r="BT25" s="78">
        <f t="shared" si="39"/>
        <v>656.0430087</v>
      </c>
      <c r="BU25" s="77">
        <f t="shared" si="40"/>
        <v>32.1031815</v>
      </c>
      <c r="BV25" s="79"/>
      <c r="BW25" s="78">
        <f t="shared" si="111"/>
        <v>9091.254</v>
      </c>
      <c r="BX25" s="78">
        <f t="shared" si="41"/>
        <v>394.2851838</v>
      </c>
      <c r="BY25" s="78">
        <f t="shared" si="42"/>
        <v>9485.539183800001</v>
      </c>
      <c r="BZ25" s="78">
        <f t="shared" si="43"/>
        <v>127.4068353</v>
      </c>
      <c r="CA25" s="77">
        <f t="shared" si="44"/>
        <v>6.2345985</v>
      </c>
      <c r="CB25" s="79"/>
      <c r="CC25" s="78">
        <f t="shared" si="112"/>
        <v>36123.03600000001</v>
      </c>
      <c r="CD25" s="78">
        <f t="shared" si="45"/>
        <v>1566.6461292000001</v>
      </c>
      <c r="CE25" s="78">
        <f t="shared" si="46"/>
        <v>37689.68212920001</v>
      </c>
      <c r="CF25" s="78">
        <f t="shared" si="47"/>
        <v>506.23618020000004</v>
      </c>
      <c r="CG25" s="77">
        <f t="shared" si="48"/>
        <v>24.772449</v>
      </c>
      <c r="CH25" s="79"/>
      <c r="CI25" s="78">
        <f t="shared" si="113"/>
        <v>88102.302</v>
      </c>
      <c r="CJ25" s="78">
        <f t="shared" si="49"/>
        <v>3820.9725894</v>
      </c>
      <c r="CK25" s="78">
        <f t="shared" si="50"/>
        <v>91923.2745894</v>
      </c>
      <c r="CL25" s="78">
        <f t="shared" si="51"/>
        <v>1234.6850589</v>
      </c>
      <c r="CM25" s="77">
        <f t="shared" si="52"/>
        <v>60.418780500000004</v>
      </c>
      <c r="CN25" s="79"/>
      <c r="CO25" s="78">
        <f t="shared" si="114"/>
        <v>197196.69599999997</v>
      </c>
      <c r="CP25" s="78">
        <f t="shared" si="53"/>
        <v>8552.3664312</v>
      </c>
      <c r="CQ25" s="78">
        <f t="shared" si="54"/>
        <v>205749.06243119997</v>
      </c>
      <c r="CR25" s="78">
        <f t="shared" si="55"/>
        <v>2763.5579172</v>
      </c>
      <c r="CS25" s="77">
        <f t="shared" si="56"/>
        <v>135.23351399999999</v>
      </c>
      <c r="CT25" s="79"/>
      <c r="CU25" s="78">
        <f t="shared" si="115"/>
        <v>29834.826</v>
      </c>
      <c r="CV25" s="78">
        <f t="shared" si="57"/>
        <v>1293.9281922</v>
      </c>
      <c r="CW25" s="78">
        <f t="shared" si="58"/>
        <v>31128.754192200002</v>
      </c>
      <c r="CX25" s="78">
        <f t="shared" si="59"/>
        <v>418.1118207</v>
      </c>
      <c r="CY25" s="77">
        <f t="shared" si="60"/>
        <v>20.4601215</v>
      </c>
      <c r="CZ25" s="79"/>
      <c r="DA25" s="78">
        <f t="shared" si="116"/>
        <v>85725.666</v>
      </c>
      <c r="DB25" s="78">
        <f t="shared" si="61"/>
        <v>3717.8985402</v>
      </c>
      <c r="DC25" s="78">
        <f t="shared" si="62"/>
        <v>89443.5645402</v>
      </c>
      <c r="DD25" s="78">
        <f t="shared" si="63"/>
        <v>1201.3783587</v>
      </c>
      <c r="DE25" s="77">
        <f t="shared" si="64"/>
        <v>58.788931500000004</v>
      </c>
      <c r="DF25" s="79"/>
      <c r="DG25" s="78">
        <f t="shared" si="117"/>
        <v>3303.3540000000003</v>
      </c>
      <c r="DH25" s="78">
        <f t="shared" si="65"/>
        <v>143.2655538</v>
      </c>
      <c r="DI25" s="78">
        <f t="shared" si="66"/>
        <v>3446.6195538</v>
      </c>
      <c r="DJ25" s="78">
        <f t="shared" si="67"/>
        <v>46.2939303</v>
      </c>
      <c r="DK25" s="77">
        <f t="shared" si="68"/>
        <v>2.2653735</v>
      </c>
      <c r="DL25" s="79"/>
      <c r="DM25" s="90">
        <f t="shared" si="118"/>
        <v>180842.772</v>
      </c>
      <c r="DN25" s="90">
        <f t="shared" si="69"/>
        <v>7843.101248399999</v>
      </c>
      <c r="DO25" s="90">
        <f t="shared" si="70"/>
        <v>188685.8732484</v>
      </c>
      <c r="DP25" s="90">
        <f t="shared" si="71"/>
        <v>2534.3704254</v>
      </c>
      <c r="DQ25" s="94">
        <f t="shared" si="72"/>
        <v>124.01832300000001</v>
      </c>
      <c r="DR25" s="79"/>
      <c r="DS25" s="78">
        <f t="shared" si="119"/>
        <v>28471.236</v>
      </c>
      <c r="DT25" s="78">
        <f t="shared" si="73"/>
        <v>1234.7896692000002</v>
      </c>
      <c r="DU25" s="78">
        <f t="shared" si="74"/>
        <v>29706.0256692</v>
      </c>
      <c r="DV25" s="78">
        <f t="shared" si="75"/>
        <v>399.0021702</v>
      </c>
      <c r="DW25" s="77">
        <f t="shared" si="76"/>
        <v>19.524999</v>
      </c>
      <c r="DX25" s="79"/>
      <c r="DY25" s="78">
        <f t="shared" si="120"/>
        <v>146514.966</v>
      </c>
      <c r="DZ25" s="78">
        <f t="shared" si="77"/>
        <v>6354.313750199999</v>
      </c>
      <c r="EA25" s="78">
        <f t="shared" si="78"/>
        <v>152869.2797502</v>
      </c>
      <c r="EB25" s="78">
        <f t="shared" si="79"/>
        <v>2053.2929937</v>
      </c>
      <c r="EC25" s="77">
        <f t="shared" si="80"/>
        <v>100.4770065</v>
      </c>
      <c r="ED25" s="79"/>
      <c r="EE25" s="78">
        <f t="shared" si="121"/>
        <v>41828.532</v>
      </c>
      <c r="EF25" s="78">
        <f t="shared" si="81"/>
        <v>1814.0919204000002</v>
      </c>
      <c r="EG25" s="78">
        <f t="shared" si="82"/>
        <v>43642.6239204</v>
      </c>
      <c r="EH25" s="78">
        <f t="shared" si="83"/>
        <v>586.1942574</v>
      </c>
      <c r="EI25" s="77">
        <f t="shared" si="84"/>
        <v>28.685163</v>
      </c>
      <c r="EJ25" s="79"/>
      <c r="EK25" s="78">
        <f t="shared" si="122"/>
        <v>419.86800000000005</v>
      </c>
      <c r="EL25" s="78">
        <f t="shared" si="85"/>
        <v>18.2095596</v>
      </c>
      <c r="EM25" s="78">
        <f t="shared" si="86"/>
        <v>438.07755960000003</v>
      </c>
      <c r="EN25" s="78">
        <f t="shared" si="87"/>
        <v>5.8841226</v>
      </c>
      <c r="EO25" s="77">
        <f t="shared" si="88"/>
        <v>0.287937</v>
      </c>
      <c r="EP25" s="79"/>
      <c r="EQ25" s="78">
        <f t="shared" si="123"/>
        <v>779.568</v>
      </c>
      <c r="ER25" s="78">
        <f t="shared" si="89"/>
        <v>33.8096496</v>
      </c>
      <c r="ES25" s="78">
        <f t="shared" si="90"/>
        <v>813.3776496</v>
      </c>
      <c r="ET25" s="78">
        <f t="shared" si="91"/>
        <v>10.9250376</v>
      </c>
      <c r="EU25" s="77">
        <f t="shared" si="92"/>
        <v>0.534612</v>
      </c>
      <c r="EV25" s="79"/>
      <c r="EW25" s="78">
        <f t="shared" si="124"/>
        <v>140921.304</v>
      </c>
      <c r="EX25" s="78">
        <f t="shared" si="93"/>
        <v>6111.718168800001</v>
      </c>
      <c r="EY25" s="78">
        <f t="shared" si="94"/>
        <v>147033.0221688</v>
      </c>
      <c r="EZ25" s="78">
        <f t="shared" si="95"/>
        <v>1974.9021828</v>
      </c>
      <c r="FA25" s="77">
        <f t="shared" si="96"/>
        <v>96.640986</v>
      </c>
      <c r="FB25" s="79"/>
      <c r="FC25" s="78">
        <f t="shared" si="125"/>
        <v>261937.46399999998</v>
      </c>
      <c r="FD25" s="78">
        <f t="shared" si="97"/>
        <v>11360.155720800001</v>
      </c>
      <c r="FE25" s="78">
        <f t="shared" si="98"/>
        <v>273297.61972079996</v>
      </c>
      <c r="FF25" s="78">
        <f t="shared" si="99"/>
        <v>3670.8492948</v>
      </c>
      <c r="FG25" s="77">
        <f t="shared" si="100"/>
        <v>179.631426</v>
      </c>
      <c r="FH25" s="79"/>
      <c r="FI25" s="80"/>
      <c r="FJ25" s="78"/>
      <c r="FK25" s="78"/>
      <c r="FL25" s="78"/>
      <c r="FM25" s="77">
        <f t="shared" si="101"/>
        <v>0</v>
      </c>
    </row>
    <row r="26" spans="1:169" s="52" customFormat="1" ht="12">
      <c r="A26" s="51">
        <v>45200</v>
      </c>
      <c r="C26" s="42"/>
      <c r="D26" s="42">
        <v>120138</v>
      </c>
      <c r="E26" s="77">
        <f t="shared" si="0"/>
        <v>120138</v>
      </c>
      <c r="F26" s="77">
        <v>91653</v>
      </c>
      <c r="G26" s="77">
        <v>4485</v>
      </c>
      <c r="H26" s="79"/>
      <c r="I26" s="79">
        <f>'2011B Academic'!I26</f>
        <v>0</v>
      </c>
      <c r="J26" s="79">
        <f>'2011B Academic'!J26</f>
        <v>65214.0179742</v>
      </c>
      <c r="K26" s="79">
        <f t="shared" si="1"/>
        <v>65214.0179742</v>
      </c>
      <c r="L26" s="79">
        <f>'2011B Academic'!L26</f>
        <v>49751.6222127</v>
      </c>
      <c r="M26" s="79">
        <f>'2011B Academic'!M26</f>
        <v>2434.5741615</v>
      </c>
      <c r="N26" s="79"/>
      <c r="O26" s="78">
        <f t="shared" si="2"/>
        <v>0</v>
      </c>
      <c r="P26" s="80">
        <f t="shared" si="2"/>
        <v>54923.9820258</v>
      </c>
      <c r="Q26" s="78">
        <f t="shared" si="3"/>
        <v>54923.9820258</v>
      </c>
      <c r="R26" s="78">
        <f t="shared" si="4"/>
        <v>41901.37778729999</v>
      </c>
      <c r="S26" s="78">
        <f t="shared" si="4"/>
        <v>2050.4258385</v>
      </c>
      <c r="T26" s="79"/>
      <c r="U26" s="78"/>
      <c r="V26" s="77">
        <f t="shared" si="5"/>
        <v>9818.157912</v>
      </c>
      <c r="W26" s="78">
        <f t="shared" si="6"/>
        <v>9818.157912</v>
      </c>
      <c r="X26" s="78">
        <f t="shared" si="7"/>
        <v>7490.249772</v>
      </c>
      <c r="Y26" s="77">
        <f t="shared" si="8"/>
        <v>366.53214</v>
      </c>
      <c r="Z26" s="79"/>
      <c r="AA26" s="78"/>
      <c r="AB26" s="78">
        <f t="shared" si="9"/>
        <v>7155.9719148</v>
      </c>
      <c r="AC26" s="78">
        <f t="shared" si="10"/>
        <v>7155.9719148</v>
      </c>
      <c r="AD26" s="78">
        <f t="shared" si="11"/>
        <v>5459.2742838</v>
      </c>
      <c r="AE26" s="77">
        <f t="shared" si="12"/>
        <v>267.14723100000003</v>
      </c>
      <c r="AF26" s="79"/>
      <c r="AG26" s="78"/>
      <c r="AH26" s="78">
        <f t="shared" si="13"/>
        <v>3794.0060952</v>
      </c>
      <c r="AI26" s="78">
        <f t="shared" si="14"/>
        <v>3794.0060952</v>
      </c>
      <c r="AJ26" s="78">
        <f t="shared" si="15"/>
        <v>2894.4384012</v>
      </c>
      <c r="AK26" s="77">
        <f t="shared" si="16"/>
        <v>141.638094</v>
      </c>
      <c r="AL26" s="79"/>
      <c r="AM26" s="78"/>
      <c r="AN26" s="78">
        <f t="shared" si="17"/>
        <v>2759.329584</v>
      </c>
      <c r="AO26" s="78">
        <f t="shared" si="18"/>
        <v>2759.329584</v>
      </c>
      <c r="AP26" s="78">
        <f t="shared" si="19"/>
        <v>2105.086104</v>
      </c>
      <c r="AQ26" s="77">
        <f t="shared" si="20"/>
        <v>103.01147999999999</v>
      </c>
      <c r="AR26" s="79"/>
      <c r="AS26" s="78"/>
      <c r="AT26" s="78">
        <f t="shared" si="21"/>
        <v>316.0710642</v>
      </c>
      <c r="AU26" s="78">
        <f t="shared" si="22"/>
        <v>316.0710642</v>
      </c>
      <c r="AV26" s="78">
        <f t="shared" si="23"/>
        <v>241.12987769999998</v>
      </c>
      <c r="AW26" s="77">
        <f t="shared" si="24"/>
        <v>11.799586499999998</v>
      </c>
      <c r="AX26" s="79"/>
      <c r="AY26" s="78"/>
      <c r="AZ26" s="78">
        <f t="shared" si="25"/>
        <v>5000.4919602</v>
      </c>
      <c r="BA26" s="78">
        <f t="shared" si="26"/>
        <v>5000.4919602</v>
      </c>
      <c r="BB26" s="78">
        <f t="shared" si="27"/>
        <v>3814.8636536999998</v>
      </c>
      <c r="BC26" s="77">
        <f t="shared" si="28"/>
        <v>186.67870649999998</v>
      </c>
      <c r="BD26" s="79"/>
      <c r="BE26" s="78"/>
      <c r="BF26" s="78">
        <f t="shared" si="29"/>
        <v>542.0746697999999</v>
      </c>
      <c r="BG26" s="78">
        <f t="shared" si="30"/>
        <v>542.0746697999999</v>
      </c>
      <c r="BH26" s="78">
        <f t="shared" si="31"/>
        <v>413.54750129999996</v>
      </c>
      <c r="BI26" s="77">
        <f t="shared" si="32"/>
        <v>20.2367685</v>
      </c>
      <c r="BJ26" s="79"/>
      <c r="BK26" s="78"/>
      <c r="BL26" s="78">
        <f t="shared" si="33"/>
        <v>1695.7118286</v>
      </c>
      <c r="BM26" s="78">
        <f t="shared" si="34"/>
        <v>1695.7118286</v>
      </c>
      <c r="BN26" s="78">
        <f t="shared" si="35"/>
        <v>1293.6545991</v>
      </c>
      <c r="BO26" s="77">
        <f t="shared" si="36"/>
        <v>63.304429500000005</v>
      </c>
      <c r="BP26" s="79"/>
      <c r="BQ26" s="78"/>
      <c r="BR26" s="78">
        <f t="shared" si="37"/>
        <v>859.9357902</v>
      </c>
      <c r="BS26" s="78">
        <f t="shared" si="38"/>
        <v>859.9357902</v>
      </c>
      <c r="BT26" s="78">
        <f t="shared" si="39"/>
        <v>656.0430087</v>
      </c>
      <c r="BU26" s="77">
        <f t="shared" si="40"/>
        <v>32.1031815</v>
      </c>
      <c r="BV26" s="79"/>
      <c r="BW26" s="78"/>
      <c r="BX26" s="78">
        <f t="shared" si="41"/>
        <v>167.0038338</v>
      </c>
      <c r="BY26" s="78">
        <f t="shared" si="42"/>
        <v>167.0038338</v>
      </c>
      <c r="BZ26" s="78">
        <f t="shared" si="43"/>
        <v>127.4068353</v>
      </c>
      <c r="CA26" s="77">
        <f t="shared" si="44"/>
        <v>6.2345985</v>
      </c>
      <c r="CB26" s="79"/>
      <c r="CC26" s="78"/>
      <c r="CD26" s="78">
        <f t="shared" si="45"/>
        <v>663.5702292000001</v>
      </c>
      <c r="CE26" s="78">
        <f t="shared" si="46"/>
        <v>663.5702292000001</v>
      </c>
      <c r="CF26" s="78">
        <f t="shared" si="47"/>
        <v>506.23618020000004</v>
      </c>
      <c r="CG26" s="77">
        <f t="shared" si="48"/>
        <v>24.772449</v>
      </c>
      <c r="CH26" s="79"/>
      <c r="CI26" s="78"/>
      <c r="CJ26" s="78">
        <f t="shared" si="49"/>
        <v>1618.4150393999998</v>
      </c>
      <c r="CK26" s="78">
        <f t="shared" si="50"/>
        <v>1618.4150393999998</v>
      </c>
      <c r="CL26" s="78">
        <f t="shared" si="51"/>
        <v>1234.6850589</v>
      </c>
      <c r="CM26" s="77">
        <f t="shared" si="52"/>
        <v>60.418780500000004</v>
      </c>
      <c r="CN26" s="79"/>
      <c r="CO26" s="78"/>
      <c r="CP26" s="78">
        <f t="shared" si="53"/>
        <v>3622.4490312</v>
      </c>
      <c r="CQ26" s="78">
        <f t="shared" si="54"/>
        <v>3622.4490312</v>
      </c>
      <c r="CR26" s="78">
        <f t="shared" si="55"/>
        <v>2763.5579172</v>
      </c>
      <c r="CS26" s="77">
        <f t="shared" si="56"/>
        <v>135.23351399999999</v>
      </c>
      <c r="CT26" s="79"/>
      <c r="CU26" s="78"/>
      <c r="CV26" s="78">
        <f t="shared" si="57"/>
        <v>548.0575422</v>
      </c>
      <c r="CW26" s="78">
        <f t="shared" si="58"/>
        <v>548.0575422</v>
      </c>
      <c r="CX26" s="78">
        <f t="shared" si="59"/>
        <v>418.1118207</v>
      </c>
      <c r="CY26" s="77">
        <f t="shared" si="60"/>
        <v>20.4601215</v>
      </c>
      <c r="CZ26" s="79"/>
      <c r="DA26" s="78"/>
      <c r="DB26" s="78">
        <f t="shared" si="61"/>
        <v>1574.7568901999998</v>
      </c>
      <c r="DC26" s="78">
        <f t="shared" si="62"/>
        <v>1574.7568901999998</v>
      </c>
      <c r="DD26" s="78">
        <f t="shared" si="63"/>
        <v>1201.3783587</v>
      </c>
      <c r="DE26" s="77">
        <f t="shared" si="64"/>
        <v>58.788931500000004</v>
      </c>
      <c r="DF26" s="79"/>
      <c r="DG26" s="78"/>
      <c r="DH26" s="78">
        <f t="shared" si="65"/>
        <v>60.681703799999994</v>
      </c>
      <c r="DI26" s="78">
        <f t="shared" si="66"/>
        <v>60.681703799999994</v>
      </c>
      <c r="DJ26" s="78">
        <f t="shared" si="67"/>
        <v>46.2939303</v>
      </c>
      <c r="DK26" s="77">
        <f t="shared" si="68"/>
        <v>2.2653735</v>
      </c>
      <c r="DL26" s="79"/>
      <c r="DM26" s="90"/>
      <c r="DN26" s="90">
        <f t="shared" si="69"/>
        <v>3322.0319484</v>
      </c>
      <c r="DO26" s="90">
        <f t="shared" si="70"/>
        <v>3322.0319484</v>
      </c>
      <c r="DP26" s="90">
        <f t="shared" si="71"/>
        <v>2534.3704254</v>
      </c>
      <c r="DQ26" s="94">
        <f t="shared" si="72"/>
        <v>124.01832300000001</v>
      </c>
      <c r="DR26" s="79"/>
      <c r="DS26" s="78"/>
      <c r="DT26" s="78">
        <f t="shared" si="73"/>
        <v>523.0087692000001</v>
      </c>
      <c r="DU26" s="78">
        <f t="shared" si="74"/>
        <v>523.0087692000001</v>
      </c>
      <c r="DV26" s="78">
        <f t="shared" si="75"/>
        <v>399.0021702</v>
      </c>
      <c r="DW26" s="77">
        <f t="shared" si="76"/>
        <v>19.524999</v>
      </c>
      <c r="DX26" s="79"/>
      <c r="DY26" s="78"/>
      <c r="DZ26" s="78">
        <f t="shared" si="77"/>
        <v>2691.4396002</v>
      </c>
      <c r="EA26" s="78">
        <f t="shared" si="78"/>
        <v>2691.4396002</v>
      </c>
      <c r="EB26" s="78">
        <f t="shared" si="79"/>
        <v>2053.2929937</v>
      </c>
      <c r="EC26" s="77">
        <f t="shared" si="80"/>
        <v>100.4770065</v>
      </c>
      <c r="ED26" s="79"/>
      <c r="EE26" s="78"/>
      <c r="EF26" s="78">
        <f t="shared" si="81"/>
        <v>768.3786204</v>
      </c>
      <c r="EG26" s="78">
        <f t="shared" si="82"/>
        <v>768.3786204</v>
      </c>
      <c r="EH26" s="78">
        <f t="shared" si="83"/>
        <v>586.1942574</v>
      </c>
      <c r="EI26" s="77">
        <f t="shared" si="84"/>
        <v>28.685163</v>
      </c>
      <c r="EJ26" s="79"/>
      <c r="EK26" s="78"/>
      <c r="EL26" s="78">
        <f t="shared" si="85"/>
        <v>7.712859600000001</v>
      </c>
      <c r="EM26" s="78">
        <f t="shared" si="86"/>
        <v>7.712859600000001</v>
      </c>
      <c r="EN26" s="78">
        <f t="shared" si="87"/>
        <v>5.8841226</v>
      </c>
      <c r="EO26" s="77">
        <f t="shared" si="88"/>
        <v>0.287937</v>
      </c>
      <c r="EP26" s="79"/>
      <c r="EQ26" s="78"/>
      <c r="ER26" s="78">
        <f t="shared" si="89"/>
        <v>14.3204496</v>
      </c>
      <c r="ES26" s="78">
        <f t="shared" si="90"/>
        <v>14.3204496</v>
      </c>
      <c r="ET26" s="78">
        <f t="shared" si="91"/>
        <v>10.9250376</v>
      </c>
      <c r="EU26" s="77">
        <f t="shared" si="92"/>
        <v>0.534612</v>
      </c>
      <c r="EV26" s="79"/>
      <c r="EW26" s="78"/>
      <c r="EX26" s="78">
        <f t="shared" si="93"/>
        <v>2588.6855688</v>
      </c>
      <c r="EY26" s="78">
        <f t="shared" si="94"/>
        <v>2588.6855688</v>
      </c>
      <c r="EZ26" s="78">
        <f t="shared" si="95"/>
        <v>1974.9021828</v>
      </c>
      <c r="FA26" s="77">
        <f t="shared" si="96"/>
        <v>96.640986</v>
      </c>
      <c r="FB26" s="79"/>
      <c r="FC26" s="78"/>
      <c r="FD26" s="78">
        <f t="shared" si="97"/>
        <v>4811.7191207999995</v>
      </c>
      <c r="FE26" s="78">
        <f t="shared" si="98"/>
        <v>4811.7191207999995</v>
      </c>
      <c r="FF26" s="78">
        <f t="shared" si="99"/>
        <v>3670.8492948</v>
      </c>
      <c r="FG26" s="77">
        <f t="shared" si="100"/>
        <v>179.631426</v>
      </c>
      <c r="FH26" s="79"/>
      <c r="FI26" s="80"/>
      <c r="FJ26" s="78"/>
      <c r="FK26" s="78"/>
      <c r="FL26" s="78"/>
      <c r="FM26" s="77">
        <f t="shared" si="101"/>
        <v>0</v>
      </c>
    </row>
    <row r="27" spans="1:169" s="52" customFormat="1" ht="12">
      <c r="A27" s="51">
        <v>45383</v>
      </c>
      <c r="C27" s="42">
        <v>6865000</v>
      </c>
      <c r="D27" s="42">
        <v>120138</v>
      </c>
      <c r="E27" s="77">
        <f t="shared" si="0"/>
        <v>6985138</v>
      </c>
      <c r="F27" s="77">
        <v>91653</v>
      </c>
      <c r="G27" s="77">
        <v>4485</v>
      </c>
      <c r="H27" s="79"/>
      <c r="I27" s="79">
        <f>'2011B Academic'!I27</f>
        <v>3726499.8035</v>
      </c>
      <c r="J27" s="79">
        <f>'2011B Academic'!J27</f>
        <v>65214.0179742</v>
      </c>
      <c r="K27" s="79">
        <f t="shared" si="1"/>
        <v>3791713.8214742</v>
      </c>
      <c r="L27" s="79">
        <f>'2011B Academic'!L27</f>
        <v>49751.6222127</v>
      </c>
      <c r="M27" s="79">
        <f>'2011B Academic'!M27</f>
        <v>2434.5741615</v>
      </c>
      <c r="N27" s="79"/>
      <c r="O27" s="78">
        <f t="shared" si="2"/>
        <v>3138500.1965000005</v>
      </c>
      <c r="P27" s="80">
        <f t="shared" si="2"/>
        <v>54923.9820258</v>
      </c>
      <c r="Q27" s="78">
        <f t="shared" si="3"/>
        <v>3193424.1785258004</v>
      </c>
      <c r="R27" s="78">
        <f t="shared" si="4"/>
        <v>41901.37778729999</v>
      </c>
      <c r="S27" s="78">
        <f t="shared" si="4"/>
        <v>2050.4258385</v>
      </c>
      <c r="T27" s="79"/>
      <c r="U27" s="78">
        <f t="shared" si="102"/>
        <v>561035.26</v>
      </c>
      <c r="V27" s="77">
        <f t="shared" si="5"/>
        <v>9818.157912</v>
      </c>
      <c r="W27" s="78">
        <f t="shared" si="6"/>
        <v>570853.417912</v>
      </c>
      <c r="X27" s="78">
        <f t="shared" si="7"/>
        <v>7490.249772</v>
      </c>
      <c r="Y27" s="77">
        <f t="shared" si="8"/>
        <v>366.53214</v>
      </c>
      <c r="Z27" s="79"/>
      <c r="AA27" s="78">
        <f t="shared" si="103"/>
        <v>408910.979</v>
      </c>
      <c r="AB27" s="78">
        <f t="shared" si="9"/>
        <v>7155.9719148</v>
      </c>
      <c r="AC27" s="78">
        <f t="shared" si="10"/>
        <v>416066.9509148</v>
      </c>
      <c r="AD27" s="78">
        <f t="shared" si="11"/>
        <v>5459.2742838</v>
      </c>
      <c r="AE27" s="77">
        <f t="shared" si="12"/>
        <v>267.14723100000003</v>
      </c>
      <c r="AF27" s="79"/>
      <c r="AG27" s="78">
        <f t="shared" si="104"/>
        <v>216799.44600000003</v>
      </c>
      <c r="AH27" s="78">
        <f t="shared" si="13"/>
        <v>3794.0060952</v>
      </c>
      <c r="AI27" s="78">
        <f t="shared" si="14"/>
        <v>220593.45209520002</v>
      </c>
      <c r="AJ27" s="78">
        <f t="shared" si="15"/>
        <v>2894.4384012</v>
      </c>
      <c r="AK27" s="77">
        <f t="shared" si="16"/>
        <v>141.638094</v>
      </c>
      <c r="AL27" s="79"/>
      <c r="AM27" s="78">
        <f t="shared" si="105"/>
        <v>157675.32</v>
      </c>
      <c r="AN27" s="78">
        <f t="shared" si="17"/>
        <v>2759.329584</v>
      </c>
      <c r="AO27" s="78">
        <f t="shared" si="18"/>
        <v>160434.649584</v>
      </c>
      <c r="AP27" s="78">
        <f t="shared" si="19"/>
        <v>2105.086104</v>
      </c>
      <c r="AQ27" s="77">
        <f t="shared" si="20"/>
        <v>103.01147999999999</v>
      </c>
      <c r="AR27" s="79"/>
      <c r="AS27" s="78">
        <f t="shared" si="106"/>
        <v>18061.1285</v>
      </c>
      <c r="AT27" s="78">
        <f t="shared" si="21"/>
        <v>316.0710642</v>
      </c>
      <c r="AU27" s="78">
        <f t="shared" si="22"/>
        <v>18377.1995642</v>
      </c>
      <c r="AV27" s="78">
        <f t="shared" si="23"/>
        <v>241.12987769999998</v>
      </c>
      <c r="AW27" s="77">
        <f t="shared" si="24"/>
        <v>11.799586499999998</v>
      </c>
      <c r="AX27" s="79"/>
      <c r="AY27" s="78">
        <f t="shared" si="107"/>
        <v>285741.20849999995</v>
      </c>
      <c r="AZ27" s="78">
        <f t="shared" si="25"/>
        <v>5000.4919602</v>
      </c>
      <c r="BA27" s="78">
        <f t="shared" si="26"/>
        <v>290741.70046019997</v>
      </c>
      <c r="BB27" s="78">
        <f t="shared" si="27"/>
        <v>3814.8636536999998</v>
      </c>
      <c r="BC27" s="77">
        <f t="shared" si="28"/>
        <v>186.67870649999998</v>
      </c>
      <c r="BD27" s="79"/>
      <c r="BE27" s="78">
        <f t="shared" si="108"/>
        <v>30975.5665</v>
      </c>
      <c r="BF27" s="78">
        <f t="shared" si="29"/>
        <v>542.0746697999999</v>
      </c>
      <c r="BG27" s="78">
        <f t="shared" si="30"/>
        <v>31517.6411698</v>
      </c>
      <c r="BH27" s="78">
        <f t="shared" si="31"/>
        <v>413.54750129999996</v>
      </c>
      <c r="BI27" s="77">
        <f t="shared" si="32"/>
        <v>20.2367685</v>
      </c>
      <c r="BJ27" s="79"/>
      <c r="BK27" s="78">
        <f t="shared" si="109"/>
        <v>96897.4155</v>
      </c>
      <c r="BL27" s="78">
        <f t="shared" si="33"/>
        <v>1695.7118286</v>
      </c>
      <c r="BM27" s="78">
        <f t="shared" si="34"/>
        <v>98593.1273286</v>
      </c>
      <c r="BN27" s="78">
        <f t="shared" si="35"/>
        <v>1293.6545991</v>
      </c>
      <c r="BO27" s="77">
        <f t="shared" si="36"/>
        <v>63.304429500000005</v>
      </c>
      <c r="BP27" s="79"/>
      <c r="BQ27" s="78">
        <f t="shared" si="110"/>
        <v>49138.9835</v>
      </c>
      <c r="BR27" s="78">
        <f t="shared" si="37"/>
        <v>859.9357902</v>
      </c>
      <c r="BS27" s="78">
        <f t="shared" si="38"/>
        <v>49998.9192902</v>
      </c>
      <c r="BT27" s="78">
        <f t="shared" si="39"/>
        <v>656.0430087</v>
      </c>
      <c r="BU27" s="77">
        <f t="shared" si="40"/>
        <v>32.1031815</v>
      </c>
      <c r="BV27" s="79"/>
      <c r="BW27" s="78">
        <f t="shared" si="111"/>
        <v>9543.036499999998</v>
      </c>
      <c r="BX27" s="78">
        <f t="shared" si="41"/>
        <v>167.0038338</v>
      </c>
      <c r="BY27" s="78">
        <f t="shared" si="42"/>
        <v>9710.040333799998</v>
      </c>
      <c r="BZ27" s="78">
        <f t="shared" si="43"/>
        <v>127.4068353</v>
      </c>
      <c r="CA27" s="77">
        <f t="shared" si="44"/>
        <v>6.2345985</v>
      </c>
      <c r="CB27" s="79"/>
      <c r="CC27" s="78">
        <f t="shared" si="112"/>
        <v>37918.141</v>
      </c>
      <c r="CD27" s="78">
        <f t="shared" si="45"/>
        <v>663.5702292000001</v>
      </c>
      <c r="CE27" s="78">
        <f t="shared" si="46"/>
        <v>38581.7112292</v>
      </c>
      <c r="CF27" s="78">
        <f t="shared" si="47"/>
        <v>506.23618020000004</v>
      </c>
      <c r="CG27" s="77">
        <f t="shared" si="48"/>
        <v>24.772449</v>
      </c>
      <c r="CH27" s="79"/>
      <c r="CI27" s="78">
        <f t="shared" si="113"/>
        <v>92480.4745</v>
      </c>
      <c r="CJ27" s="78">
        <f t="shared" si="49"/>
        <v>1618.4150393999998</v>
      </c>
      <c r="CK27" s="78">
        <f t="shared" si="50"/>
        <v>94098.8895394</v>
      </c>
      <c r="CL27" s="78">
        <f t="shared" si="51"/>
        <v>1234.6850589</v>
      </c>
      <c r="CM27" s="77">
        <f t="shared" si="52"/>
        <v>60.418780500000004</v>
      </c>
      <c r="CN27" s="79"/>
      <c r="CO27" s="78">
        <f t="shared" si="114"/>
        <v>206996.22599999997</v>
      </c>
      <c r="CP27" s="78">
        <f t="shared" si="53"/>
        <v>3622.4490312</v>
      </c>
      <c r="CQ27" s="78">
        <f t="shared" si="54"/>
        <v>210618.67503119996</v>
      </c>
      <c r="CR27" s="78">
        <f t="shared" si="55"/>
        <v>2763.5579172</v>
      </c>
      <c r="CS27" s="77">
        <f t="shared" si="56"/>
        <v>135.23351399999999</v>
      </c>
      <c r="CT27" s="79"/>
      <c r="CU27" s="78">
        <f t="shared" si="115"/>
        <v>31317.4435</v>
      </c>
      <c r="CV27" s="78">
        <f t="shared" si="57"/>
        <v>548.0575422</v>
      </c>
      <c r="CW27" s="78">
        <f t="shared" si="58"/>
        <v>31865.5010422</v>
      </c>
      <c r="CX27" s="78">
        <f t="shared" si="59"/>
        <v>418.1118207</v>
      </c>
      <c r="CY27" s="77">
        <f t="shared" si="60"/>
        <v>20.4601215</v>
      </c>
      <c r="CZ27" s="79"/>
      <c r="DA27" s="78">
        <f t="shared" si="116"/>
        <v>89985.7335</v>
      </c>
      <c r="DB27" s="78">
        <f t="shared" si="61"/>
        <v>1574.7568901999998</v>
      </c>
      <c r="DC27" s="78">
        <f t="shared" si="62"/>
        <v>91560.49039020001</v>
      </c>
      <c r="DD27" s="78">
        <f t="shared" si="63"/>
        <v>1201.3783587</v>
      </c>
      <c r="DE27" s="77">
        <f t="shared" si="64"/>
        <v>58.788931500000004</v>
      </c>
      <c r="DF27" s="79"/>
      <c r="DG27" s="78">
        <f t="shared" si="117"/>
        <v>3467.5115</v>
      </c>
      <c r="DH27" s="78">
        <f t="shared" si="65"/>
        <v>60.681703799999994</v>
      </c>
      <c r="DI27" s="78">
        <f t="shared" si="66"/>
        <v>3528.1932038</v>
      </c>
      <c r="DJ27" s="78">
        <f t="shared" si="67"/>
        <v>46.2939303</v>
      </c>
      <c r="DK27" s="77">
        <f t="shared" si="68"/>
        <v>2.2653735</v>
      </c>
      <c r="DL27" s="79"/>
      <c r="DM27" s="90">
        <f t="shared" si="118"/>
        <v>189829.607</v>
      </c>
      <c r="DN27" s="90">
        <f t="shared" si="69"/>
        <v>3322.0319484</v>
      </c>
      <c r="DO27" s="90">
        <f t="shared" si="70"/>
        <v>193151.63894839998</v>
      </c>
      <c r="DP27" s="90">
        <f t="shared" si="71"/>
        <v>2534.3704254</v>
      </c>
      <c r="DQ27" s="94">
        <f t="shared" si="72"/>
        <v>124.01832300000001</v>
      </c>
      <c r="DR27" s="79"/>
      <c r="DS27" s="78">
        <f t="shared" si="119"/>
        <v>29886.091</v>
      </c>
      <c r="DT27" s="78">
        <f t="shared" si="73"/>
        <v>523.0087692000001</v>
      </c>
      <c r="DU27" s="78">
        <f t="shared" si="74"/>
        <v>30409.099769200002</v>
      </c>
      <c r="DV27" s="78">
        <f t="shared" si="75"/>
        <v>399.0021702</v>
      </c>
      <c r="DW27" s="77">
        <f t="shared" si="76"/>
        <v>19.524999</v>
      </c>
      <c r="DX27" s="79"/>
      <c r="DY27" s="78">
        <f t="shared" si="120"/>
        <v>153795.9085</v>
      </c>
      <c r="DZ27" s="78">
        <f t="shared" si="77"/>
        <v>2691.4396002</v>
      </c>
      <c r="EA27" s="78">
        <f t="shared" si="78"/>
        <v>156487.3481002</v>
      </c>
      <c r="EB27" s="78">
        <f t="shared" si="79"/>
        <v>2053.2929937</v>
      </c>
      <c r="EC27" s="77">
        <f t="shared" si="80"/>
        <v>100.4770065</v>
      </c>
      <c r="ED27" s="79"/>
      <c r="EE27" s="78">
        <f t="shared" si="121"/>
        <v>43907.167</v>
      </c>
      <c r="EF27" s="78">
        <f t="shared" si="81"/>
        <v>768.3786204</v>
      </c>
      <c r="EG27" s="78">
        <f t="shared" si="82"/>
        <v>44675.5456204</v>
      </c>
      <c r="EH27" s="78">
        <f t="shared" si="83"/>
        <v>586.1942574</v>
      </c>
      <c r="EI27" s="77">
        <f t="shared" si="84"/>
        <v>28.685163</v>
      </c>
      <c r="EJ27" s="79"/>
      <c r="EK27" s="78">
        <f t="shared" si="122"/>
        <v>440.733</v>
      </c>
      <c r="EL27" s="78">
        <f t="shared" si="85"/>
        <v>7.712859600000001</v>
      </c>
      <c r="EM27" s="78">
        <f t="shared" si="86"/>
        <v>448.4458596</v>
      </c>
      <c r="EN27" s="78">
        <f t="shared" si="87"/>
        <v>5.8841226</v>
      </c>
      <c r="EO27" s="77">
        <f t="shared" si="88"/>
        <v>0.287937</v>
      </c>
      <c r="EP27" s="79"/>
      <c r="EQ27" s="78">
        <f t="shared" si="123"/>
        <v>818.308</v>
      </c>
      <c r="ER27" s="78">
        <f t="shared" si="89"/>
        <v>14.3204496</v>
      </c>
      <c r="ES27" s="78">
        <f t="shared" si="90"/>
        <v>832.6284496</v>
      </c>
      <c r="ET27" s="78">
        <f t="shared" si="91"/>
        <v>10.9250376</v>
      </c>
      <c r="EU27" s="77">
        <f t="shared" si="92"/>
        <v>0.534612</v>
      </c>
      <c r="EV27" s="79"/>
      <c r="EW27" s="78">
        <f t="shared" si="124"/>
        <v>147924.274</v>
      </c>
      <c r="EX27" s="78">
        <f t="shared" si="93"/>
        <v>2588.6855688</v>
      </c>
      <c r="EY27" s="78">
        <f t="shared" si="94"/>
        <v>150512.9595688</v>
      </c>
      <c r="EZ27" s="78">
        <f t="shared" si="95"/>
        <v>1974.9021828</v>
      </c>
      <c r="FA27" s="77">
        <f t="shared" si="96"/>
        <v>96.640986</v>
      </c>
      <c r="FB27" s="79"/>
      <c r="FC27" s="78">
        <f t="shared" si="125"/>
        <v>274954.234</v>
      </c>
      <c r="FD27" s="78">
        <f t="shared" si="97"/>
        <v>4811.7191207999995</v>
      </c>
      <c r="FE27" s="78">
        <f t="shared" si="98"/>
        <v>279765.95312079997</v>
      </c>
      <c r="FF27" s="78">
        <f t="shared" si="99"/>
        <v>3670.8492948</v>
      </c>
      <c r="FG27" s="77">
        <f t="shared" si="100"/>
        <v>179.631426</v>
      </c>
      <c r="FH27" s="79"/>
      <c r="FI27" s="80"/>
      <c r="FJ27" s="78"/>
      <c r="FK27" s="78"/>
      <c r="FL27" s="78"/>
      <c r="FM27" s="77">
        <f t="shared" si="101"/>
        <v>0</v>
      </c>
    </row>
    <row r="28" spans="3:169" ht="12">
      <c r="C28" s="42"/>
      <c r="D28" s="42"/>
      <c r="E28" s="42"/>
      <c r="F28" s="42"/>
      <c r="G28" s="42"/>
      <c r="J28" s="50"/>
      <c r="M28" s="42"/>
      <c r="S28" s="42"/>
      <c r="Y28" s="42"/>
      <c r="AA28" s="33"/>
      <c r="AB28" s="33"/>
      <c r="AE28" s="42"/>
      <c r="AG28" s="33"/>
      <c r="AH28" s="33"/>
      <c r="AI28" s="33"/>
      <c r="AJ28" s="33"/>
      <c r="AK28" s="42"/>
      <c r="AM28" s="20"/>
      <c r="AN28" s="20"/>
      <c r="AO28" s="20"/>
      <c r="AP28" s="20"/>
      <c r="AQ28" s="42"/>
      <c r="AR28" s="33"/>
      <c r="AS28" s="33"/>
      <c r="AT28" s="33"/>
      <c r="AU28" s="33"/>
      <c r="AV28" s="33"/>
      <c r="AW28" s="42"/>
      <c r="AX28" s="33"/>
      <c r="AY28" s="33"/>
      <c r="AZ28" s="33"/>
      <c r="BA28" s="33"/>
      <c r="BB28" s="33"/>
      <c r="BC28" s="42"/>
      <c r="BD28" s="33"/>
      <c r="BE28" s="33"/>
      <c r="BF28" s="33"/>
      <c r="BG28" s="33"/>
      <c r="BH28" s="33"/>
      <c r="BI28" s="42"/>
      <c r="BJ28" s="33"/>
      <c r="BK28" s="33"/>
      <c r="BL28" s="33"/>
      <c r="BM28" s="33"/>
      <c r="BN28" s="33"/>
      <c r="BO28" s="42"/>
      <c r="BP28" s="33"/>
      <c r="BQ28" s="33"/>
      <c r="BR28" s="33"/>
      <c r="BS28" s="33"/>
      <c r="BT28" s="33"/>
      <c r="BU28" s="42"/>
      <c r="BV28" s="33"/>
      <c r="BW28" s="33"/>
      <c r="BX28" s="33"/>
      <c r="BY28" s="33"/>
      <c r="BZ28" s="33"/>
      <c r="CA28" s="42"/>
      <c r="CB28" s="33"/>
      <c r="CC28" s="33"/>
      <c r="CD28" s="33"/>
      <c r="CE28" s="33"/>
      <c r="CF28" s="33"/>
      <c r="CG28" s="42"/>
      <c r="CH28" s="33"/>
      <c r="CI28" s="33"/>
      <c r="CJ28" s="33"/>
      <c r="CK28" s="33"/>
      <c r="CL28" s="33"/>
      <c r="CM28" s="42"/>
      <c r="CN28" s="33"/>
      <c r="CO28" s="33"/>
      <c r="CP28" s="33"/>
      <c r="CQ28" s="33"/>
      <c r="CR28" s="33"/>
      <c r="CS28" s="42"/>
      <c r="CT28" s="33"/>
      <c r="CU28" s="33"/>
      <c r="CV28" s="33"/>
      <c r="CW28" s="33"/>
      <c r="CX28" s="33"/>
      <c r="CY28" s="42"/>
      <c r="CZ28" s="33"/>
      <c r="DA28" s="33"/>
      <c r="DB28" s="33"/>
      <c r="DC28" s="33"/>
      <c r="DD28" s="33"/>
      <c r="DE28" s="42"/>
      <c r="DF28" s="33"/>
      <c r="DG28" s="33"/>
      <c r="DH28" s="33"/>
      <c r="DI28" s="33"/>
      <c r="DJ28" s="33"/>
      <c r="DK28" s="42"/>
      <c r="DL28" s="33"/>
      <c r="DM28" s="95"/>
      <c r="DN28" s="95"/>
      <c r="DO28" s="95"/>
      <c r="DP28" s="95"/>
      <c r="DQ28" s="96"/>
      <c r="DR28" s="33"/>
      <c r="DS28" s="33"/>
      <c r="DT28" s="33"/>
      <c r="DU28" s="33"/>
      <c r="DV28" s="33"/>
      <c r="DW28" s="42"/>
      <c r="DX28" s="33"/>
      <c r="DY28" s="33"/>
      <c r="DZ28" s="33"/>
      <c r="EA28" s="33"/>
      <c r="EB28" s="33"/>
      <c r="EC28" s="42"/>
      <c r="ED28" s="33"/>
      <c r="EE28" s="33"/>
      <c r="EF28" s="33"/>
      <c r="EG28" s="33"/>
      <c r="EH28" s="33"/>
      <c r="EI28" s="42"/>
      <c r="EJ28" s="33"/>
      <c r="EK28" s="33"/>
      <c r="EL28" s="33"/>
      <c r="EM28" s="33"/>
      <c r="EN28" s="33"/>
      <c r="EO28" s="42"/>
      <c r="EP28" s="33"/>
      <c r="EQ28" s="33"/>
      <c r="ER28" s="33"/>
      <c r="ES28" s="33"/>
      <c r="ET28" s="33"/>
      <c r="EU28" s="42"/>
      <c r="EV28" s="33"/>
      <c r="EW28" s="33"/>
      <c r="EX28" s="33"/>
      <c r="EY28" s="33"/>
      <c r="EZ28" s="33"/>
      <c r="FA28" s="42"/>
      <c r="FB28" s="33"/>
      <c r="FC28" s="33"/>
      <c r="FD28" s="33"/>
      <c r="FE28" s="33"/>
      <c r="FF28" s="33"/>
      <c r="FG28" s="42"/>
      <c r="FH28" s="33"/>
      <c r="FI28" s="50"/>
      <c r="FJ28" s="50"/>
      <c r="FK28" s="50"/>
      <c r="FL28" s="50"/>
      <c r="FM28" s="42"/>
    </row>
    <row r="29" spans="1:169" ht="12.75" thickBot="1">
      <c r="A29" s="31" t="s">
        <v>4</v>
      </c>
      <c r="C29" s="49">
        <f>SUM(C8:C28)</f>
        <v>19650000</v>
      </c>
      <c r="D29" s="49">
        <f>SUM(D8:D28)</f>
        <v>7838910</v>
      </c>
      <c r="E29" s="49">
        <f>SUM(E8:E28)</f>
        <v>27488910</v>
      </c>
      <c r="F29" s="49">
        <f>SUM(F8:F28)</f>
        <v>1833060</v>
      </c>
      <c r="G29" s="49">
        <f>SUM(G8:G28)</f>
        <v>89700</v>
      </c>
      <c r="I29" s="49">
        <f>SUM(I8:I28)</f>
        <v>10666528.935</v>
      </c>
      <c r="J29" s="49">
        <f>SUM(J8:J28)</f>
        <v>4255163.375769001</v>
      </c>
      <c r="K29" s="49">
        <f>SUM(K8:K28)</f>
        <v>14921692.310769</v>
      </c>
      <c r="L29" s="49">
        <f>SUM(L8:L28)</f>
        <v>995032.4442539997</v>
      </c>
      <c r="M29" s="49">
        <f>SUM(M8:M28)</f>
        <v>48691.483230000005</v>
      </c>
      <c r="O29" s="49">
        <f>SUM(O8:O28)</f>
        <v>8983471.065000001</v>
      </c>
      <c r="P29" s="49">
        <f>SUM(P8:P28)</f>
        <v>3583746.624230999</v>
      </c>
      <c r="Q29" s="49">
        <f>SUM(Q8:Q28)</f>
        <v>12567217.689231</v>
      </c>
      <c r="R29" s="49">
        <f>SUM(R8:R28)</f>
        <v>838027.555746</v>
      </c>
      <c r="S29" s="49">
        <f>SUM(S8:S28)</f>
        <v>41008.516769999995</v>
      </c>
      <c r="U29" s="49">
        <f>SUM(U8:U28)</f>
        <v>1605876.6</v>
      </c>
      <c r="V29" s="49">
        <f>SUM(V8:V28)</f>
        <v>640627.08084</v>
      </c>
      <c r="W29" s="49">
        <f>SUM(W8:W28)</f>
        <v>2246503.6808399996</v>
      </c>
      <c r="X29" s="49">
        <f>SUM(X8:X28)</f>
        <v>149804.99544</v>
      </c>
      <c r="Y29" s="49">
        <f>SUM(Y8:Y28)</f>
        <v>7330.642800000003</v>
      </c>
      <c r="AA29" s="49">
        <f>SUM(AA8:AA28)</f>
        <v>1170444.3900000001</v>
      </c>
      <c r="AB29" s="49">
        <f>SUM(AB8:AB28)</f>
        <v>466921.53858600004</v>
      </c>
      <c r="AC29" s="49">
        <f>SUM(AC8:AC28)</f>
        <v>1637365.9285859999</v>
      </c>
      <c r="AD29" s="49">
        <f>SUM(AD8:AD28)</f>
        <v>109185.48567599998</v>
      </c>
      <c r="AE29" s="49">
        <f>SUM(AE8:AE28)</f>
        <v>5342.944619999999</v>
      </c>
      <c r="AG29" s="49">
        <f>SUM(AG8:AG28)</f>
        <v>620554.86</v>
      </c>
      <c r="AH29" s="49">
        <f>SUM(AH8:AH28)</f>
        <v>247555.91336400004</v>
      </c>
      <c r="AI29" s="49">
        <f>SUM(AI8:AI28)</f>
        <v>868110.773364</v>
      </c>
      <c r="AJ29" s="49">
        <f>SUM(AJ8:AJ28)</f>
        <v>57888.76802400001</v>
      </c>
      <c r="AK29" s="49">
        <f>SUM(AK8:AK28)</f>
        <v>2832.761879999999</v>
      </c>
      <c r="AM29" s="49">
        <f>SUM(AM8:AM28)</f>
        <v>451321.2</v>
      </c>
      <c r="AN29" s="49">
        <f>SUM(AN8:AN28)</f>
        <v>180044.08488</v>
      </c>
      <c r="AO29" s="49">
        <f>SUM(AO8:AO28)</f>
        <v>631365.2848799999</v>
      </c>
      <c r="AP29" s="49">
        <f>SUM(AP8:AP28)</f>
        <v>42101.72208000002</v>
      </c>
      <c r="AQ29" s="49">
        <f>SUM(AQ8:AQ28)</f>
        <v>2060.2295999999988</v>
      </c>
      <c r="AR29" s="33"/>
      <c r="AS29" s="49">
        <f>SUM(AS8:AS28)</f>
        <v>51697.185</v>
      </c>
      <c r="AT29" s="49">
        <f>SUM(AT8:AT28)</f>
        <v>20623.388318999998</v>
      </c>
      <c r="AU29" s="49">
        <f>SUM(AU8:AU28)</f>
        <v>72320.573319</v>
      </c>
      <c r="AV29" s="49">
        <f>SUM(AV8:AV28)</f>
        <v>4822.597554000002</v>
      </c>
      <c r="AW29" s="49">
        <f>SUM(AW8:AW28)</f>
        <v>235.99173000000005</v>
      </c>
      <c r="AX29" s="33"/>
      <c r="AY29" s="49">
        <f>SUM(AY8:AY28)</f>
        <v>817889.9849999999</v>
      </c>
      <c r="AZ29" s="49">
        <f>SUM(AZ8:AZ28)</f>
        <v>326278.16703899996</v>
      </c>
      <c r="BA29" s="49">
        <f>SUM(BA8:BA28)</f>
        <v>1144168.1520389998</v>
      </c>
      <c r="BB29" s="49">
        <f>SUM(BB8:BB28)</f>
        <v>76297.27307399998</v>
      </c>
      <c r="BC29" s="49">
        <f>SUM(BC8:BC28)</f>
        <v>3733.574129999998</v>
      </c>
      <c r="BD29" s="33"/>
      <c r="BE29" s="49">
        <f>SUM(BE8:BE28)</f>
        <v>88662.765</v>
      </c>
      <c r="BF29" s="49">
        <f>SUM(BF8:BF28)</f>
        <v>35369.945811</v>
      </c>
      <c r="BG29" s="49">
        <f>SUM(BG8:BG28)</f>
        <v>124032.710811</v>
      </c>
      <c r="BH29" s="49">
        <f>SUM(BH8:BH28)</f>
        <v>8270.950025999995</v>
      </c>
      <c r="BI29" s="49">
        <f>SUM(BI8:BI28)</f>
        <v>404.73536999999993</v>
      </c>
      <c r="BJ29" s="33"/>
      <c r="BK29" s="49">
        <f>SUM(BK8:BK28)</f>
        <v>277353.855</v>
      </c>
      <c r="BL29" s="49">
        <f>SUM(BL8:BL28)</f>
        <v>110643.86297699998</v>
      </c>
      <c r="BM29" s="49">
        <f>SUM(BM8:BM28)</f>
        <v>387997.71797699993</v>
      </c>
      <c r="BN29" s="49">
        <f>SUM(BN8:BN28)</f>
        <v>25873.09198199999</v>
      </c>
      <c r="BO29" s="49">
        <f>SUM(BO8:BO28)</f>
        <v>1266.0885899999998</v>
      </c>
      <c r="BP29" s="33"/>
      <c r="BQ29" s="49">
        <f>SUM(BQ8:BQ28)</f>
        <v>140652.73500000002</v>
      </c>
      <c r="BR29" s="49">
        <f>SUM(BR8:BR28)</f>
        <v>56110.133889000004</v>
      </c>
      <c r="BS29" s="49">
        <f>SUM(BS8:BS28)</f>
        <v>196762.86888899998</v>
      </c>
      <c r="BT29" s="49">
        <f>SUM(BT8:BT28)</f>
        <v>13120.860174000005</v>
      </c>
      <c r="BU29" s="49">
        <f>SUM(BU8:BU28)</f>
        <v>642.06363</v>
      </c>
      <c r="BV29" s="33"/>
      <c r="BW29" s="49">
        <f>SUM(BW8:BW28)</f>
        <v>27315.465</v>
      </c>
      <c r="BX29" s="49">
        <f>SUM(BX8:BX28)</f>
        <v>10896.868791</v>
      </c>
      <c r="BY29" s="49">
        <f>SUM(BY8:BY28)</f>
        <v>38212.333791</v>
      </c>
      <c r="BZ29" s="49">
        <f>SUM(BZ8:BZ28)</f>
        <v>2548.1367059999993</v>
      </c>
      <c r="CA29" s="49">
        <f>SUM(CA8:CA28)</f>
        <v>124.69197000000003</v>
      </c>
      <c r="CB29" s="33"/>
      <c r="CC29" s="49">
        <f>SUM(CC8:CC28)</f>
        <v>108534.81000000003</v>
      </c>
      <c r="CD29" s="49">
        <f>SUM(CD8:CD28)</f>
        <v>43297.43549400001</v>
      </c>
      <c r="CE29" s="49">
        <f>SUM(CE8:CE28)</f>
        <v>151832.24549400003</v>
      </c>
      <c r="CF29" s="49">
        <f>SUM(CF8:CF28)</f>
        <v>10124.723603999995</v>
      </c>
      <c r="CG29" s="49">
        <f>SUM(CG8:CG28)</f>
        <v>495.44897999999995</v>
      </c>
      <c r="CH29" s="33"/>
      <c r="CI29" s="49">
        <f>SUM(CI8:CI28)</f>
        <v>264711.045</v>
      </c>
      <c r="CJ29" s="49">
        <f>SUM(CJ8:CJ28)</f>
        <v>105600.30828299999</v>
      </c>
      <c r="CK29" s="49">
        <f>SUM(CK8:CK28)</f>
        <v>370311.35328299995</v>
      </c>
      <c r="CL29" s="49">
        <f>SUM(CL8:CL28)</f>
        <v>24693.701177999996</v>
      </c>
      <c r="CM29" s="49">
        <f>SUM(CM8:CM28)</f>
        <v>1208.37561</v>
      </c>
      <c r="CN29" s="33"/>
      <c r="CO29" s="49">
        <f>SUM(CO8:CO28)</f>
        <v>592494.6599999999</v>
      </c>
      <c r="CP29" s="49">
        <f>SUM(CP8:CP28)</f>
        <v>236361.94988399997</v>
      </c>
      <c r="CQ29" s="49">
        <f>SUM(CQ8:CQ28)</f>
        <v>828856.6098839999</v>
      </c>
      <c r="CR29" s="49">
        <f>SUM(CR8:CR28)</f>
        <v>55271.158343999996</v>
      </c>
      <c r="CS29" s="49">
        <f>SUM(CS8:CS28)</f>
        <v>2704.67028</v>
      </c>
      <c r="CT29" s="33"/>
      <c r="CU29" s="49">
        <f>SUM(CU8:CU28)</f>
        <v>89641.33499999999</v>
      </c>
      <c r="CV29" s="49">
        <f>SUM(CV8:CV28)</f>
        <v>35760.323528999994</v>
      </c>
      <c r="CW29" s="49">
        <f>SUM(CW8:CW28)</f>
        <v>125401.65852900001</v>
      </c>
      <c r="CX29" s="49">
        <f>SUM(CX8:CX28)</f>
        <v>8362.236414</v>
      </c>
      <c r="CY29" s="49">
        <f>SUM(CY8:CY28)</f>
        <v>409.20243000000016</v>
      </c>
      <c r="CZ29" s="33"/>
      <c r="DA29" s="49">
        <f>SUM(DA8:DA28)</f>
        <v>257570.235</v>
      </c>
      <c r="DB29" s="49">
        <f>SUM(DB8:DB28)</f>
        <v>102751.648389</v>
      </c>
      <c r="DC29" s="49">
        <f>SUM(DC8:DC28)</f>
        <v>360321.88338899997</v>
      </c>
      <c r="DD29" s="49">
        <f>SUM(DD8:DD28)</f>
        <v>24027.567174</v>
      </c>
      <c r="DE29" s="49">
        <f>SUM(DE8:DE28)</f>
        <v>1175.77863</v>
      </c>
      <c r="DF29" s="33"/>
      <c r="DG29" s="49">
        <f>SUM(DG8:DG28)</f>
        <v>9925.215</v>
      </c>
      <c r="DH29" s="49">
        <f>SUM(DH8:DH28)</f>
        <v>3959.433441</v>
      </c>
      <c r="DI29" s="49">
        <f>SUM(DI8:DI28)</f>
        <v>13884.648441</v>
      </c>
      <c r="DJ29" s="49">
        <f>SUM(DJ8:DJ28)</f>
        <v>925.8786060000004</v>
      </c>
      <c r="DK29" s="49">
        <f>SUM(DK8:DK28)</f>
        <v>45.30747</v>
      </c>
      <c r="DL29" s="33"/>
      <c r="DM29" s="97">
        <f>SUM(DM8:DM28)</f>
        <v>543357.87</v>
      </c>
      <c r="DN29" s="97">
        <f>SUM(DN8:DN28)</f>
        <v>216759.97153799998</v>
      </c>
      <c r="DO29" s="97">
        <f>SUM(DO8:DO28)</f>
        <v>760117.8415379999</v>
      </c>
      <c r="DP29" s="97">
        <f>SUM(DP8:DP28)</f>
        <v>50687.40850799998</v>
      </c>
      <c r="DQ29" s="97">
        <f>SUM(DQ8:DQ28)</f>
        <v>2480.366460000001</v>
      </c>
      <c r="DR29" s="33"/>
      <c r="DS29" s="49">
        <f>SUM(DS8:DS28)</f>
        <v>85544.31</v>
      </c>
      <c r="DT29" s="49">
        <f>SUM(DT8:DT28)</f>
        <v>34125.910794</v>
      </c>
      <c r="DU29" s="49">
        <f>SUM(DU8:DU28)</f>
        <v>119670.220794</v>
      </c>
      <c r="DV29" s="49">
        <f>SUM(DV8:DV28)</f>
        <v>7980.043404000003</v>
      </c>
      <c r="DW29" s="49">
        <f>SUM(DW8:DW28)</f>
        <v>390.49997999999994</v>
      </c>
      <c r="DX29" s="33"/>
      <c r="DY29" s="49">
        <f>SUM(DY8:DY28)</f>
        <v>440216.985</v>
      </c>
      <c r="DZ29" s="49">
        <f>SUM(DZ8:DZ28)</f>
        <v>175614.31683900004</v>
      </c>
      <c r="EA29" s="49">
        <f>SUM(EA8:EA28)</f>
        <v>615831.3018389998</v>
      </c>
      <c r="EB29" s="49">
        <f>SUM(EB8:EB28)</f>
        <v>41065.85987400001</v>
      </c>
      <c r="EC29" s="49">
        <f>SUM(EC8:EC28)</f>
        <v>2009.54013</v>
      </c>
      <c r="ED29" s="33"/>
      <c r="EE29" s="49">
        <f>SUM(EE8:EE28)</f>
        <v>125677.47</v>
      </c>
      <c r="EF29" s="49">
        <f>SUM(EF8:EF28)</f>
        <v>50136.100578000005</v>
      </c>
      <c r="EG29" s="49">
        <f>SUM(EG8:EG28)</f>
        <v>175813.570578</v>
      </c>
      <c r="EH29" s="49">
        <f>SUM(EH8:EH28)</f>
        <v>11723.885148000005</v>
      </c>
      <c r="EI29" s="49">
        <f>SUM(EI8:EI28)</f>
        <v>573.7032599999999</v>
      </c>
      <c r="EJ29" s="33"/>
      <c r="EK29" s="49">
        <f>SUM(EK8:EK28)</f>
        <v>1261.53</v>
      </c>
      <c r="EL29" s="49">
        <f>SUM(EL8:EL28)</f>
        <v>503.25802200000004</v>
      </c>
      <c r="EM29" s="49">
        <f>SUM(EM8:EM28)</f>
        <v>1764.7880220000002</v>
      </c>
      <c r="EN29" s="49">
        <f>SUM(EN8:EN28)</f>
        <v>117.68245199999997</v>
      </c>
      <c r="EO29" s="49">
        <f>SUM(EO8:EO28)</f>
        <v>5.758740000000001</v>
      </c>
      <c r="EP29" s="33"/>
      <c r="EQ29" s="49">
        <f>SUM(EQ8:EQ28)</f>
        <v>2342.2799999999997</v>
      </c>
      <c r="ER29" s="49">
        <f>SUM(ER8:ER28)</f>
        <v>934.398072</v>
      </c>
      <c r="ES29" s="49">
        <f>SUM(ES8:ES28)</f>
        <v>3276.6780719999997</v>
      </c>
      <c r="ET29" s="49">
        <f>SUM(ET8:ET28)</f>
        <v>218.50075199999995</v>
      </c>
      <c r="EU29" s="49">
        <f>SUM(EU8:EU28)</f>
        <v>10.692239999999996</v>
      </c>
      <c r="EV29" s="33"/>
      <c r="EW29" s="49">
        <f>SUM(EW8:EW28)</f>
        <v>423410.33999999997</v>
      </c>
      <c r="EX29" s="49">
        <f>SUM(EX8:EX28)</f>
        <v>168909.69711600002</v>
      </c>
      <c r="EY29" s="49">
        <f>SUM(EY8:EY28)</f>
        <v>592320.0371160001</v>
      </c>
      <c r="EZ29" s="49">
        <f>SUM(EZ8:EZ28)</f>
        <v>39498.043655999994</v>
      </c>
      <c r="FA29" s="49">
        <f>SUM(FA8:FA28)</f>
        <v>1932.819719999999</v>
      </c>
      <c r="FB29" s="33"/>
      <c r="FC29" s="49">
        <f>SUM(FC8:FC28)</f>
        <v>787013.94</v>
      </c>
      <c r="FD29" s="49">
        <f>SUM(FD8:FD28)</f>
        <v>313960.8877559999</v>
      </c>
      <c r="FE29" s="49">
        <f>SUM(FE8:FE28)</f>
        <v>1100974.827756</v>
      </c>
      <c r="FF29" s="49">
        <f>SUM(FF8:FF28)</f>
        <v>73416.985896</v>
      </c>
      <c r="FG29" s="49">
        <f>SUM(FG8:FG28)</f>
        <v>3592.628519999999</v>
      </c>
      <c r="FH29" s="33"/>
      <c r="FI29" s="49">
        <f>SUM(FI8:FI28)</f>
        <v>0</v>
      </c>
      <c r="FJ29" s="49">
        <f>SUM(FJ8:FJ28)</f>
        <v>0</v>
      </c>
      <c r="FK29" s="49">
        <f>SUM(FK8:IV28)</f>
        <v>0</v>
      </c>
      <c r="FL29" s="42"/>
      <c r="FM29" s="49">
        <f>SUM(FM8:FM28)</f>
        <v>0</v>
      </c>
    </row>
    <row r="30" spans="33:43" ht="12.75" thickTop="1">
      <c r="AG30" s="33"/>
      <c r="AH30" s="33"/>
      <c r="AI30" s="33"/>
      <c r="AJ30" s="33"/>
      <c r="AK30" s="33"/>
      <c r="AM30" s="20"/>
      <c r="AN30" s="20"/>
      <c r="AO30" s="20"/>
      <c r="AP30" s="20"/>
      <c r="AQ30" s="20"/>
    </row>
    <row r="31" spans="16:43" ht="12">
      <c r="P31" s="33"/>
      <c r="AG31" s="33"/>
      <c r="AH31" s="33"/>
      <c r="AI31" s="33"/>
      <c r="AJ31" s="33"/>
      <c r="AK31" s="33"/>
      <c r="AM31" s="20"/>
      <c r="AN31" s="20"/>
      <c r="AO31" s="20"/>
      <c r="AP31" s="20"/>
      <c r="AQ31" s="20"/>
    </row>
    <row r="32" spans="33:43" ht="12">
      <c r="AG32" s="33"/>
      <c r="AH32" s="33"/>
      <c r="AI32" s="33"/>
      <c r="AJ32" s="33"/>
      <c r="AK32" s="33"/>
      <c r="AM32" s="20"/>
      <c r="AN32" s="20"/>
      <c r="AO32" s="20"/>
      <c r="AP32" s="20"/>
      <c r="AQ32" s="20"/>
    </row>
    <row r="33" spans="33:43" ht="12">
      <c r="AG33" s="33"/>
      <c r="AH33" s="33"/>
      <c r="AI33" s="33"/>
      <c r="AJ33" s="33"/>
      <c r="AK33" s="33"/>
      <c r="AM33" s="20"/>
      <c r="AN33" s="20"/>
      <c r="AO33" s="20"/>
      <c r="AP33" s="20"/>
      <c r="AQ33" s="20"/>
    </row>
    <row r="34" spans="33:43" ht="12">
      <c r="AG34" s="33"/>
      <c r="AH34" s="33"/>
      <c r="AI34" s="33"/>
      <c r="AJ34" s="33"/>
      <c r="AK34" s="33"/>
      <c r="AM34" s="20"/>
      <c r="AN34" s="20"/>
      <c r="AO34" s="20"/>
      <c r="AP34" s="20"/>
      <c r="AQ34" s="20"/>
    </row>
    <row r="35" spans="33:43" ht="12">
      <c r="AG35" s="33"/>
      <c r="AH35" s="33"/>
      <c r="AI35" s="33"/>
      <c r="AJ35" s="33"/>
      <c r="AK35" s="33"/>
      <c r="AM35" s="20"/>
      <c r="AN35" s="20"/>
      <c r="AO35" s="20"/>
      <c r="AP35" s="20"/>
      <c r="AQ35" s="20"/>
    </row>
    <row r="36" spans="33:43" ht="12">
      <c r="AG36" s="33"/>
      <c r="AH36" s="33"/>
      <c r="AI36" s="33"/>
      <c r="AJ36" s="33"/>
      <c r="AK36" s="33"/>
      <c r="AM36" s="20"/>
      <c r="AN36" s="20"/>
      <c r="AO36" s="20"/>
      <c r="AP36" s="20"/>
      <c r="AQ36" s="20"/>
    </row>
    <row r="37" spans="33:43" ht="12">
      <c r="AG37" s="33"/>
      <c r="AH37" s="33"/>
      <c r="AI37" s="33"/>
      <c r="AJ37" s="33"/>
      <c r="AK37" s="33"/>
      <c r="AM37" s="20"/>
      <c r="AN37" s="20"/>
      <c r="AO37" s="20"/>
      <c r="AP37" s="20"/>
      <c r="AQ37" s="20"/>
    </row>
    <row r="38" spans="33:43" ht="12">
      <c r="AG38" s="33"/>
      <c r="AH38" s="33"/>
      <c r="AI38" s="33"/>
      <c r="AJ38" s="33"/>
      <c r="AK38" s="33"/>
      <c r="AM38" s="20"/>
      <c r="AN38" s="20"/>
      <c r="AO38" s="20"/>
      <c r="AP38" s="20"/>
      <c r="AQ38" s="20"/>
    </row>
    <row r="39" spans="33:43" ht="12">
      <c r="AG39" s="33"/>
      <c r="AH39" s="33"/>
      <c r="AI39" s="33"/>
      <c r="AJ39" s="33"/>
      <c r="AK39" s="33"/>
      <c r="AM39" s="20"/>
      <c r="AN39" s="20"/>
      <c r="AO39" s="20"/>
      <c r="AP39" s="20"/>
      <c r="AQ39" s="20"/>
    </row>
    <row r="40" spans="33:43" ht="12">
      <c r="AG40" s="33"/>
      <c r="AH40" s="33"/>
      <c r="AI40" s="33"/>
      <c r="AJ40" s="33"/>
      <c r="AK40" s="33"/>
      <c r="AM40" s="20"/>
      <c r="AN40" s="20"/>
      <c r="AO40" s="20"/>
      <c r="AP40" s="20"/>
      <c r="AQ40" s="20"/>
    </row>
    <row r="41" spans="33:43" ht="12">
      <c r="AG41" s="33"/>
      <c r="AH41" s="33"/>
      <c r="AI41" s="33"/>
      <c r="AJ41" s="33"/>
      <c r="AK41" s="33"/>
      <c r="AM41" s="20"/>
      <c r="AN41" s="20"/>
      <c r="AO41" s="20"/>
      <c r="AP41" s="20"/>
      <c r="AQ41" s="20"/>
    </row>
    <row r="42" spans="33:43" ht="12">
      <c r="AG42" s="33"/>
      <c r="AH42" s="33"/>
      <c r="AI42" s="33"/>
      <c r="AJ42" s="33"/>
      <c r="AK42" s="33"/>
      <c r="AM42" s="20"/>
      <c r="AN42" s="20"/>
      <c r="AO42" s="20"/>
      <c r="AP42" s="20"/>
      <c r="AQ42" s="20"/>
    </row>
    <row r="43" spans="1:168" ht="12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AG43" s="33"/>
      <c r="AH43" s="33"/>
      <c r="AI43" s="33"/>
      <c r="AJ43" s="33"/>
      <c r="AK43" s="33"/>
      <c r="AM43" s="20"/>
      <c r="AN43" s="20"/>
      <c r="AO43" s="20"/>
      <c r="AP43" s="20"/>
      <c r="AQ43" s="20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</row>
    <row r="44" spans="1:168" ht="12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AG44" s="33"/>
      <c r="AH44" s="33"/>
      <c r="AI44" s="33"/>
      <c r="AJ44" s="33"/>
      <c r="AK44" s="33"/>
      <c r="AM44" s="20"/>
      <c r="AN44" s="20"/>
      <c r="AO44" s="20"/>
      <c r="AP44" s="20"/>
      <c r="AQ44" s="20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</row>
    <row r="45" spans="1:168" ht="12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AG45" s="33"/>
      <c r="AH45" s="33"/>
      <c r="AI45" s="33"/>
      <c r="AJ45" s="33"/>
      <c r="AK45" s="33"/>
      <c r="AM45" s="20"/>
      <c r="AN45" s="20"/>
      <c r="AO45" s="20"/>
      <c r="AP45" s="20"/>
      <c r="AQ45" s="20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</row>
    <row r="46" spans="1:168" ht="12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AG46" s="33"/>
      <c r="AH46" s="33"/>
      <c r="AI46" s="33"/>
      <c r="AJ46" s="33"/>
      <c r="AK46" s="33"/>
      <c r="AM46" s="20"/>
      <c r="AN46" s="20"/>
      <c r="AO46" s="20"/>
      <c r="AP46" s="20"/>
      <c r="AQ46" s="20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</row>
    <row r="47" spans="1:168" ht="12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AG47" s="33"/>
      <c r="AH47" s="33"/>
      <c r="AI47" s="33"/>
      <c r="AJ47" s="33"/>
      <c r="AK47" s="33"/>
      <c r="AM47" s="20"/>
      <c r="AN47" s="20"/>
      <c r="AO47" s="20"/>
      <c r="AP47" s="20"/>
      <c r="AQ47" s="20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</row>
    <row r="48" spans="1:168" ht="12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AG48" s="33"/>
      <c r="AH48" s="33"/>
      <c r="AI48" s="33"/>
      <c r="AJ48" s="33"/>
      <c r="AK48" s="33"/>
      <c r="AM48" s="20"/>
      <c r="AN48" s="20"/>
      <c r="AO48" s="20"/>
      <c r="AP48" s="20"/>
      <c r="AQ48" s="20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</row>
    <row r="49" spans="1:168" ht="12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AG49" s="33"/>
      <c r="AH49" s="33"/>
      <c r="AI49" s="33"/>
      <c r="AJ49" s="33"/>
      <c r="AK49" s="33"/>
      <c r="AM49" s="20"/>
      <c r="AN49" s="20"/>
      <c r="AO49" s="20"/>
      <c r="AP49" s="20"/>
      <c r="AQ49" s="20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</row>
    <row r="50" spans="1:168" ht="12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AG50" s="33"/>
      <c r="AH50" s="33"/>
      <c r="AI50" s="33"/>
      <c r="AJ50" s="33"/>
      <c r="AK50" s="33"/>
      <c r="AM50" s="20"/>
      <c r="AN50" s="20"/>
      <c r="AO50" s="20"/>
      <c r="AP50" s="20"/>
      <c r="AQ50" s="2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</row>
    <row r="51" spans="1:168" ht="12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AG51" s="33"/>
      <c r="AH51" s="33"/>
      <c r="AI51" s="33"/>
      <c r="AJ51" s="33"/>
      <c r="AK51" s="33"/>
      <c r="AM51" s="20"/>
      <c r="AN51" s="20"/>
      <c r="AO51" s="20"/>
      <c r="AP51" s="20"/>
      <c r="AQ51" s="20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</row>
    <row r="52" spans="1:168" ht="12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AG52" s="33"/>
      <c r="AH52" s="33"/>
      <c r="AI52" s="33"/>
      <c r="AJ52" s="33"/>
      <c r="AK52" s="33"/>
      <c r="AM52" s="20"/>
      <c r="AN52" s="20"/>
      <c r="AO52" s="20"/>
      <c r="AP52" s="20"/>
      <c r="AQ52" s="20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</row>
    <row r="53" spans="1:168" ht="12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AG53" s="33"/>
      <c r="AH53" s="33"/>
      <c r="AI53" s="33"/>
      <c r="AJ53" s="33"/>
      <c r="AK53" s="33"/>
      <c r="AM53" s="20"/>
      <c r="AN53" s="20"/>
      <c r="AO53" s="20"/>
      <c r="AP53" s="20"/>
      <c r="AQ53" s="20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</row>
    <row r="54" spans="1:168" ht="12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AG54" s="33"/>
      <c r="AH54" s="33"/>
      <c r="AI54" s="33"/>
      <c r="AJ54" s="33"/>
      <c r="AK54" s="33"/>
      <c r="AM54" s="20"/>
      <c r="AN54" s="20"/>
      <c r="AO54" s="20"/>
      <c r="AP54" s="20"/>
      <c r="AQ54" s="20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</row>
    <row r="55" spans="1:168" ht="12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AG55" s="33"/>
      <c r="AH55" s="33"/>
      <c r="AI55" s="33"/>
      <c r="AJ55" s="33"/>
      <c r="AK55" s="33"/>
      <c r="AM55" s="20"/>
      <c r="AN55" s="20"/>
      <c r="AO55" s="20"/>
      <c r="AP55" s="20"/>
      <c r="AQ55" s="20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</row>
    <row r="56" spans="1:168" ht="12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AG56" s="33"/>
      <c r="AH56" s="33"/>
      <c r="AI56" s="33"/>
      <c r="AJ56" s="33"/>
      <c r="AK56" s="33"/>
      <c r="AM56" s="20"/>
      <c r="AN56" s="20"/>
      <c r="AO56" s="20"/>
      <c r="AP56" s="20"/>
      <c r="AQ56" s="20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</row>
    <row r="57" spans="1:168" ht="12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AG57" s="33"/>
      <c r="AH57" s="33"/>
      <c r="AI57" s="33"/>
      <c r="AJ57" s="33"/>
      <c r="AK57" s="3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</row>
    <row r="58" spans="1:168" ht="12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AG58" s="33"/>
      <c r="AH58" s="33"/>
      <c r="AI58" s="33"/>
      <c r="AJ58" s="33"/>
      <c r="AK58" s="3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</row>
    <row r="59" spans="1:168" ht="12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AG59" s="33"/>
      <c r="AH59" s="33"/>
      <c r="AI59" s="33"/>
      <c r="AJ59" s="33"/>
      <c r="AK59" s="3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</row>
    <row r="60" spans="1:168" ht="12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AG60" s="33"/>
      <c r="AH60" s="33"/>
      <c r="AI60" s="33"/>
      <c r="AJ60" s="33"/>
      <c r="AK60" s="3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</row>
    <row r="61" spans="1:168" ht="12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AG61" s="33"/>
      <c r="AH61" s="33"/>
      <c r="AI61" s="33"/>
      <c r="AJ61" s="33"/>
      <c r="AK61" s="3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</row>
    <row r="62" spans="1:168" ht="12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AG62" s="33"/>
      <c r="AH62" s="33"/>
      <c r="AI62" s="33"/>
      <c r="AJ62" s="33"/>
      <c r="AK62" s="3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</row>
    <row r="63" spans="1:168" ht="12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AG63" s="33"/>
      <c r="AH63" s="33"/>
      <c r="AI63" s="33"/>
      <c r="AJ63" s="33"/>
      <c r="AK63" s="3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</row>
    <row r="64" spans="1:168" ht="12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AG64" s="33"/>
      <c r="AH64" s="33"/>
      <c r="AI64" s="33"/>
      <c r="AJ64" s="33"/>
      <c r="AK64" s="3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</row>
    <row r="65" spans="1:168" ht="12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AG65" s="33"/>
      <c r="AH65" s="33"/>
      <c r="AI65" s="33"/>
      <c r="AJ65" s="33"/>
      <c r="AK65" s="33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</row>
    <row r="66" spans="1:168" ht="12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AG66" s="33"/>
      <c r="AH66" s="33"/>
      <c r="AI66" s="33"/>
      <c r="AJ66" s="33"/>
      <c r="AK66" s="33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</row>
    <row r="67" spans="1:168" ht="12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AG67" s="33"/>
      <c r="AH67" s="33"/>
      <c r="AI67" s="33"/>
      <c r="AJ67" s="33"/>
      <c r="AK67" s="33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</row>
    <row r="68" spans="1:168" ht="12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AG68" s="33"/>
      <c r="AH68" s="33"/>
      <c r="AI68" s="33"/>
      <c r="AJ68" s="33"/>
      <c r="AK68" s="33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</row>
    <row r="69" spans="1:168" ht="12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AG69" s="33"/>
      <c r="AH69" s="33"/>
      <c r="AI69" s="33"/>
      <c r="AJ69" s="33"/>
      <c r="AK69" s="33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I69"/>
  <sheetViews>
    <sheetView zoomScale="150" zoomScaleNormal="150" workbookViewId="0" topLeftCell="A1">
      <selection activeCell="I8" sqref="I8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3.7109375" style="33" hidden="1" customWidth="1"/>
    <col min="7" max="7" width="15.8515625" style="33" hidden="1" customWidth="1"/>
    <col min="8" max="8" width="3.7109375" style="33" hidden="1" customWidth="1"/>
    <col min="9" max="12" width="13.7109375" style="33" customWidth="1"/>
    <col min="13" max="13" width="15.7109375" style="33" customWidth="1"/>
    <col min="14" max="14" width="3.7109375" style="33" customWidth="1"/>
    <col min="15" max="18" width="13.7109375" style="33" customWidth="1"/>
    <col min="19" max="19" width="15.00390625" style="33" customWidth="1"/>
    <col min="20" max="20" width="3.7109375" style="33" customWidth="1"/>
    <col min="21" max="25" width="13.7109375" style="33" customWidth="1"/>
    <col min="26" max="26" width="3.7109375" style="33" customWidth="1"/>
    <col min="27" max="31" width="13.7109375" style="33" customWidth="1"/>
    <col min="32" max="32" width="3.7109375" style="33" customWidth="1"/>
    <col min="33" max="37" width="13.7109375" style="33" customWidth="1"/>
    <col min="38" max="38" width="3.7109375" style="33" customWidth="1"/>
    <col min="39" max="43" width="13.7109375" style="33" customWidth="1"/>
    <col min="44" max="44" width="3.7109375" style="33" customWidth="1"/>
    <col min="45" max="49" width="13.7109375" style="33" customWidth="1"/>
    <col min="50" max="50" width="3.7109375" style="33" customWidth="1"/>
    <col min="51" max="55" width="13.7109375" style="33" customWidth="1"/>
    <col min="56" max="56" width="3.7109375" style="33" customWidth="1"/>
    <col min="57" max="61" width="13.7109375" style="33" customWidth="1"/>
    <col min="62" max="62" width="3.7109375" style="33" customWidth="1"/>
    <col min="63" max="67" width="13.7109375" style="33" customWidth="1"/>
    <col min="68" max="68" width="3.7109375" style="33" customWidth="1"/>
    <col min="69" max="73" width="13.7109375" style="33" customWidth="1"/>
    <col min="74" max="74" width="3.7109375" style="33" customWidth="1"/>
    <col min="75" max="79" width="13.7109375" style="33" customWidth="1"/>
    <col min="80" max="80" width="3.7109375" style="33" customWidth="1"/>
    <col min="81" max="85" width="13.7109375" style="33" customWidth="1"/>
    <col min="86" max="86" width="3.7109375" style="33" customWidth="1"/>
    <col min="87" max="91" width="13.7109375" style="33" customWidth="1"/>
    <col min="92" max="92" width="3.7109375" style="33" customWidth="1"/>
    <col min="93" max="97" width="13.7109375" style="33" customWidth="1"/>
    <col min="98" max="98" width="3.7109375" style="33" customWidth="1"/>
    <col min="99" max="103" width="13.7109375" style="33" customWidth="1"/>
    <col min="104" max="104" width="3.7109375" style="33" customWidth="1"/>
    <col min="105" max="109" width="13.7109375" style="33" customWidth="1"/>
    <col min="110" max="110" width="3.7109375" style="33" customWidth="1"/>
    <col min="111" max="115" width="13.7109375" style="33" customWidth="1"/>
    <col min="116" max="116" width="3.7109375" style="33" customWidth="1"/>
    <col min="117" max="121" width="13.7109375" style="33" customWidth="1"/>
    <col min="122" max="122" width="3.7109375" style="33" customWidth="1"/>
    <col min="123" max="127" width="13.7109375" style="33" customWidth="1"/>
    <col min="128" max="128" width="3.7109375" style="33" customWidth="1"/>
    <col min="129" max="133" width="13.7109375" style="33" customWidth="1"/>
    <col min="134" max="134" width="3.7109375" style="33" customWidth="1"/>
    <col min="135" max="139" width="13.7109375" style="33" customWidth="1"/>
    <col min="140" max="140" width="3.7109375" style="33" customWidth="1"/>
    <col min="141" max="145" width="13.7109375" style="33" customWidth="1"/>
    <col min="146" max="146" width="3.7109375" style="33" customWidth="1"/>
    <col min="147" max="151" width="13.7109375" style="33" customWidth="1"/>
    <col min="152" max="152" width="3.7109375" style="33" customWidth="1"/>
    <col min="153" max="157" width="13.7109375" style="33" customWidth="1"/>
    <col min="158" max="158" width="3.7109375" style="33" customWidth="1"/>
    <col min="159" max="163" width="13.7109375" style="33" customWidth="1"/>
    <col min="164" max="164" width="3.7109375" style="33" customWidth="1"/>
    <col min="165" max="169" width="13.7109375" style="33" customWidth="1"/>
    <col min="170" max="170" width="3.7109375" style="33" customWidth="1"/>
    <col min="171" max="175" width="13.7109375" style="33" customWidth="1"/>
    <col min="176" max="176" width="3.7109375" style="33" customWidth="1"/>
    <col min="177" max="181" width="13.7109375" style="33" customWidth="1"/>
    <col min="182" max="182" width="3.7109375" style="33" customWidth="1"/>
    <col min="183" max="187" width="13.7109375" style="33" customWidth="1"/>
    <col min="188" max="188" width="3.7109375" style="33" customWidth="1"/>
    <col min="189" max="193" width="13.7109375" style="33" customWidth="1"/>
    <col min="194" max="194" width="3.7109375" style="33" customWidth="1"/>
    <col min="195" max="199" width="13.7109375" style="33" customWidth="1"/>
    <col min="200" max="200" width="3.7109375" style="33" customWidth="1"/>
    <col min="201" max="205" width="13.7109375" style="33" customWidth="1"/>
    <col min="206" max="206" width="3.7109375" style="33" customWidth="1"/>
    <col min="207" max="211" width="13.7109375" style="33" customWidth="1"/>
    <col min="212" max="212" width="3.7109375" style="33" customWidth="1"/>
  </cols>
  <sheetData>
    <row r="1" spans="1:212" ht="12">
      <c r="A1" s="44"/>
      <c r="B1" s="30"/>
      <c r="C1" s="43"/>
      <c r="D1" s="45"/>
      <c r="E1" s="45" t="s">
        <v>171</v>
      </c>
      <c r="G1" s="45"/>
      <c r="H1" s="45"/>
      <c r="I1" s="36"/>
      <c r="K1" s="45"/>
      <c r="O1" s="45" t="s">
        <v>171</v>
      </c>
      <c r="W1" s="45"/>
      <c r="AA1" s="45" t="s">
        <v>171</v>
      </c>
      <c r="AE1"/>
      <c r="AF1"/>
      <c r="AG1"/>
      <c r="AI1" s="45"/>
      <c r="AJ1"/>
      <c r="AK1"/>
      <c r="AL1"/>
      <c r="AM1" s="45" t="s">
        <v>171</v>
      </c>
      <c r="AN1"/>
      <c r="AO1"/>
      <c r="AP1"/>
      <c r="AQ1"/>
      <c r="AR1"/>
      <c r="AS1"/>
      <c r="AT1"/>
      <c r="AU1" s="45"/>
      <c r="AV1"/>
      <c r="AW1"/>
      <c r="AX1" s="20"/>
      <c r="AY1" s="45" t="s">
        <v>171</v>
      </c>
      <c r="AZ1" s="20"/>
      <c r="BA1" s="20"/>
      <c r="BB1" s="20"/>
      <c r="BC1" s="20"/>
      <c r="BD1" s="20"/>
      <c r="BE1" s="20"/>
      <c r="BF1" s="20"/>
      <c r="BG1" s="45"/>
      <c r="BH1" s="20"/>
      <c r="BI1" s="20"/>
      <c r="BJ1" s="20"/>
      <c r="BK1" s="45" t="s">
        <v>171</v>
      </c>
      <c r="BL1" s="20"/>
      <c r="BM1" s="20"/>
      <c r="BN1" s="20"/>
      <c r="BO1" s="20"/>
      <c r="BP1" s="20"/>
      <c r="BQ1" s="20"/>
      <c r="BR1" s="20"/>
      <c r="BS1" s="45"/>
      <c r="BT1" s="20"/>
      <c r="BU1" s="20"/>
      <c r="BV1" s="20"/>
      <c r="BW1" s="45" t="s">
        <v>171</v>
      </c>
      <c r="BX1" s="20"/>
      <c r="BY1" s="20"/>
      <c r="BZ1" s="20"/>
      <c r="CA1" s="20"/>
      <c r="CB1" s="20"/>
      <c r="CC1" s="20"/>
      <c r="CD1" s="20"/>
      <c r="CE1" s="45"/>
      <c r="CF1" s="20"/>
      <c r="CG1" s="20"/>
      <c r="CH1" s="20"/>
      <c r="CI1" s="45" t="s">
        <v>171</v>
      </c>
      <c r="CJ1" s="20"/>
      <c r="CK1" s="20"/>
      <c r="CL1" s="20"/>
      <c r="CM1" s="20"/>
      <c r="CN1" s="20"/>
      <c r="CO1" s="20"/>
      <c r="CP1" s="20"/>
      <c r="CQ1" s="45"/>
      <c r="CR1" s="20"/>
      <c r="CS1" s="20"/>
      <c r="CT1" s="20"/>
      <c r="CU1" s="45" t="s">
        <v>171</v>
      </c>
      <c r="CV1" s="20"/>
      <c r="CW1" s="20"/>
      <c r="CX1" s="20"/>
      <c r="CY1" s="20"/>
      <c r="CZ1" s="20"/>
      <c r="DA1" s="20"/>
      <c r="DB1" s="20"/>
      <c r="DC1" s="45"/>
      <c r="DD1" s="20"/>
      <c r="DE1" s="20"/>
      <c r="DF1" s="20"/>
      <c r="DG1" s="45" t="s">
        <v>171</v>
      </c>
      <c r="DH1" s="20"/>
      <c r="DI1" s="20"/>
      <c r="DJ1" s="20"/>
      <c r="DK1" s="20"/>
      <c r="DL1" s="20"/>
      <c r="DM1" s="20"/>
      <c r="DN1" s="20"/>
      <c r="DO1" s="45"/>
      <c r="DP1" s="20"/>
      <c r="DQ1" s="20"/>
      <c r="DR1" s="20"/>
      <c r="DS1" s="45" t="s">
        <v>171</v>
      </c>
      <c r="DT1" s="20"/>
      <c r="DU1" s="20"/>
      <c r="DV1" s="20"/>
      <c r="DW1" s="20"/>
      <c r="DX1" s="20"/>
      <c r="DY1" s="20"/>
      <c r="DZ1" s="20"/>
      <c r="EA1" s="45"/>
      <c r="EB1" s="20"/>
      <c r="EC1" s="20"/>
      <c r="ED1" s="45" t="s">
        <v>171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</row>
    <row r="2" spans="1:212" ht="12">
      <c r="A2" s="44"/>
      <c r="B2" s="30"/>
      <c r="C2" s="43"/>
      <c r="D2" s="45"/>
      <c r="E2" s="43" t="s">
        <v>181</v>
      </c>
      <c r="G2" s="45"/>
      <c r="H2" s="45"/>
      <c r="I2" s="36"/>
      <c r="K2" s="45"/>
      <c r="O2" s="43" t="str">
        <f>E2</f>
        <v>Distribution of Debt Services after 2011B Bond Issue</v>
      </c>
      <c r="W2" s="45"/>
      <c r="AA2" s="43" t="str">
        <f>O2</f>
        <v>Distribution of Debt Services after 2011B Bond Issue</v>
      </c>
      <c r="AE2"/>
      <c r="AF2"/>
      <c r="AG2"/>
      <c r="AI2" s="45"/>
      <c r="AJ2"/>
      <c r="AK2"/>
      <c r="AL2"/>
      <c r="AM2" s="43" t="str">
        <f>AA2</f>
        <v>Distribution of Debt Services after 2011B Bond Issue</v>
      </c>
      <c r="AN2"/>
      <c r="AO2"/>
      <c r="AP2"/>
      <c r="AQ2"/>
      <c r="AR2"/>
      <c r="AS2"/>
      <c r="AT2"/>
      <c r="AU2" s="45"/>
      <c r="AV2"/>
      <c r="AW2"/>
      <c r="AX2" s="20"/>
      <c r="AY2" s="43" t="str">
        <f>AM2</f>
        <v>Distribution of Debt Services after 2011B Bond Issue</v>
      </c>
      <c r="AZ2" s="20"/>
      <c r="BA2" s="20"/>
      <c r="BB2" s="20"/>
      <c r="BC2" s="20"/>
      <c r="BD2" s="20"/>
      <c r="BE2" s="20"/>
      <c r="BF2" s="20"/>
      <c r="BG2" s="45"/>
      <c r="BH2" s="20"/>
      <c r="BI2" s="20"/>
      <c r="BJ2" s="20"/>
      <c r="BK2" s="43" t="str">
        <f>AY2</f>
        <v>Distribution of Debt Services after 2011B Bond Issue</v>
      </c>
      <c r="BL2" s="20"/>
      <c r="BM2" s="20"/>
      <c r="BN2" s="20"/>
      <c r="BO2" s="20"/>
      <c r="BP2" s="20"/>
      <c r="BQ2" s="20"/>
      <c r="BR2" s="20"/>
      <c r="BS2" s="45"/>
      <c r="BT2" s="20"/>
      <c r="BU2" s="20"/>
      <c r="BV2" s="20"/>
      <c r="BW2" s="43" t="str">
        <f>BK2</f>
        <v>Distribution of Debt Services after 2011B Bond Issue</v>
      </c>
      <c r="BX2" s="20"/>
      <c r="BY2" s="20"/>
      <c r="BZ2" s="20"/>
      <c r="CA2" s="20"/>
      <c r="CB2" s="20"/>
      <c r="CC2" s="20"/>
      <c r="CD2" s="20"/>
      <c r="CE2" s="45"/>
      <c r="CF2" s="20"/>
      <c r="CG2" s="20"/>
      <c r="CH2" s="20"/>
      <c r="CI2" s="43" t="str">
        <f>BW2</f>
        <v>Distribution of Debt Services after 2011B Bond Issue</v>
      </c>
      <c r="CJ2" s="20"/>
      <c r="CK2" s="20"/>
      <c r="CL2" s="20"/>
      <c r="CM2" s="20"/>
      <c r="CN2" s="20"/>
      <c r="CO2" s="20"/>
      <c r="CP2" s="20"/>
      <c r="CQ2" s="45"/>
      <c r="CR2" s="20"/>
      <c r="CS2" s="20"/>
      <c r="CT2" s="20"/>
      <c r="CU2" s="43" t="str">
        <f>CI2</f>
        <v>Distribution of Debt Services after 2011B Bond Issue</v>
      </c>
      <c r="CV2" s="20"/>
      <c r="CW2" s="20"/>
      <c r="CX2" s="20"/>
      <c r="CY2" s="20"/>
      <c r="CZ2" s="20"/>
      <c r="DA2" s="20"/>
      <c r="DB2" s="20"/>
      <c r="DC2" s="45"/>
      <c r="DD2" s="20"/>
      <c r="DE2" s="20"/>
      <c r="DF2" s="20"/>
      <c r="DG2" s="43" t="str">
        <f>CU2</f>
        <v>Distribution of Debt Services after 2011B Bond Issue</v>
      </c>
      <c r="DH2" s="20"/>
      <c r="DI2" s="20"/>
      <c r="DJ2" s="20"/>
      <c r="DK2" s="20"/>
      <c r="DL2" s="20"/>
      <c r="DM2" s="20"/>
      <c r="DN2" s="20"/>
      <c r="DO2" s="45"/>
      <c r="DP2" s="20"/>
      <c r="DQ2" s="20"/>
      <c r="DR2" s="20"/>
      <c r="DS2" s="43" t="str">
        <f>DG2</f>
        <v>Distribution of Debt Services after 2011B Bond Issue</v>
      </c>
      <c r="DT2" s="20"/>
      <c r="DU2" s="20"/>
      <c r="DV2" s="20"/>
      <c r="DW2" s="20"/>
      <c r="DX2" s="20"/>
      <c r="DY2" s="20"/>
      <c r="DZ2" s="20"/>
      <c r="EA2" s="45"/>
      <c r="EB2" s="20"/>
      <c r="EC2" s="20"/>
      <c r="ED2" s="43" t="str">
        <f>DS2</f>
        <v>Distribution of Debt Services after 2011B Bond Issue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</row>
    <row r="3" spans="1:212" ht="12">
      <c r="A3" s="44"/>
      <c r="B3" s="30"/>
      <c r="C3" s="43"/>
      <c r="D3" s="43"/>
      <c r="E3" s="45" t="s">
        <v>173</v>
      </c>
      <c r="G3" s="43"/>
      <c r="H3" s="43"/>
      <c r="I3" s="36"/>
      <c r="K3" s="45"/>
      <c r="O3" s="45" t="s">
        <v>173</v>
      </c>
      <c r="W3" s="45"/>
      <c r="AA3" s="45" t="s">
        <v>173</v>
      </c>
      <c r="AE3"/>
      <c r="AF3" s="12"/>
      <c r="AG3"/>
      <c r="AI3" s="45"/>
      <c r="AJ3"/>
      <c r="AK3"/>
      <c r="AL3"/>
      <c r="AM3" s="45" t="s">
        <v>173</v>
      </c>
      <c r="AN3"/>
      <c r="AO3"/>
      <c r="AP3"/>
      <c r="AQ3"/>
      <c r="AR3"/>
      <c r="AS3"/>
      <c r="AT3"/>
      <c r="AU3" s="45"/>
      <c r="AV3"/>
      <c r="AW3"/>
      <c r="AX3" s="20"/>
      <c r="AY3" s="45" t="s">
        <v>173</v>
      </c>
      <c r="AZ3" s="20"/>
      <c r="BA3" s="20"/>
      <c r="BB3" s="20"/>
      <c r="BC3" s="20"/>
      <c r="BD3" s="20"/>
      <c r="BE3" s="20"/>
      <c r="BF3" s="20"/>
      <c r="BG3" s="45"/>
      <c r="BH3" s="20"/>
      <c r="BI3" s="20"/>
      <c r="BJ3" s="20"/>
      <c r="BK3" s="45" t="s">
        <v>173</v>
      </c>
      <c r="BL3" s="20"/>
      <c r="BM3" s="20"/>
      <c r="BN3" s="20"/>
      <c r="BO3" s="20"/>
      <c r="BP3" s="20"/>
      <c r="BQ3" s="20"/>
      <c r="BR3" s="20"/>
      <c r="BS3" s="45"/>
      <c r="BT3" s="20"/>
      <c r="BU3" s="20"/>
      <c r="BV3" s="20"/>
      <c r="BW3" s="45" t="s">
        <v>173</v>
      </c>
      <c r="BX3" s="20"/>
      <c r="BY3" s="20"/>
      <c r="BZ3" s="20"/>
      <c r="CA3" s="20"/>
      <c r="CB3" s="20"/>
      <c r="CC3" s="20"/>
      <c r="CD3" s="20"/>
      <c r="CE3" s="45"/>
      <c r="CF3" s="20"/>
      <c r="CG3" s="20"/>
      <c r="CH3" s="20"/>
      <c r="CI3" s="45" t="s">
        <v>173</v>
      </c>
      <c r="CJ3" s="20"/>
      <c r="CK3" s="20"/>
      <c r="CL3" s="20"/>
      <c r="CM3" s="20"/>
      <c r="CN3" s="20"/>
      <c r="CO3" s="20"/>
      <c r="CP3" s="20"/>
      <c r="CQ3" s="45"/>
      <c r="CR3" s="20"/>
      <c r="CS3" s="20"/>
      <c r="CT3" s="20"/>
      <c r="CU3" s="45" t="s">
        <v>173</v>
      </c>
      <c r="CV3" s="20"/>
      <c r="CW3" s="20"/>
      <c r="CX3" s="20"/>
      <c r="CY3" s="20"/>
      <c r="CZ3" s="20"/>
      <c r="DA3" s="20"/>
      <c r="DB3" s="20"/>
      <c r="DC3" s="45"/>
      <c r="DD3" s="20"/>
      <c r="DE3" s="20"/>
      <c r="DF3" s="20"/>
      <c r="DG3" s="45" t="s">
        <v>173</v>
      </c>
      <c r="DH3" s="20"/>
      <c r="DI3" s="20"/>
      <c r="DJ3" s="20"/>
      <c r="DK3" s="20"/>
      <c r="DL3" s="20"/>
      <c r="DM3" s="20"/>
      <c r="DN3" s="20"/>
      <c r="DO3" s="45"/>
      <c r="DP3" s="20"/>
      <c r="DQ3" s="20"/>
      <c r="DR3" s="20"/>
      <c r="DS3" s="45" t="s">
        <v>173</v>
      </c>
      <c r="DT3" s="20"/>
      <c r="DU3" s="20"/>
      <c r="DV3" s="20"/>
      <c r="DW3" s="20"/>
      <c r="DX3" s="20"/>
      <c r="DY3" s="20"/>
      <c r="DZ3" s="20"/>
      <c r="EA3" s="45"/>
      <c r="EB3" s="20"/>
      <c r="EC3" s="20"/>
      <c r="ED3" s="45" t="s">
        <v>173</v>
      </c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</row>
    <row r="4" spans="1:2" ht="12">
      <c r="A4" s="44"/>
      <c r="B4" s="30"/>
    </row>
    <row r="5" spans="1:211" ht="12">
      <c r="A5" s="22" t="s">
        <v>9</v>
      </c>
      <c r="C5" s="76" t="s">
        <v>182</v>
      </c>
      <c r="D5" s="38"/>
      <c r="E5" s="39"/>
      <c r="F5" s="41"/>
      <c r="G5" s="41"/>
      <c r="I5" s="37" t="s">
        <v>85</v>
      </c>
      <c r="J5" s="38"/>
      <c r="K5" s="39"/>
      <c r="L5" s="41"/>
      <c r="M5" s="41"/>
      <c r="O5" s="37" t="s">
        <v>86</v>
      </c>
      <c r="P5" s="38"/>
      <c r="Q5" s="39"/>
      <c r="R5" s="41"/>
      <c r="S5" s="41"/>
      <c r="U5" s="37" t="s">
        <v>164</v>
      </c>
      <c r="V5" s="38"/>
      <c r="W5" s="39"/>
      <c r="X5" s="41"/>
      <c r="Y5" s="41"/>
      <c r="AA5" s="62" t="s">
        <v>87</v>
      </c>
      <c r="AB5" s="38"/>
      <c r="AC5" s="39"/>
      <c r="AD5" s="41"/>
      <c r="AE5" s="41"/>
      <c r="AG5" s="62" t="s">
        <v>142</v>
      </c>
      <c r="AH5" s="38"/>
      <c r="AI5" s="39"/>
      <c r="AJ5" s="41"/>
      <c r="AK5" s="41"/>
      <c r="AM5" s="62" t="s">
        <v>88</v>
      </c>
      <c r="AN5" s="38"/>
      <c r="AO5" s="39"/>
      <c r="AP5" s="41"/>
      <c r="AQ5" s="41"/>
      <c r="AR5" s="63"/>
      <c r="AS5" s="37" t="s">
        <v>89</v>
      </c>
      <c r="AT5" s="38"/>
      <c r="AU5" s="39"/>
      <c r="AV5" s="41"/>
      <c r="AW5" s="41"/>
      <c r="AY5" s="37" t="s">
        <v>90</v>
      </c>
      <c r="AZ5" s="38"/>
      <c r="BA5" s="39"/>
      <c r="BB5" s="41"/>
      <c r="BC5" s="41"/>
      <c r="BE5" s="37" t="s">
        <v>91</v>
      </c>
      <c r="BF5" s="38"/>
      <c r="BG5" s="39"/>
      <c r="BH5" s="41"/>
      <c r="BI5" s="41"/>
      <c r="BK5" s="37" t="s">
        <v>92</v>
      </c>
      <c r="BL5" s="38"/>
      <c r="BM5" s="39"/>
      <c r="BN5" s="41"/>
      <c r="BO5" s="41"/>
      <c r="BQ5" s="37" t="s">
        <v>93</v>
      </c>
      <c r="BR5" s="38"/>
      <c r="BS5" s="39"/>
      <c r="BT5" s="41"/>
      <c r="BU5" s="41"/>
      <c r="BW5" s="37" t="s">
        <v>94</v>
      </c>
      <c r="BX5" s="38"/>
      <c r="BY5" s="39"/>
      <c r="BZ5" s="41"/>
      <c r="CA5" s="41"/>
      <c r="CB5" s="63"/>
      <c r="CC5" s="37" t="s">
        <v>95</v>
      </c>
      <c r="CD5" s="38"/>
      <c r="CE5" s="39"/>
      <c r="CF5" s="41"/>
      <c r="CG5" s="41"/>
      <c r="CI5" s="37" t="s">
        <v>96</v>
      </c>
      <c r="CJ5" s="38"/>
      <c r="CK5" s="39"/>
      <c r="CL5" s="41"/>
      <c r="CM5" s="41"/>
      <c r="CO5" s="37" t="s">
        <v>97</v>
      </c>
      <c r="CP5" s="38"/>
      <c r="CQ5" s="39"/>
      <c r="CR5" s="41"/>
      <c r="CS5" s="41"/>
      <c r="CU5" s="37" t="s">
        <v>98</v>
      </c>
      <c r="CV5" s="38"/>
      <c r="CW5" s="39"/>
      <c r="CX5" s="41"/>
      <c r="CY5" s="41"/>
      <c r="DA5" s="37" t="s">
        <v>99</v>
      </c>
      <c r="DB5" s="38"/>
      <c r="DC5" s="39"/>
      <c r="DD5" s="41"/>
      <c r="DE5" s="41"/>
      <c r="DG5" s="37" t="s">
        <v>100</v>
      </c>
      <c r="DH5" s="38"/>
      <c r="DI5" s="39"/>
      <c r="DJ5" s="41"/>
      <c r="DK5" s="41"/>
      <c r="DM5" s="37" t="s">
        <v>101</v>
      </c>
      <c r="DN5" s="38"/>
      <c r="DO5" s="39"/>
      <c r="DP5" s="41"/>
      <c r="DQ5" s="41"/>
      <c r="DS5" s="37" t="s">
        <v>102</v>
      </c>
      <c r="DT5" s="38"/>
      <c r="DU5" s="39"/>
      <c r="DV5" s="41"/>
      <c r="DW5" s="41"/>
      <c r="DY5" s="37" t="s">
        <v>103</v>
      </c>
      <c r="DZ5" s="38"/>
      <c r="EA5" s="39"/>
      <c r="EB5" s="41"/>
      <c r="EC5" s="41"/>
      <c r="EE5" s="37" t="s">
        <v>165</v>
      </c>
      <c r="EF5" s="38"/>
      <c r="EG5" s="39"/>
      <c r="EH5" s="41"/>
      <c r="EI5" s="41"/>
      <c r="EK5" s="37" t="s">
        <v>104</v>
      </c>
      <c r="EL5" s="38"/>
      <c r="EM5" s="39"/>
      <c r="EN5" s="41"/>
      <c r="EO5" s="41"/>
      <c r="EQ5" s="37" t="s">
        <v>105</v>
      </c>
      <c r="ER5" s="38"/>
      <c r="ES5" s="39"/>
      <c r="ET5" s="41"/>
      <c r="EU5" s="41"/>
      <c r="EW5" s="37" t="s">
        <v>106</v>
      </c>
      <c r="EX5" s="38"/>
      <c r="EY5" s="39"/>
      <c r="EZ5" s="41"/>
      <c r="FA5" s="41"/>
      <c r="FC5" s="37" t="s">
        <v>107</v>
      </c>
      <c r="FD5" s="38"/>
      <c r="FE5" s="39"/>
      <c r="FF5" s="41"/>
      <c r="FG5" s="41"/>
      <c r="FI5" s="37" t="s">
        <v>108</v>
      </c>
      <c r="FJ5" s="38"/>
      <c r="FK5" s="39"/>
      <c r="FL5" s="41"/>
      <c r="FM5" s="41"/>
      <c r="FO5" s="37" t="s">
        <v>109</v>
      </c>
      <c r="FP5" s="38"/>
      <c r="FQ5" s="39"/>
      <c r="FR5" s="41"/>
      <c r="FS5" s="41"/>
      <c r="FU5" s="37" t="s">
        <v>110</v>
      </c>
      <c r="FV5" s="38"/>
      <c r="FW5" s="39"/>
      <c r="FX5" s="41"/>
      <c r="FY5" s="41"/>
      <c r="GA5" s="37" t="s">
        <v>111</v>
      </c>
      <c r="GB5" s="38"/>
      <c r="GC5" s="39"/>
      <c r="GD5" s="41"/>
      <c r="GE5" s="41"/>
      <c r="GG5" s="37" t="s">
        <v>112</v>
      </c>
      <c r="GH5" s="38"/>
      <c r="GI5" s="39"/>
      <c r="GJ5" s="41"/>
      <c r="GK5" s="41"/>
      <c r="GM5" s="37" t="s">
        <v>113</v>
      </c>
      <c r="GN5" s="38"/>
      <c r="GO5" s="39"/>
      <c r="GP5" s="41"/>
      <c r="GQ5" s="41"/>
      <c r="GS5" s="37" t="s">
        <v>114</v>
      </c>
      <c r="GT5" s="38"/>
      <c r="GU5" s="39"/>
      <c r="GV5" s="41"/>
      <c r="GW5" s="41"/>
      <c r="GY5" s="37" t="s">
        <v>115</v>
      </c>
      <c r="GZ5" s="38"/>
      <c r="HA5" s="39"/>
      <c r="HB5" s="41"/>
      <c r="HC5" s="41"/>
    </row>
    <row r="6" spans="1:212" s="12" customFormat="1" ht="12">
      <c r="A6" s="46" t="s">
        <v>10</v>
      </c>
      <c r="C6" s="40"/>
      <c r="D6" s="61">
        <v>1</v>
      </c>
      <c r="E6" s="39"/>
      <c r="F6" s="41" t="s">
        <v>168</v>
      </c>
      <c r="G6" s="98" t="s">
        <v>176</v>
      </c>
      <c r="H6" s="33"/>
      <c r="I6" s="40"/>
      <c r="J6" s="67">
        <f>P6+V6+AB6+AH6+AN6+AT6+AZ6+BF6+BL6+BR6+BX6+CD6+CJ6+CP6+CV6+DB6+DH6+DN6+DT6+DZ6+EF6+EL6+ER6+EX6+FD6+FJ6+FP6+FV6+GB6+GH6+GN6+GT6+GZ6</f>
        <v>0.5428259000000001</v>
      </c>
      <c r="K6" s="39"/>
      <c r="L6" s="41" t="s">
        <v>168</v>
      </c>
      <c r="M6" s="98" t="s">
        <v>176</v>
      </c>
      <c r="N6" s="33"/>
      <c r="O6" s="40"/>
      <c r="P6" s="53">
        <v>0.0661452</v>
      </c>
      <c r="Q6" s="39"/>
      <c r="R6" s="41" t="s">
        <v>168</v>
      </c>
      <c r="S6" s="98" t="s">
        <v>176</v>
      </c>
      <c r="T6" s="33"/>
      <c r="U6" s="40"/>
      <c r="V6" s="53">
        <v>0.0011296</v>
      </c>
      <c r="W6" s="39"/>
      <c r="X6" s="41" t="s">
        <v>168</v>
      </c>
      <c r="Y6" s="98" t="s">
        <v>176</v>
      </c>
      <c r="Z6" s="33"/>
      <c r="AA6" s="40"/>
      <c r="AB6" s="53">
        <v>0.0050994</v>
      </c>
      <c r="AC6" s="39"/>
      <c r="AD6" s="41" t="s">
        <v>168</v>
      </c>
      <c r="AE6" s="98" t="s">
        <v>176</v>
      </c>
      <c r="AF6" s="33"/>
      <c r="AG6" s="40"/>
      <c r="AH6" s="53">
        <v>0.0886797</v>
      </c>
      <c r="AI6" s="39"/>
      <c r="AJ6" s="41" t="s">
        <v>168</v>
      </c>
      <c r="AK6" s="98" t="s">
        <v>176</v>
      </c>
      <c r="AL6" s="33"/>
      <c r="AM6" s="40"/>
      <c r="AN6" s="53">
        <v>0.0010742</v>
      </c>
      <c r="AO6" s="39"/>
      <c r="AP6" s="41" t="s">
        <v>168</v>
      </c>
      <c r="AQ6" s="98" t="s">
        <v>176</v>
      </c>
      <c r="AR6" s="63"/>
      <c r="AS6" s="40"/>
      <c r="AT6" s="53">
        <v>0.0009059</v>
      </c>
      <c r="AU6" s="39"/>
      <c r="AV6" s="41" t="s">
        <v>168</v>
      </c>
      <c r="AW6" s="98" t="s">
        <v>176</v>
      </c>
      <c r="AX6" s="33"/>
      <c r="AY6" s="40"/>
      <c r="AZ6" s="53">
        <v>0.0371668</v>
      </c>
      <c r="BA6" s="39"/>
      <c r="BB6" s="41" t="s">
        <v>168</v>
      </c>
      <c r="BC6" s="98" t="s">
        <v>176</v>
      </c>
      <c r="BD6" s="33"/>
      <c r="BE6" s="40"/>
      <c r="BF6" s="53">
        <v>0.0762623</v>
      </c>
      <c r="BG6" s="39"/>
      <c r="BH6" s="41" t="s">
        <v>168</v>
      </c>
      <c r="BI6" s="98" t="s">
        <v>176</v>
      </c>
      <c r="BJ6" s="33"/>
      <c r="BK6" s="40"/>
      <c r="BL6" s="53">
        <v>0.0008804</v>
      </c>
      <c r="BM6" s="39"/>
      <c r="BN6" s="41" t="s">
        <v>168</v>
      </c>
      <c r="BO6" s="98" t="s">
        <v>176</v>
      </c>
      <c r="BP6" s="33"/>
      <c r="BQ6" s="40"/>
      <c r="BR6" s="53">
        <v>0.0005914</v>
      </c>
      <c r="BS6" s="39"/>
      <c r="BT6" s="41" t="s">
        <v>168</v>
      </c>
      <c r="BU6" s="98" t="s">
        <v>176</v>
      </c>
      <c r="BV6" s="33"/>
      <c r="BW6" s="40"/>
      <c r="BX6" s="53">
        <v>-8.81E-05</v>
      </c>
      <c r="BY6" s="39"/>
      <c r="BZ6" s="41" t="s">
        <v>168</v>
      </c>
      <c r="CA6" s="98" t="s">
        <v>176</v>
      </c>
      <c r="CB6" s="63"/>
      <c r="CC6" s="40"/>
      <c r="CD6" s="53">
        <v>-5.74E-05</v>
      </c>
      <c r="CE6" s="39"/>
      <c r="CF6" s="41" t="s">
        <v>168</v>
      </c>
      <c r="CG6" s="98" t="s">
        <v>176</v>
      </c>
      <c r="CH6" s="33"/>
      <c r="CI6" s="40"/>
      <c r="CJ6" s="53">
        <v>0.0021346</v>
      </c>
      <c r="CK6" s="39"/>
      <c r="CL6" s="41" t="s">
        <v>168</v>
      </c>
      <c r="CM6" s="98" t="s">
        <v>176</v>
      </c>
      <c r="CN6" s="33"/>
      <c r="CO6" s="40"/>
      <c r="CP6" s="53">
        <v>0.013127</v>
      </c>
      <c r="CQ6" s="39"/>
      <c r="CR6" s="41" t="s">
        <v>168</v>
      </c>
      <c r="CS6" s="98" t="s">
        <v>176</v>
      </c>
      <c r="CT6" s="33"/>
      <c r="CU6" s="40"/>
      <c r="CV6" s="53">
        <v>0.0881851</v>
      </c>
      <c r="CW6" s="39"/>
      <c r="CX6" s="41" t="s">
        <v>168</v>
      </c>
      <c r="CY6" s="98" t="s">
        <v>176</v>
      </c>
      <c r="CZ6" s="33"/>
      <c r="DA6" s="40"/>
      <c r="DB6" s="53">
        <v>0.0127232</v>
      </c>
      <c r="DC6" s="39"/>
      <c r="DD6" s="41" t="s">
        <v>168</v>
      </c>
      <c r="DE6" s="98" t="s">
        <v>176</v>
      </c>
      <c r="DF6" s="33"/>
      <c r="DG6" s="40"/>
      <c r="DH6" s="53">
        <v>0.0259972</v>
      </c>
      <c r="DI6" s="39"/>
      <c r="DJ6" s="41" t="s">
        <v>168</v>
      </c>
      <c r="DK6" s="98" t="s">
        <v>176</v>
      </c>
      <c r="DL6" s="33"/>
      <c r="DM6" s="40"/>
      <c r="DN6" s="53">
        <v>0.0042162</v>
      </c>
      <c r="DO6" s="39"/>
      <c r="DP6" s="41" t="s">
        <v>168</v>
      </c>
      <c r="DQ6" s="98" t="s">
        <v>176</v>
      </c>
      <c r="DR6" s="33"/>
      <c r="DS6" s="40"/>
      <c r="DT6" s="53">
        <v>0.0216282</v>
      </c>
      <c r="DU6" s="39"/>
      <c r="DV6" s="41" t="s">
        <v>168</v>
      </c>
      <c r="DW6" s="98" t="s">
        <v>176</v>
      </c>
      <c r="DX6" s="33"/>
      <c r="DY6" s="40"/>
      <c r="DZ6" s="53">
        <v>0.0001933</v>
      </c>
      <c r="EA6" s="39"/>
      <c r="EB6" s="41" t="s">
        <v>168</v>
      </c>
      <c r="EC6" s="98" t="s">
        <v>176</v>
      </c>
      <c r="ED6" s="33"/>
      <c r="EE6" s="40"/>
      <c r="EF6" s="53">
        <v>0.0002544</v>
      </c>
      <c r="EG6" s="39"/>
      <c r="EH6" s="41" t="s">
        <v>168</v>
      </c>
      <c r="EI6" s="98" t="s">
        <v>176</v>
      </c>
      <c r="EJ6" s="33"/>
      <c r="EK6" s="40"/>
      <c r="EL6" s="53">
        <v>0.0128187</v>
      </c>
      <c r="EM6" s="39"/>
      <c r="EN6" s="41" t="s">
        <v>168</v>
      </c>
      <c r="EO6" s="98" t="s">
        <v>176</v>
      </c>
      <c r="EP6" s="33"/>
      <c r="EQ6" s="40"/>
      <c r="ER6" s="53">
        <v>0.000244</v>
      </c>
      <c r="ES6" s="39"/>
      <c r="ET6" s="41" t="s">
        <v>168</v>
      </c>
      <c r="EU6" s="98" t="s">
        <v>176</v>
      </c>
      <c r="EV6" s="33"/>
      <c r="EW6" s="40"/>
      <c r="EX6" s="53">
        <v>0.0036459</v>
      </c>
      <c r="EY6" s="39"/>
      <c r="EZ6" s="41" t="s">
        <v>168</v>
      </c>
      <c r="FA6" s="98" t="s">
        <v>176</v>
      </c>
      <c r="FB6" s="33"/>
      <c r="FC6" s="40"/>
      <c r="FD6" s="53">
        <v>0.0025327</v>
      </c>
      <c r="FE6" s="39"/>
      <c r="FF6" s="41" t="s">
        <v>168</v>
      </c>
      <c r="FG6" s="98" t="s">
        <v>176</v>
      </c>
      <c r="FH6" s="33"/>
      <c r="FI6" s="40"/>
      <c r="FJ6" s="53">
        <v>0.0009887</v>
      </c>
      <c r="FK6" s="39"/>
      <c r="FL6" s="41" t="s">
        <v>168</v>
      </c>
      <c r="FM6" s="98" t="s">
        <v>176</v>
      </c>
      <c r="FN6" s="33"/>
      <c r="FO6" s="40"/>
      <c r="FP6" s="53">
        <v>0.0111111</v>
      </c>
      <c r="FQ6" s="39"/>
      <c r="FR6" s="41" t="s">
        <v>168</v>
      </c>
      <c r="FS6" s="98" t="s">
        <v>176</v>
      </c>
      <c r="FT6" s="33"/>
      <c r="FU6" s="40"/>
      <c r="FV6" s="53">
        <v>0.0250422</v>
      </c>
      <c r="FW6" s="39"/>
      <c r="FX6" s="41" t="s">
        <v>168</v>
      </c>
      <c r="FY6" s="98" t="s">
        <v>176</v>
      </c>
      <c r="FZ6" s="33"/>
      <c r="GA6" s="40"/>
      <c r="GB6" s="53">
        <v>0.0031957</v>
      </c>
      <c r="GC6" s="39"/>
      <c r="GD6" s="41" t="s">
        <v>168</v>
      </c>
      <c r="GE6" s="98" t="s">
        <v>176</v>
      </c>
      <c r="GF6" s="33"/>
      <c r="GG6" s="40"/>
      <c r="GH6" s="53">
        <v>0.0050748</v>
      </c>
      <c r="GI6" s="39"/>
      <c r="GJ6" s="41" t="s">
        <v>168</v>
      </c>
      <c r="GK6" s="98" t="s">
        <v>176</v>
      </c>
      <c r="GL6" s="33"/>
      <c r="GM6" s="40"/>
      <c r="GN6" s="53">
        <v>0.0235189</v>
      </c>
      <c r="GO6" s="39"/>
      <c r="GP6" s="41" t="s">
        <v>168</v>
      </c>
      <c r="GQ6" s="98" t="s">
        <v>176</v>
      </c>
      <c r="GR6" s="33"/>
      <c r="GS6" s="40"/>
      <c r="GT6" s="53">
        <v>0.0012482</v>
      </c>
      <c r="GU6" s="39"/>
      <c r="GV6" s="41" t="s">
        <v>168</v>
      </c>
      <c r="GW6" s="98" t="s">
        <v>176</v>
      </c>
      <c r="GX6" s="33"/>
      <c r="GY6" s="40"/>
      <c r="GZ6" s="53">
        <v>0.0071564</v>
      </c>
      <c r="HA6" s="39"/>
      <c r="HB6" s="41" t="s">
        <v>168</v>
      </c>
      <c r="HC6" s="98" t="s">
        <v>176</v>
      </c>
      <c r="HD6" s="33"/>
    </row>
    <row r="7" spans="1:211" ht="12">
      <c r="A7" s="26"/>
      <c r="C7" s="41" t="s">
        <v>11</v>
      </c>
      <c r="D7" s="41" t="s">
        <v>12</v>
      </c>
      <c r="E7" s="41" t="s">
        <v>4</v>
      </c>
      <c r="F7" s="41" t="s">
        <v>169</v>
      </c>
      <c r="G7" s="98" t="s">
        <v>184</v>
      </c>
      <c r="I7" s="41" t="s">
        <v>11</v>
      </c>
      <c r="J7" s="41" t="s">
        <v>12</v>
      </c>
      <c r="K7" s="41" t="s">
        <v>4</v>
      </c>
      <c r="L7" s="41" t="s">
        <v>169</v>
      </c>
      <c r="M7" s="100" t="s">
        <v>184</v>
      </c>
      <c r="O7" s="41" t="s">
        <v>11</v>
      </c>
      <c r="P7" s="41" t="s">
        <v>12</v>
      </c>
      <c r="Q7" s="41" t="s">
        <v>4</v>
      </c>
      <c r="R7" s="41" t="s">
        <v>169</v>
      </c>
      <c r="S7" s="98" t="s">
        <v>184</v>
      </c>
      <c r="U7" s="41" t="s">
        <v>11</v>
      </c>
      <c r="V7" s="41" t="s">
        <v>12</v>
      </c>
      <c r="W7" s="41" t="s">
        <v>4</v>
      </c>
      <c r="X7" s="41" t="s">
        <v>169</v>
      </c>
      <c r="Y7" s="98" t="s">
        <v>184</v>
      </c>
      <c r="AA7" s="41" t="s">
        <v>11</v>
      </c>
      <c r="AB7" s="41" t="s">
        <v>12</v>
      </c>
      <c r="AC7" s="41" t="s">
        <v>4</v>
      </c>
      <c r="AD7" s="41" t="s">
        <v>169</v>
      </c>
      <c r="AE7" s="98" t="s">
        <v>184</v>
      </c>
      <c r="AG7" s="41" t="s">
        <v>11</v>
      </c>
      <c r="AH7" s="41" t="s">
        <v>12</v>
      </c>
      <c r="AI7" s="41" t="s">
        <v>4</v>
      </c>
      <c r="AJ7" s="41" t="s">
        <v>169</v>
      </c>
      <c r="AK7" s="98" t="s">
        <v>184</v>
      </c>
      <c r="AM7" s="41" t="s">
        <v>11</v>
      </c>
      <c r="AN7" s="41" t="s">
        <v>12</v>
      </c>
      <c r="AO7" s="41" t="s">
        <v>4</v>
      </c>
      <c r="AP7" s="41" t="s">
        <v>169</v>
      </c>
      <c r="AQ7" s="98" t="s">
        <v>184</v>
      </c>
      <c r="AR7" s="64"/>
      <c r="AS7" s="41" t="s">
        <v>11</v>
      </c>
      <c r="AT7" s="41" t="s">
        <v>12</v>
      </c>
      <c r="AU7" s="41" t="s">
        <v>4</v>
      </c>
      <c r="AV7" s="41" t="s">
        <v>169</v>
      </c>
      <c r="AW7" s="98" t="s">
        <v>184</v>
      </c>
      <c r="AY7" s="41" t="s">
        <v>11</v>
      </c>
      <c r="AZ7" s="41" t="s">
        <v>12</v>
      </c>
      <c r="BA7" s="41" t="s">
        <v>4</v>
      </c>
      <c r="BB7" s="41" t="s">
        <v>169</v>
      </c>
      <c r="BC7" s="98" t="s">
        <v>184</v>
      </c>
      <c r="BE7" s="41" t="s">
        <v>11</v>
      </c>
      <c r="BF7" s="41" t="s">
        <v>12</v>
      </c>
      <c r="BG7" s="41" t="s">
        <v>4</v>
      </c>
      <c r="BH7" s="41" t="s">
        <v>169</v>
      </c>
      <c r="BI7" s="98" t="s">
        <v>184</v>
      </c>
      <c r="BK7" s="41" t="s">
        <v>11</v>
      </c>
      <c r="BL7" s="41" t="s">
        <v>12</v>
      </c>
      <c r="BM7" s="41" t="s">
        <v>4</v>
      </c>
      <c r="BN7" s="41" t="s">
        <v>169</v>
      </c>
      <c r="BO7" s="98" t="s">
        <v>184</v>
      </c>
      <c r="BQ7" s="41" t="s">
        <v>11</v>
      </c>
      <c r="BR7" s="41" t="s">
        <v>12</v>
      </c>
      <c r="BS7" s="41" t="s">
        <v>4</v>
      </c>
      <c r="BT7" s="41" t="s">
        <v>169</v>
      </c>
      <c r="BU7" s="98" t="s">
        <v>184</v>
      </c>
      <c r="BW7" s="41" t="s">
        <v>11</v>
      </c>
      <c r="BX7" s="41" t="s">
        <v>12</v>
      </c>
      <c r="BY7" s="41" t="s">
        <v>4</v>
      </c>
      <c r="BZ7" s="41" t="s">
        <v>169</v>
      </c>
      <c r="CA7" s="98" t="s">
        <v>184</v>
      </c>
      <c r="CB7" s="64"/>
      <c r="CC7" s="41" t="s">
        <v>11</v>
      </c>
      <c r="CD7" s="41" t="s">
        <v>12</v>
      </c>
      <c r="CE7" s="41" t="s">
        <v>4</v>
      </c>
      <c r="CF7" s="41" t="s">
        <v>169</v>
      </c>
      <c r="CG7" s="98" t="s">
        <v>184</v>
      </c>
      <c r="CI7" s="41" t="s">
        <v>11</v>
      </c>
      <c r="CJ7" s="41" t="s">
        <v>12</v>
      </c>
      <c r="CK7" s="41" t="s">
        <v>4</v>
      </c>
      <c r="CL7" s="41" t="s">
        <v>169</v>
      </c>
      <c r="CM7" s="98" t="s">
        <v>184</v>
      </c>
      <c r="CO7" s="41" t="s">
        <v>11</v>
      </c>
      <c r="CP7" s="41" t="s">
        <v>12</v>
      </c>
      <c r="CQ7" s="41" t="s">
        <v>4</v>
      </c>
      <c r="CR7" s="41" t="s">
        <v>169</v>
      </c>
      <c r="CS7" s="98" t="s">
        <v>184</v>
      </c>
      <c r="CU7" s="41" t="s">
        <v>11</v>
      </c>
      <c r="CV7" s="41" t="s">
        <v>12</v>
      </c>
      <c r="CW7" s="41" t="s">
        <v>4</v>
      </c>
      <c r="CX7" s="41" t="s">
        <v>169</v>
      </c>
      <c r="CY7" s="98" t="s">
        <v>184</v>
      </c>
      <c r="DA7" s="41" t="s">
        <v>11</v>
      </c>
      <c r="DB7" s="41" t="s">
        <v>12</v>
      </c>
      <c r="DC7" s="41" t="s">
        <v>4</v>
      </c>
      <c r="DD7" s="41" t="s">
        <v>169</v>
      </c>
      <c r="DE7" s="98" t="s">
        <v>184</v>
      </c>
      <c r="DG7" s="41" t="s">
        <v>11</v>
      </c>
      <c r="DH7" s="41" t="s">
        <v>12</v>
      </c>
      <c r="DI7" s="41" t="s">
        <v>4</v>
      </c>
      <c r="DJ7" s="41" t="s">
        <v>169</v>
      </c>
      <c r="DK7" s="98" t="s">
        <v>184</v>
      </c>
      <c r="DM7" s="41" t="s">
        <v>11</v>
      </c>
      <c r="DN7" s="41" t="s">
        <v>12</v>
      </c>
      <c r="DO7" s="41" t="s">
        <v>4</v>
      </c>
      <c r="DP7" s="41" t="s">
        <v>169</v>
      </c>
      <c r="DQ7" s="98" t="s">
        <v>184</v>
      </c>
      <c r="DS7" s="41" t="s">
        <v>11</v>
      </c>
      <c r="DT7" s="41" t="s">
        <v>12</v>
      </c>
      <c r="DU7" s="41" t="s">
        <v>4</v>
      </c>
      <c r="DV7" s="41" t="s">
        <v>169</v>
      </c>
      <c r="DW7" s="98" t="s">
        <v>184</v>
      </c>
      <c r="DY7" s="41" t="s">
        <v>11</v>
      </c>
      <c r="DZ7" s="41" t="s">
        <v>12</v>
      </c>
      <c r="EA7" s="41" t="s">
        <v>4</v>
      </c>
      <c r="EB7" s="41" t="s">
        <v>169</v>
      </c>
      <c r="EC7" s="98" t="s">
        <v>184</v>
      </c>
      <c r="EE7" s="41" t="s">
        <v>11</v>
      </c>
      <c r="EF7" s="41" t="s">
        <v>12</v>
      </c>
      <c r="EG7" s="41" t="s">
        <v>4</v>
      </c>
      <c r="EH7" s="41" t="s">
        <v>169</v>
      </c>
      <c r="EI7" s="98" t="s">
        <v>184</v>
      </c>
      <c r="EK7" s="41" t="s">
        <v>11</v>
      </c>
      <c r="EL7" s="41" t="s">
        <v>12</v>
      </c>
      <c r="EM7" s="41" t="s">
        <v>4</v>
      </c>
      <c r="EN7" s="41" t="s">
        <v>169</v>
      </c>
      <c r="EO7" s="98" t="s">
        <v>184</v>
      </c>
      <c r="EQ7" s="41" t="s">
        <v>11</v>
      </c>
      <c r="ER7" s="41" t="s">
        <v>12</v>
      </c>
      <c r="ES7" s="41" t="s">
        <v>4</v>
      </c>
      <c r="ET7" s="41" t="s">
        <v>169</v>
      </c>
      <c r="EU7" s="98" t="s">
        <v>184</v>
      </c>
      <c r="EW7" s="41" t="s">
        <v>11</v>
      </c>
      <c r="EX7" s="41" t="s">
        <v>12</v>
      </c>
      <c r="EY7" s="41" t="s">
        <v>4</v>
      </c>
      <c r="EZ7" s="41" t="s">
        <v>169</v>
      </c>
      <c r="FA7" s="98" t="s">
        <v>184</v>
      </c>
      <c r="FC7" s="41" t="s">
        <v>11</v>
      </c>
      <c r="FD7" s="41" t="s">
        <v>12</v>
      </c>
      <c r="FE7" s="41" t="s">
        <v>4</v>
      </c>
      <c r="FF7" s="41" t="s">
        <v>169</v>
      </c>
      <c r="FG7" s="98" t="s">
        <v>184</v>
      </c>
      <c r="FI7" s="41" t="s">
        <v>11</v>
      </c>
      <c r="FJ7" s="41" t="s">
        <v>12</v>
      </c>
      <c r="FK7" s="41" t="s">
        <v>4</v>
      </c>
      <c r="FL7" s="41" t="s">
        <v>169</v>
      </c>
      <c r="FM7" s="98" t="s">
        <v>184</v>
      </c>
      <c r="FO7" s="41" t="s">
        <v>11</v>
      </c>
      <c r="FP7" s="41" t="s">
        <v>12</v>
      </c>
      <c r="FQ7" s="41" t="s">
        <v>4</v>
      </c>
      <c r="FR7" s="41" t="s">
        <v>169</v>
      </c>
      <c r="FS7" s="98" t="s">
        <v>184</v>
      </c>
      <c r="FU7" s="41" t="s">
        <v>11</v>
      </c>
      <c r="FV7" s="41" t="s">
        <v>12</v>
      </c>
      <c r="FW7" s="41" t="s">
        <v>4</v>
      </c>
      <c r="FX7" s="41" t="s">
        <v>169</v>
      </c>
      <c r="FY7" s="98" t="s">
        <v>184</v>
      </c>
      <c r="GA7" s="41" t="s">
        <v>11</v>
      </c>
      <c r="GB7" s="41" t="s">
        <v>12</v>
      </c>
      <c r="GC7" s="41" t="s">
        <v>4</v>
      </c>
      <c r="GD7" s="41" t="s">
        <v>169</v>
      </c>
      <c r="GE7" s="98" t="s">
        <v>184</v>
      </c>
      <c r="GG7" s="41" t="s">
        <v>11</v>
      </c>
      <c r="GH7" s="41" t="s">
        <v>12</v>
      </c>
      <c r="GI7" s="41" t="s">
        <v>4</v>
      </c>
      <c r="GJ7" s="41" t="s">
        <v>169</v>
      </c>
      <c r="GK7" s="98" t="s">
        <v>184</v>
      </c>
      <c r="GM7" s="41" t="s">
        <v>11</v>
      </c>
      <c r="GN7" s="41" t="s">
        <v>12</v>
      </c>
      <c r="GO7" s="41" t="s">
        <v>4</v>
      </c>
      <c r="GP7" s="41" t="s">
        <v>169</v>
      </c>
      <c r="GQ7" s="98" t="s">
        <v>184</v>
      </c>
      <c r="GS7" s="41" t="s">
        <v>11</v>
      </c>
      <c r="GT7" s="41" t="s">
        <v>12</v>
      </c>
      <c r="GU7" s="41" t="s">
        <v>4</v>
      </c>
      <c r="GV7" s="41" t="s">
        <v>169</v>
      </c>
      <c r="GW7" s="98" t="s">
        <v>184</v>
      </c>
      <c r="GY7" s="41" t="s">
        <v>11</v>
      </c>
      <c r="GZ7" s="41" t="s">
        <v>12</v>
      </c>
      <c r="HA7" s="41" t="s">
        <v>4</v>
      </c>
      <c r="HB7" s="41" t="s">
        <v>169</v>
      </c>
      <c r="HC7" s="98" t="s">
        <v>184</v>
      </c>
    </row>
    <row r="8" spans="1:217" ht="12">
      <c r="A8" s="19">
        <v>41913</v>
      </c>
      <c r="C8" s="36"/>
      <c r="D8" s="36">
        <v>439563</v>
      </c>
      <c r="E8" s="77">
        <f aca="true" t="shared" si="0" ref="E8:E27">C8+D8</f>
        <v>439563</v>
      </c>
      <c r="F8" s="77">
        <v>91653</v>
      </c>
      <c r="G8" s="77">
        <v>4485</v>
      </c>
      <c r="H8" s="78"/>
      <c r="I8" s="79"/>
      <c r="J8" s="79">
        <f aca="true" t="shared" si="1" ref="J8:J27">P8+V8+AB8+AH8+AN8+AT8+AZ8+BF8+BL8+BR8+BX8+CD8+CJ8+CP8+CV8+DB8+DH8+DN8+DT8+DZ8+EF8+EL8+ER8+EX8+FD8+FJ8+FP8+FV8+GB8+GH8+GN8+GT8+GZ8</f>
        <v>238606.18108169996</v>
      </c>
      <c r="K8" s="79">
        <f aca="true" t="shared" si="2" ref="K8:K27">I8+J8</f>
        <v>238606.18108169996</v>
      </c>
      <c r="L8" s="79">
        <f aca="true" t="shared" si="3" ref="L8:M27">R8+X8+AD8+AJ8+AP8+AV8+BB8+BH8+BN8+BT8+BZ8+CF8+CL8+CR8+CX8+DD8+DJ8+DP8+DV8+EB8+EH8+EN8+ET8+EZ8+FF8+FL8+FR8+FX8+GD8+GJ8+GP8+GV8+HB8</f>
        <v>49751.6222127</v>
      </c>
      <c r="M8" s="79">
        <f t="shared" si="3"/>
        <v>2434.5741615</v>
      </c>
      <c r="N8" s="78"/>
      <c r="O8" s="78"/>
      <c r="P8" s="78">
        <f aca="true" t="shared" si="4" ref="P8:P27">D8*6.61452/100</f>
        <v>29074.9825476</v>
      </c>
      <c r="Q8" s="79">
        <f aca="true" t="shared" si="5" ref="Q8:Q26">O8+P8</f>
        <v>29074.9825476</v>
      </c>
      <c r="R8" s="79">
        <f aca="true" t="shared" si="6" ref="R8:R27">P$6*$F8</f>
        <v>6062.4060156000005</v>
      </c>
      <c r="S8" s="77">
        <f aca="true" t="shared" si="7" ref="S8:S27">P$6*$G8</f>
        <v>296.661222</v>
      </c>
      <c r="T8" s="78"/>
      <c r="U8" s="78"/>
      <c r="V8" s="78">
        <f aca="true" t="shared" si="8" ref="V8:V27">D8*0.11296/100</f>
        <v>496.53036480000003</v>
      </c>
      <c r="W8" s="78">
        <f aca="true" t="shared" si="9" ref="W8:W27">U8+V8</f>
        <v>496.53036480000003</v>
      </c>
      <c r="X8" s="79">
        <f aca="true" t="shared" si="10" ref="X8:X27">V$6*$F8</f>
        <v>103.5312288</v>
      </c>
      <c r="Y8" s="77">
        <f aca="true" t="shared" si="11" ref="Y8:Y27">V$6*$G8</f>
        <v>5.066255999999999</v>
      </c>
      <c r="Z8" s="78"/>
      <c r="AA8" s="79"/>
      <c r="AB8" s="78">
        <f aca="true" t="shared" si="12" ref="AB8:AB27">D8*0.50994/100</f>
        <v>2241.5075622</v>
      </c>
      <c r="AC8" s="78">
        <f aca="true" t="shared" si="13" ref="AC8:AC27">AA8+AB8</f>
        <v>2241.5075622</v>
      </c>
      <c r="AD8" s="79">
        <f aca="true" t="shared" si="14" ref="AD8:AD27">AB$6*$F8</f>
        <v>467.37530819999995</v>
      </c>
      <c r="AE8" s="77">
        <f aca="true" t="shared" si="15" ref="AE8:AE27">AB$6*$G8</f>
        <v>22.870808999999998</v>
      </c>
      <c r="AF8" s="78"/>
      <c r="AG8" s="78"/>
      <c r="AH8" s="78">
        <f aca="true" t="shared" si="16" ref="AH8:AH27">D8*8.86797/100</f>
        <v>38980.3149711</v>
      </c>
      <c r="AI8" s="78">
        <f aca="true" t="shared" si="17" ref="AI8:AI27">AG8+AH8</f>
        <v>38980.3149711</v>
      </c>
      <c r="AJ8" s="79">
        <f aca="true" t="shared" si="18" ref="AJ8:AJ27">AH$6*$F8</f>
        <v>8127.7605441</v>
      </c>
      <c r="AK8" s="77">
        <f aca="true" t="shared" si="19" ref="AK8:AK27">AH$6*$G8</f>
        <v>397.7284545</v>
      </c>
      <c r="AL8" s="78"/>
      <c r="AM8" s="78"/>
      <c r="AN8" s="78">
        <f aca="true" t="shared" si="20" ref="AN8:AN27">D8*0.10742/100</f>
        <v>472.1785746</v>
      </c>
      <c r="AO8" s="78">
        <f aca="true" t="shared" si="21" ref="AO8:AO27">AM8+AN8</f>
        <v>472.1785746</v>
      </c>
      <c r="AP8" s="79">
        <f aca="true" t="shared" si="22" ref="AP8:AP27">AN$6*$F8</f>
        <v>98.4536526</v>
      </c>
      <c r="AQ8" s="77">
        <f aca="true" t="shared" si="23" ref="AQ8:AQ27">AN$6*$G8</f>
        <v>4.817787</v>
      </c>
      <c r="AR8" s="78"/>
      <c r="AS8" s="78"/>
      <c r="AT8" s="78">
        <f aca="true" t="shared" si="24" ref="AT8:AT27">D8*0.09059/100</f>
        <v>398.2001217</v>
      </c>
      <c r="AU8" s="78">
        <f aca="true" t="shared" si="25" ref="AU8:AU27">AS8+AT8</f>
        <v>398.2001217</v>
      </c>
      <c r="AV8" s="79">
        <f aca="true" t="shared" si="26" ref="AV8:AV27">AT$6*$F8</f>
        <v>83.0284527</v>
      </c>
      <c r="AW8" s="77">
        <f aca="true" t="shared" si="27" ref="AW8:AW27">AT$6*$G8</f>
        <v>4.0629615</v>
      </c>
      <c r="AX8" s="78"/>
      <c r="AY8" s="78"/>
      <c r="AZ8" s="78">
        <f aca="true" t="shared" si="28" ref="AZ8:AZ27">D8*3.71668/100</f>
        <v>16337.150108400001</v>
      </c>
      <c r="BA8" s="78">
        <f aca="true" t="shared" si="29" ref="BA8:BA27">AY8+AZ8</f>
        <v>16337.150108400001</v>
      </c>
      <c r="BB8" s="79">
        <f aca="true" t="shared" si="30" ref="BB8:BB27">AZ$6*$F8</f>
        <v>3406.4487204</v>
      </c>
      <c r="BC8" s="77">
        <f aca="true" t="shared" si="31" ref="BC8:BC27">AZ$6*$G8</f>
        <v>166.693098</v>
      </c>
      <c r="BD8" s="78"/>
      <c r="BE8" s="78"/>
      <c r="BF8" s="78">
        <f aca="true" t="shared" si="32" ref="BF8:BF27">D8*7.62623/100</f>
        <v>33522.0853749</v>
      </c>
      <c r="BG8" s="78">
        <f aca="true" t="shared" si="33" ref="BG8:BG27">BE8+BF8</f>
        <v>33522.0853749</v>
      </c>
      <c r="BH8" s="79">
        <f aca="true" t="shared" si="34" ref="BH8:BH27">BF$6*$F8</f>
        <v>6989.6685819</v>
      </c>
      <c r="BI8" s="77">
        <f aca="true" t="shared" si="35" ref="BI8:BI27">BF$6*$G8</f>
        <v>342.03641550000003</v>
      </c>
      <c r="BJ8" s="78"/>
      <c r="BK8" s="78"/>
      <c r="BL8" s="78">
        <f aca="true" t="shared" si="36" ref="BL8:BL27">D8*0.08804/100</f>
        <v>386.9912652</v>
      </c>
      <c r="BM8" s="78">
        <f aca="true" t="shared" si="37" ref="BM8:BM27">BK8+BL8</f>
        <v>386.9912652</v>
      </c>
      <c r="BN8" s="79">
        <f aca="true" t="shared" si="38" ref="BN8:BN27">BL$6*$F8</f>
        <v>80.6913012</v>
      </c>
      <c r="BO8" s="77">
        <f aca="true" t="shared" si="39" ref="BO8:BO27">BL$6*$G8</f>
        <v>3.9485940000000004</v>
      </c>
      <c r="BP8" s="78"/>
      <c r="BQ8" s="78"/>
      <c r="BR8" s="78">
        <f aca="true" t="shared" si="40" ref="BR8:BR27">D8*0.05914/100</f>
        <v>259.9575582</v>
      </c>
      <c r="BS8" s="78">
        <f aca="true" t="shared" si="41" ref="BS8:BS27">BQ8+BR8</f>
        <v>259.9575582</v>
      </c>
      <c r="BT8" s="79">
        <f aca="true" t="shared" si="42" ref="BT8:BT27">BR$6*$F8</f>
        <v>54.203584199999995</v>
      </c>
      <c r="BU8" s="77">
        <f aca="true" t="shared" si="43" ref="BU8:BU27">BR$6*$G8</f>
        <v>2.6524289999999997</v>
      </c>
      <c r="BV8" s="78"/>
      <c r="BW8" s="78"/>
      <c r="BX8" s="78">
        <f aca="true" t="shared" si="44" ref="BX8:BX27">D8*-0.00881/100</f>
        <v>-38.7255003</v>
      </c>
      <c r="BY8" s="78">
        <f aca="true" t="shared" si="45" ref="BY8:BY27">BW8+BX8</f>
        <v>-38.7255003</v>
      </c>
      <c r="BZ8" s="79">
        <f aca="true" t="shared" si="46" ref="BZ8:BZ27">BX$6*$F8</f>
        <v>-8.0746293</v>
      </c>
      <c r="CA8" s="77">
        <f aca="true" t="shared" si="47" ref="CA8:CA27">BX$6*$G8</f>
        <v>-0.3951285</v>
      </c>
      <c r="CB8" s="78"/>
      <c r="CC8" s="78"/>
      <c r="CD8" s="78">
        <f aca="true" t="shared" si="48" ref="CD8:CD27">D8*-0.00574/100</f>
        <v>-25.230916200000003</v>
      </c>
      <c r="CE8" s="78">
        <f aca="true" t="shared" si="49" ref="CE8:CE27">CC8+CD8</f>
        <v>-25.230916200000003</v>
      </c>
      <c r="CF8" s="79">
        <f aca="true" t="shared" si="50" ref="CF8:CF27">CD$6*$F8</f>
        <v>-5.2608822</v>
      </c>
      <c r="CG8" s="77">
        <f aca="true" t="shared" si="51" ref="CG8:CG27">CD$6*$G8</f>
        <v>-0.257439</v>
      </c>
      <c r="CH8" s="78"/>
      <c r="CI8" s="78"/>
      <c r="CJ8" s="78">
        <f aca="true" t="shared" si="52" ref="CJ8:CJ27">D8*0.21346/100</f>
        <v>938.2911798000001</v>
      </c>
      <c r="CK8" s="78">
        <f aca="true" t="shared" si="53" ref="CK8:CK27">CI8+CJ8</f>
        <v>938.2911798000001</v>
      </c>
      <c r="CL8" s="79">
        <f aca="true" t="shared" si="54" ref="CL8:CL27">CJ$6*$F8</f>
        <v>195.64249379999998</v>
      </c>
      <c r="CM8" s="77">
        <f aca="true" t="shared" si="55" ref="CM8:CM27">CJ$6*$G8</f>
        <v>9.573681</v>
      </c>
      <c r="CN8" s="78"/>
      <c r="CO8" s="78"/>
      <c r="CP8" s="78">
        <f aca="true" t="shared" si="56" ref="CP8:CP27">D8*1.3127/100</f>
        <v>5770.1435010000005</v>
      </c>
      <c r="CQ8" s="78">
        <f aca="true" t="shared" si="57" ref="CQ8:CQ27">CO8+CP8</f>
        <v>5770.1435010000005</v>
      </c>
      <c r="CR8" s="79">
        <f aca="true" t="shared" si="58" ref="CR8:CR27">CP$6*$F8</f>
        <v>1203.128931</v>
      </c>
      <c r="CS8" s="77">
        <f aca="true" t="shared" si="59" ref="CS8:CS27">CP$6*$G8</f>
        <v>58.874595</v>
      </c>
      <c r="CT8" s="78"/>
      <c r="CU8" s="78"/>
      <c r="CV8" s="78">
        <f aca="true" t="shared" si="60" ref="CV8:CV27">D8*8.81851/100</f>
        <v>38762.907111299995</v>
      </c>
      <c r="CW8" s="78">
        <f aca="true" t="shared" si="61" ref="CW8:CW27">CU8+CV8</f>
        <v>38762.907111299995</v>
      </c>
      <c r="CX8" s="79">
        <f aca="true" t="shared" si="62" ref="CX8:CX27">CV$6*$F8</f>
        <v>8082.4289703</v>
      </c>
      <c r="CY8" s="77">
        <f aca="true" t="shared" si="63" ref="CY8:CY27">CV$6*$G8</f>
        <v>395.5101735</v>
      </c>
      <c r="CZ8" s="78"/>
      <c r="DA8" s="78"/>
      <c r="DB8" s="78">
        <f aca="true" t="shared" si="64" ref="DB8:DB27">D8*1.27232/100</f>
        <v>5592.647961599999</v>
      </c>
      <c r="DC8" s="78">
        <f aca="true" t="shared" si="65" ref="DC8:DC27">DA8+DB8</f>
        <v>5592.647961599999</v>
      </c>
      <c r="DD8" s="79">
        <f aca="true" t="shared" si="66" ref="DD8:DD27">DB$6*$F8</f>
        <v>1166.1194496</v>
      </c>
      <c r="DE8" s="77">
        <f aca="true" t="shared" si="67" ref="DE8:DE27">DB$6*$G8</f>
        <v>57.063552</v>
      </c>
      <c r="DF8" s="78"/>
      <c r="DG8" s="78"/>
      <c r="DH8" s="78">
        <f aca="true" t="shared" si="68" ref="DH8:DH27">D8*2.59972/100</f>
        <v>11427.4072236</v>
      </c>
      <c r="DI8" s="78">
        <f aca="true" t="shared" si="69" ref="DI8:DI27">DG8+DH8</f>
        <v>11427.4072236</v>
      </c>
      <c r="DJ8" s="79">
        <f aca="true" t="shared" si="70" ref="DJ8:DJ27">DH$6*$F8</f>
        <v>2382.7213716</v>
      </c>
      <c r="DK8" s="77">
        <f aca="true" t="shared" si="71" ref="DK8:DK27">DH$6*$G8</f>
        <v>116.597442</v>
      </c>
      <c r="DL8" s="78"/>
      <c r="DM8" s="78"/>
      <c r="DN8" s="78">
        <f aca="true" t="shared" si="72" ref="DN8:DN27">D8*0.42162/100</f>
        <v>1853.2855206</v>
      </c>
      <c r="DO8" s="78">
        <f aca="true" t="shared" si="73" ref="DO8:DO27">DM8+DN8</f>
        <v>1853.2855206</v>
      </c>
      <c r="DP8" s="79">
        <f aca="true" t="shared" si="74" ref="DP8:DP27">DN$6*$F8</f>
        <v>386.4273786</v>
      </c>
      <c r="DQ8" s="77">
        <f aca="true" t="shared" si="75" ref="DQ8:DQ27">DN$6*$G8</f>
        <v>18.909657</v>
      </c>
      <c r="DR8" s="78"/>
      <c r="DS8" s="78"/>
      <c r="DT8" s="78">
        <f aca="true" t="shared" si="76" ref="DT8:DT27">D8*2.16282/100</f>
        <v>9506.9564766</v>
      </c>
      <c r="DU8" s="78">
        <f aca="true" t="shared" si="77" ref="DU8:DU27">DS8+DT8</f>
        <v>9506.9564766</v>
      </c>
      <c r="DV8" s="79">
        <f aca="true" t="shared" si="78" ref="DV8:DV27">DT$6*$F8</f>
        <v>1982.2894146</v>
      </c>
      <c r="DW8" s="77">
        <f aca="true" t="shared" si="79" ref="DW8:DW27">DT$6*$G8</f>
        <v>97.002477</v>
      </c>
      <c r="DX8" s="78"/>
      <c r="DY8" s="78"/>
      <c r="DZ8" s="78">
        <f aca="true" t="shared" si="80" ref="DZ8:DZ27">D8*0.01933/100</f>
        <v>84.96752790000001</v>
      </c>
      <c r="EA8" s="78">
        <f aca="true" t="shared" si="81" ref="EA8:EA27">DY8+DZ8</f>
        <v>84.96752790000001</v>
      </c>
      <c r="EB8" s="79">
        <f aca="true" t="shared" si="82" ref="EB8:EB27">DZ$6*$F8</f>
        <v>17.7165249</v>
      </c>
      <c r="EC8" s="77">
        <f aca="true" t="shared" si="83" ref="EC8:EC27">DZ$6*$G8</f>
        <v>0.8669505000000001</v>
      </c>
      <c r="ED8" s="78"/>
      <c r="EE8" s="78"/>
      <c r="EF8" s="78">
        <f aca="true" t="shared" si="84" ref="EF8:EF27">D8*0.02544/100</f>
        <v>111.8248272</v>
      </c>
      <c r="EG8" s="78">
        <f aca="true" t="shared" si="85" ref="EG8:EG27">EE8+EF8</f>
        <v>111.8248272</v>
      </c>
      <c r="EH8" s="79">
        <f aca="true" t="shared" si="86" ref="EH8:EH27">EF$6*$F8</f>
        <v>23.3165232</v>
      </c>
      <c r="EI8" s="77">
        <f aca="true" t="shared" si="87" ref="EI8:EI27">EF$6*$G8</f>
        <v>1.140984</v>
      </c>
      <c r="EJ8" s="78"/>
      <c r="EK8" s="78"/>
      <c r="EL8" s="78">
        <f aca="true" t="shared" si="88" ref="EL8:EL27">D8*1.28187/100</f>
        <v>5634.6262281</v>
      </c>
      <c r="EM8" s="78">
        <f aca="true" t="shared" si="89" ref="EM8:EM27">EK8+EL8</f>
        <v>5634.6262281</v>
      </c>
      <c r="EN8" s="79">
        <f aca="true" t="shared" si="90" ref="EN8:EN27">EL$6*$F8</f>
        <v>1174.8723111000002</v>
      </c>
      <c r="EO8" s="77">
        <f aca="true" t="shared" si="91" ref="EO8:EO27">EL$6*$G8</f>
        <v>57.4918695</v>
      </c>
      <c r="EP8" s="78"/>
      <c r="EQ8" s="78"/>
      <c r="ER8" s="78">
        <f aca="true" t="shared" si="92" ref="ER8:ER27">D8*0.0244/100</f>
        <v>107.253372</v>
      </c>
      <c r="ES8" s="78">
        <f aca="true" t="shared" si="93" ref="ES8:ES27">EQ8+ER8</f>
        <v>107.253372</v>
      </c>
      <c r="ET8" s="79">
        <f aca="true" t="shared" si="94" ref="ET8:ET27">ER$6*$F8</f>
        <v>22.363332</v>
      </c>
      <c r="EU8" s="77">
        <f aca="true" t="shared" si="95" ref="EU8:EU27">ER$6*$G8</f>
        <v>1.0943399999999999</v>
      </c>
      <c r="EV8" s="78"/>
      <c r="EW8" s="78"/>
      <c r="EX8" s="78">
        <f aca="true" t="shared" si="96" ref="EX8:EX27">D8*0.36459/100</f>
        <v>1602.6027417000003</v>
      </c>
      <c r="EY8" s="78">
        <f aca="true" t="shared" si="97" ref="EY8:EY27">EW8+EX8</f>
        <v>1602.6027417000003</v>
      </c>
      <c r="EZ8" s="79">
        <f aca="true" t="shared" si="98" ref="EZ8:EZ27">EX$6*$F8</f>
        <v>334.15767270000003</v>
      </c>
      <c r="FA8" s="77">
        <f aca="true" t="shared" si="99" ref="FA8:FA27">EX$6*$G8</f>
        <v>16.351861500000002</v>
      </c>
      <c r="FB8" s="78"/>
      <c r="FC8" s="78"/>
      <c r="FD8" s="78">
        <f aca="true" t="shared" si="100" ref="FD8:FD27">D8*0.25327/100</f>
        <v>1113.2812101</v>
      </c>
      <c r="FE8" s="78">
        <f aca="true" t="shared" si="101" ref="FE8:FE27">FC8+FD8</f>
        <v>1113.2812101</v>
      </c>
      <c r="FF8" s="79">
        <f aca="true" t="shared" si="102" ref="FF8:FF27">FD$6*$F8</f>
        <v>232.1295531</v>
      </c>
      <c r="FG8" s="77">
        <f aca="true" t="shared" si="103" ref="FG8:FG27">FD$6*$G8</f>
        <v>11.3591595</v>
      </c>
      <c r="FH8" s="78"/>
      <c r="FI8" s="78"/>
      <c r="FJ8" s="78">
        <f aca="true" t="shared" si="104" ref="FJ8:FJ27">D8*0.09887/100</f>
        <v>434.5959381</v>
      </c>
      <c r="FK8" s="78">
        <f aca="true" t="shared" si="105" ref="FK8:FK27">FI8+FJ8</f>
        <v>434.5959381</v>
      </c>
      <c r="FL8" s="79">
        <f aca="true" t="shared" si="106" ref="FL8:FL27">FJ$6*$F8</f>
        <v>90.6173211</v>
      </c>
      <c r="FM8" s="77">
        <f aca="true" t="shared" si="107" ref="FM8:FM27">FJ$6*$G8</f>
        <v>4.4343195</v>
      </c>
      <c r="FN8" s="78"/>
      <c r="FO8" s="78"/>
      <c r="FP8" s="78">
        <f aca="true" t="shared" si="108" ref="FP8:FP27">D8*1.11111/100</f>
        <v>4884.0284493</v>
      </c>
      <c r="FQ8" s="78">
        <f aca="true" t="shared" si="109" ref="FQ8:FQ27">FO8+FP8</f>
        <v>4884.0284493</v>
      </c>
      <c r="FR8" s="79">
        <f aca="true" t="shared" si="110" ref="FR8:FR27">FP$6*$F8</f>
        <v>1018.3656483000001</v>
      </c>
      <c r="FS8" s="77">
        <f aca="true" t="shared" si="111" ref="FS8:FS27">FP$6*$G8</f>
        <v>49.8332835</v>
      </c>
      <c r="FT8" s="78"/>
      <c r="FU8" s="78"/>
      <c r="FV8" s="78">
        <f aca="true" t="shared" si="112" ref="FV8:FV27">D8*2.50422/100</f>
        <v>11007.6245586</v>
      </c>
      <c r="FW8" s="78">
        <f aca="true" t="shared" si="113" ref="FW8:FW27">FU8+FV8</f>
        <v>11007.6245586</v>
      </c>
      <c r="FX8" s="79">
        <f aca="true" t="shared" si="114" ref="FX8:FX27">FV$6*$F8</f>
        <v>2295.1927566</v>
      </c>
      <c r="FY8" s="77">
        <f aca="true" t="shared" si="115" ref="FY8:FY27">FV$6*$G8</f>
        <v>112.314267</v>
      </c>
      <c r="FZ8" s="78"/>
      <c r="GA8" s="78"/>
      <c r="GB8" s="78">
        <f aca="true" t="shared" si="116" ref="GB8:GB27">D8*0.31957/100</f>
        <v>1404.7114791</v>
      </c>
      <c r="GC8" s="78">
        <f aca="true" t="shared" si="117" ref="GC8:GC27">GA8+GB8</f>
        <v>1404.7114791</v>
      </c>
      <c r="GD8" s="79">
        <f aca="true" t="shared" si="118" ref="GD8:GD27">GB$6*$F8</f>
        <v>292.8954921</v>
      </c>
      <c r="GE8" s="77">
        <f aca="true" t="shared" si="119" ref="GE8:GE27">GB$6*$G8</f>
        <v>14.3327145</v>
      </c>
      <c r="GF8" s="78"/>
      <c r="GG8" s="78"/>
      <c r="GH8" s="78">
        <f aca="true" t="shared" si="120" ref="GH8:GH27">D8*0.50748/100</f>
        <v>2230.6943124</v>
      </c>
      <c r="GI8" s="78">
        <f aca="true" t="shared" si="121" ref="GI8:GI27">GG8+GH8</f>
        <v>2230.6943124</v>
      </c>
      <c r="GJ8" s="79">
        <f aca="true" t="shared" si="122" ref="GJ8:GJ27">GH$6*$F8</f>
        <v>465.1206444</v>
      </c>
      <c r="GK8" s="77">
        <f aca="true" t="shared" si="123" ref="GK8:GK27">GH$6*$G8</f>
        <v>22.760478</v>
      </c>
      <c r="GL8" s="78"/>
      <c r="GM8" s="78"/>
      <c r="GN8" s="78">
        <f aca="true" t="shared" si="124" ref="GN8:GN27">D8*2.35189/100</f>
        <v>10338.0382407</v>
      </c>
      <c r="GO8" s="78">
        <f aca="true" t="shared" si="125" ref="GO8:GO27">GM8+GN8</f>
        <v>10338.0382407</v>
      </c>
      <c r="GP8" s="79">
        <f aca="true" t="shared" si="126" ref="GP8:GP27">GN$6*$F8</f>
        <v>2155.5777417</v>
      </c>
      <c r="GQ8" s="77">
        <f aca="true" t="shared" si="127" ref="GQ8:GQ27">GN$6*$G8</f>
        <v>105.4822665</v>
      </c>
      <c r="GR8" s="78"/>
      <c r="GS8" s="78"/>
      <c r="GT8" s="78">
        <f aca="true" t="shared" si="128" ref="GT8:GT27">D8*0.12482/100</f>
        <v>548.6625366000001</v>
      </c>
      <c r="GU8" s="78">
        <f aca="true" t="shared" si="129" ref="GU8:GU27">GS8+GT8</f>
        <v>548.6625366000001</v>
      </c>
      <c r="GV8" s="79">
        <f aca="true" t="shared" si="130" ref="GV8:GV27">GT$6*$F8</f>
        <v>114.40127460000001</v>
      </c>
      <c r="GW8" s="77">
        <f aca="true" t="shared" si="131" ref="GW8:GW27">GT$6*$G8</f>
        <v>5.598177000000001</v>
      </c>
      <c r="GX8" s="78"/>
      <c r="GY8" s="78"/>
      <c r="GZ8" s="78">
        <f aca="true" t="shared" si="132" ref="GZ8:GZ27">D8*0.71564/100</f>
        <v>3145.6886532000003</v>
      </c>
      <c r="HA8" s="78">
        <f aca="true" t="shared" si="133" ref="HA8:HA27">GY8+GZ8</f>
        <v>3145.6886532000003</v>
      </c>
      <c r="HB8" s="79">
        <f aca="true" t="shared" si="134" ref="HB8:HB27">GZ$6*$F8</f>
        <v>655.9055292</v>
      </c>
      <c r="HC8" s="77">
        <f aca="true" t="shared" si="135" ref="HC8:HC27">GZ$6*$G8</f>
        <v>32.096454</v>
      </c>
      <c r="HD8" s="78"/>
      <c r="HE8" s="78"/>
      <c r="HF8" s="78"/>
      <c r="HG8" s="78"/>
      <c r="HH8" s="78"/>
      <c r="HI8" s="78"/>
    </row>
    <row r="9" spans="1:217" ht="12">
      <c r="A9" s="19">
        <v>42095</v>
      </c>
      <c r="C9" s="36"/>
      <c r="D9" s="36">
        <v>439563</v>
      </c>
      <c r="E9" s="77">
        <f t="shared" si="0"/>
        <v>439563</v>
      </c>
      <c r="F9" s="77">
        <v>91653</v>
      </c>
      <c r="G9" s="77">
        <v>4485</v>
      </c>
      <c r="H9" s="78"/>
      <c r="I9" s="79">
        <f>O9+U9+AA9+AG9+AM9+AS9+AY9+BE9+BK9+BQ9+BW9+CC9+CI9+CO9+CU9+DA9+DG9+DM9+DS9+DY9+EE9+EK9+EQ9+EW9+FC9+FI9+FO9+FU9+GA9+GG9+GM9+GS9+GY9</f>
        <v>0</v>
      </c>
      <c r="J9" s="79">
        <f t="shared" si="1"/>
        <v>238606.18108169996</v>
      </c>
      <c r="K9" s="79">
        <f t="shared" si="2"/>
        <v>238606.18108169996</v>
      </c>
      <c r="L9" s="79">
        <f t="shared" si="3"/>
        <v>49751.6222127</v>
      </c>
      <c r="M9" s="79">
        <f t="shared" si="3"/>
        <v>2434.5741615</v>
      </c>
      <c r="N9" s="78"/>
      <c r="O9" s="78">
        <f aca="true" t="shared" si="136" ref="O9:O27">C9*6.61452/100</f>
        <v>0</v>
      </c>
      <c r="P9" s="78">
        <f t="shared" si="4"/>
        <v>29074.9825476</v>
      </c>
      <c r="Q9" s="79">
        <f t="shared" si="5"/>
        <v>29074.9825476</v>
      </c>
      <c r="R9" s="79">
        <f t="shared" si="6"/>
        <v>6062.4060156000005</v>
      </c>
      <c r="S9" s="77">
        <f t="shared" si="7"/>
        <v>296.661222</v>
      </c>
      <c r="T9" s="78"/>
      <c r="U9" s="78">
        <f aca="true" t="shared" si="137" ref="U9:U27">C9*0.11296/100</f>
        <v>0</v>
      </c>
      <c r="V9" s="78">
        <f t="shared" si="8"/>
        <v>496.53036480000003</v>
      </c>
      <c r="W9" s="78">
        <f t="shared" si="9"/>
        <v>496.53036480000003</v>
      </c>
      <c r="X9" s="79">
        <f t="shared" si="10"/>
        <v>103.5312288</v>
      </c>
      <c r="Y9" s="77">
        <f t="shared" si="11"/>
        <v>5.066255999999999</v>
      </c>
      <c r="Z9" s="78"/>
      <c r="AA9" s="79">
        <f aca="true" t="shared" si="138" ref="AA9:AA27">C9*0.50994/100</f>
        <v>0</v>
      </c>
      <c r="AB9" s="78">
        <f t="shared" si="12"/>
        <v>2241.5075622</v>
      </c>
      <c r="AC9" s="78">
        <f t="shared" si="13"/>
        <v>2241.5075622</v>
      </c>
      <c r="AD9" s="79">
        <f t="shared" si="14"/>
        <v>467.37530819999995</v>
      </c>
      <c r="AE9" s="77">
        <f t="shared" si="15"/>
        <v>22.870808999999998</v>
      </c>
      <c r="AF9" s="78"/>
      <c r="AG9" s="78">
        <f aca="true" t="shared" si="139" ref="AG9:AG27">C9*8.86797/100</f>
        <v>0</v>
      </c>
      <c r="AH9" s="78">
        <f t="shared" si="16"/>
        <v>38980.3149711</v>
      </c>
      <c r="AI9" s="78">
        <f t="shared" si="17"/>
        <v>38980.3149711</v>
      </c>
      <c r="AJ9" s="79">
        <f t="shared" si="18"/>
        <v>8127.7605441</v>
      </c>
      <c r="AK9" s="77">
        <f t="shared" si="19"/>
        <v>397.7284545</v>
      </c>
      <c r="AL9" s="78"/>
      <c r="AM9" s="78">
        <f aca="true" t="shared" si="140" ref="AM9:AM27">C9*0.10742/100</f>
        <v>0</v>
      </c>
      <c r="AN9" s="78">
        <f t="shared" si="20"/>
        <v>472.1785746</v>
      </c>
      <c r="AO9" s="78">
        <f t="shared" si="21"/>
        <v>472.1785746</v>
      </c>
      <c r="AP9" s="79">
        <f t="shared" si="22"/>
        <v>98.4536526</v>
      </c>
      <c r="AQ9" s="77">
        <f t="shared" si="23"/>
        <v>4.817787</v>
      </c>
      <c r="AR9" s="78"/>
      <c r="AS9" s="78">
        <f aca="true" t="shared" si="141" ref="AS9:AS27">C9*0.09059/100</f>
        <v>0</v>
      </c>
      <c r="AT9" s="78">
        <f t="shared" si="24"/>
        <v>398.2001217</v>
      </c>
      <c r="AU9" s="78">
        <f t="shared" si="25"/>
        <v>398.2001217</v>
      </c>
      <c r="AV9" s="79">
        <f t="shared" si="26"/>
        <v>83.0284527</v>
      </c>
      <c r="AW9" s="77">
        <f t="shared" si="27"/>
        <v>4.0629615</v>
      </c>
      <c r="AX9" s="78"/>
      <c r="AY9" s="78">
        <f aca="true" t="shared" si="142" ref="AY9:AY27">C9*3.71668/100</f>
        <v>0</v>
      </c>
      <c r="AZ9" s="78">
        <f t="shared" si="28"/>
        <v>16337.150108400001</v>
      </c>
      <c r="BA9" s="78">
        <f t="shared" si="29"/>
        <v>16337.150108400001</v>
      </c>
      <c r="BB9" s="79">
        <f t="shared" si="30"/>
        <v>3406.4487204</v>
      </c>
      <c r="BC9" s="77">
        <f t="shared" si="31"/>
        <v>166.693098</v>
      </c>
      <c r="BD9" s="78"/>
      <c r="BE9" s="78">
        <f aca="true" t="shared" si="143" ref="BE9:BE27">C9*7.62623/100</f>
        <v>0</v>
      </c>
      <c r="BF9" s="78">
        <f t="shared" si="32"/>
        <v>33522.0853749</v>
      </c>
      <c r="BG9" s="78">
        <f t="shared" si="33"/>
        <v>33522.0853749</v>
      </c>
      <c r="BH9" s="79">
        <f t="shared" si="34"/>
        <v>6989.6685819</v>
      </c>
      <c r="BI9" s="77">
        <f t="shared" si="35"/>
        <v>342.03641550000003</v>
      </c>
      <c r="BJ9" s="78"/>
      <c r="BK9" s="78">
        <f aca="true" t="shared" si="144" ref="BK9:BK27">C9*0.08804/100</f>
        <v>0</v>
      </c>
      <c r="BL9" s="78">
        <f t="shared" si="36"/>
        <v>386.9912652</v>
      </c>
      <c r="BM9" s="78">
        <f t="shared" si="37"/>
        <v>386.9912652</v>
      </c>
      <c r="BN9" s="79">
        <f t="shared" si="38"/>
        <v>80.6913012</v>
      </c>
      <c r="BO9" s="77">
        <f t="shared" si="39"/>
        <v>3.9485940000000004</v>
      </c>
      <c r="BP9" s="78"/>
      <c r="BQ9" s="78">
        <f aca="true" t="shared" si="145" ref="BQ9:BQ27">C9*0.05914/100</f>
        <v>0</v>
      </c>
      <c r="BR9" s="78">
        <f t="shared" si="40"/>
        <v>259.9575582</v>
      </c>
      <c r="BS9" s="78">
        <f t="shared" si="41"/>
        <v>259.9575582</v>
      </c>
      <c r="BT9" s="79">
        <f t="shared" si="42"/>
        <v>54.203584199999995</v>
      </c>
      <c r="BU9" s="77">
        <f t="shared" si="43"/>
        <v>2.6524289999999997</v>
      </c>
      <c r="BV9" s="78"/>
      <c r="BW9" s="78">
        <f aca="true" t="shared" si="146" ref="BW9:BW27">C9*-0.00881/100</f>
        <v>0</v>
      </c>
      <c r="BX9" s="78">
        <f t="shared" si="44"/>
        <v>-38.7255003</v>
      </c>
      <c r="BY9" s="78">
        <f t="shared" si="45"/>
        <v>-38.7255003</v>
      </c>
      <c r="BZ9" s="79">
        <f t="shared" si="46"/>
        <v>-8.0746293</v>
      </c>
      <c r="CA9" s="77">
        <f t="shared" si="47"/>
        <v>-0.3951285</v>
      </c>
      <c r="CB9" s="78"/>
      <c r="CC9" s="78">
        <f aca="true" t="shared" si="147" ref="CC9:CC27">C9*-0.00574/100</f>
        <v>0</v>
      </c>
      <c r="CD9" s="78">
        <f t="shared" si="48"/>
        <v>-25.230916200000003</v>
      </c>
      <c r="CE9" s="78">
        <f t="shared" si="49"/>
        <v>-25.230916200000003</v>
      </c>
      <c r="CF9" s="79">
        <f t="shared" si="50"/>
        <v>-5.2608822</v>
      </c>
      <c r="CG9" s="77">
        <f t="shared" si="51"/>
        <v>-0.257439</v>
      </c>
      <c r="CH9" s="78"/>
      <c r="CI9" s="78">
        <f aca="true" t="shared" si="148" ref="CI9:CI27">C9*0.21346/100</f>
        <v>0</v>
      </c>
      <c r="CJ9" s="78">
        <f t="shared" si="52"/>
        <v>938.2911798000001</v>
      </c>
      <c r="CK9" s="78">
        <f t="shared" si="53"/>
        <v>938.2911798000001</v>
      </c>
      <c r="CL9" s="79">
        <f t="shared" si="54"/>
        <v>195.64249379999998</v>
      </c>
      <c r="CM9" s="77">
        <f t="shared" si="55"/>
        <v>9.573681</v>
      </c>
      <c r="CN9" s="78"/>
      <c r="CO9" s="78">
        <f aca="true" t="shared" si="149" ref="CO9:CO27">C9*1.3127/100</f>
        <v>0</v>
      </c>
      <c r="CP9" s="78">
        <f t="shared" si="56"/>
        <v>5770.1435010000005</v>
      </c>
      <c r="CQ9" s="78">
        <f t="shared" si="57"/>
        <v>5770.1435010000005</v>
      </c>
      <c r="CR9" s="79">
        <f t="shared" si="58"/>
        <v>1203.128931</v>
      </c>
      <c r="CS9" s="77">
        <f t="shared" si="59"/>
        <v>58.874595</v>
      </c>
      <c r="CT9" s="78"/>
      <c r="CU9" s="78">
        <f aca="true" t="shared" si="150" ref="CU9:CU27">C9*8.81851/100</f>
        <v>0</v>
      </c>
      <c r="CV9" s="78">
        <f t="shared" si="60"/>
        <v>38762.907111299995</v>
      </c>
      <c r="CW9" s="78">
        <f t="shared" si="61"/>
        <v>38762.907111299995</v>
      </c>
      <c r="CX9" s="79">
        <f t="shared" si="62"/>
        <v>8082.4289703</v>
      </c>
      <c r="CY9" s="77">
        <f t="shared" si="63"/>
        <v>395.5101735</v>
      </c>
      <c r="CZ9" s="78"/>
      <c r="DA9" s="78">
        <f aca="true" t="shared" si="151" ref="DA9:DA27">C9*1.27232/100</f>
        <v>0</v>
      </c>
      <c r="DB9" s="78">
        <f t="shared" si="64"/>
        <v>5592.647961599999</v>
      </c>
      <c r="DC9" s="78">
        <f t="shared" si="65"/>
        <v>5592.647961599999</v>
      </c>
      <c r="DD9" s="79">
        <f t="shared" si="66"/>
        <v>1166.1194496</v>
      </c>
      <c r="DE9" s="77">
        <f t="shared" si="67"/>
        <v>57.063552</v>
      </c>
      <c r="DF9" s="78"/>
      <c r="DG9" s="78">
        <f aca="true" t="shared" si="152" ref="DG9:DG27">C9*2.59972/100</f>
        <v>0</v>
      </c>
      <c r="DH9" s="78">
        <f t="shared" si="68"/>
        <v>11427.4072236</v>
      </c>
      <c r="DI9" s="78">
        <f t="shared" si="69"/>
        <v>11427.4072236</v>
      </c>
      <c r="DJ9" s="79">
        <f t="shared" si="70"/>
        <v>2382.7213716</v>
      </c>
      <c r="DK9" s="77">
        <f t="shared" si="71"/>
        <v>116.597442</v>
      </c>
      <c r="DL9" s="78"/>
      <c r="DM9" s="78">
        <f aca="true" t="shared" si="153" ref="DM9:DM27">C9*0.42162/100</f>
        <v>0</v>
      </c>
      <c r="DN9" s="78">
        <f t="shared" si="72"/>
        <v>1853.2855206</v>
      </c>
      <c r="DO9" s="78">
        <f t="shared" si="73"/>
        <v>1853.2855206</v>
      </c>
      <c r="DP9" s="79">
        <f t="shared" si="74"/>
        <v>386.4273786</v>
      </c>
      <c r="DQ9" s="77">
        <f t="shared" si="75"/>
        <v>18.909657</v>
      </c>
      <c r="DR9" s="78"/>
      <c r="DS9" s="78">
        <f aca="true" t="shared" si="154" ref="DS9:DS27">C9*2.16282/100</f>
        <v>0</v>
      </c>
      <c r="DT9" s="78">
        <f t="shared" si="76"/>
        <v>9506.9564766</v>
      </c>
      <c r="DU9" s="78">
        <f t="shared" si="77"/>
        <v>9506.9564766</v>
      </c>
      <c r="DV9" s="79">
        <f t="shared" si="78"/>
        <v>1982.2894146</v>
      </c>
      <c r="DW9" s="77">
        <f t="shared" si="79"/>
        <v>97.002477</v>
      </c>
      <c r="DX9" s="78"/>
      <c r="DY9" s="78">
        <f aca="true" t="shared" si="155" ref="DY9:DY27">C9*0.01933/100</f>
        <v>0</v>
      </c>
      <c r="DZ9" s="78">
        <f t="shared" si="80"/>
        <v>84.96752790000001</v>
      </c>
      <c r="EA9" s="78">
        <f t="shared" si="81"/>
        <v>84.96752790000001</v>
      </c>
      <c r="EB9" s="79">
        <f t="shared" si="82"/>
        <v>17.7165249</v>
      </c>
      <c r="EC9" s="77">
        <f t="shared" si="83"/>
        <v>0.8669505000000001</v>
      </c>
      <c r="ED9" s="78"/>
      <c r="EE9" s="78">
        <f aca="true" t="shared" si="156" ref="EE9:EE27">C9*0.02544/100</f>
        <v>0</v>
      </c>
      <c r="EF9" s="78">
        <f t="shared" si="84"/>
        <v>111.8248272</v>
      </c>
      <c r="EG9" s="78">
        <f t="shared" si="85"/>
        <v>111.8248272</v>
      </c>
      <c r="EH9" s="79">
        <f t="shared" si="86"/>
        <v>23.3165232</v>
      </c>
      <c r="EI9" s="77">
        <f t="shared" si="87"/>
        <v>1.140984</v>
      </c>
      <c r="EJ9" s="78"/>
      <c r="EK9" s="78">
        <f aca="true" t="shared" si="157" ref="EK9:EK27">C9*1.28187/100</f>
        <v>0</v>
      </c>
      <c r="EL9" s="78">
        <f t="shared" si="88"/>
        <v>5634.6262281</v>
      </c>
      <c r="EM9" s="78">
        <f t="shared" si="89"/>
        <v>5634.6262281</v>
      </c>
      <c r="EN9" s="79">
        <f t="shared" si="90"/>
        <v>1174.8723111000002</v>
      </c>
      <c r="EO9" s="77">
        <f t="shared" si="91"/>
        <v>57.4918695</v>
      </c>
      <c r="EP9" s="78"/>
      <c r="EQ9" s="78">
        <f aca="true" t="shared" si="158" ref="EQ9:EQ27">C9*0.0244/100</f>
        <v>0</v>
      </c>
      <c r="ER9" s="78">
        <f t="shared" si="92"/>
        <v>107.253372</v>
      </c>
      <c r="ES9" s="78">
        <f t="shared" si="93"/>
        <v>107.253372</v>
      </c>
      <c r="ET9" s="79">
        <f t="shared" si="94"/>
        <v>22.363332</v>
      </c>
      <c r="EU9" s="77">
        <f t="shared" si="95"/>
        <v>1.0943399999999999</v>
      </c>
      <c r="EV9" s="78"/>
      <c r="EW9" s="78">
        <f aca="true" t="shared" si="159" ref="EW9:EW27">C9*0.36459/100</f>
        <v>0</v>
      </c>
      <c r="EX9" s="78">
        <f t="shared" si="96"/>
        <v>1602.6027417000003</v>
      </c>
      <c r="EY9" s="78">
        <f t="shared" si="97"/>
        <v>1602.6027417000003</v>
      </c>
      <c r="EZ9" s="79">
        <f t="shared" si="98"/>
        <v>334.15767270000003</v>
      </c>
      <c r="FA9" s="77">
        <f t="shared" si="99"/>
        <v>16.351861500000002</v>
      </c>
      <c r="FB9" s="78"/>
      <c r="FC9" s="78">
        <f aca="true" t="shared" si="160" ref="FC9:FC27">C9*0.25327/100</f>
        <v>0</v>
      </c>
      <c r="FD9" s="78">
        <f t="shared" si="100"/>
        <v>1113.2812101</v>
      </c>
      <c r="FE9" s="78">
        <f t="shared" si="101"/>
        <v>1113.2812101</v>
      </c>
      <c r="FF9" s="79">
        <f t="shared" si="102"/>
        <v>232.1295531</v>
      </c>
      <c r="FG9" s="77">
        <f t="shared" si="103"/>
        <v>11.3591595</v>
      </c>
      <c r="FH9" s="78"/>
      <c r="FI9" s="78">
        <f aca="true" t="shared" si="161" ref="FI9:FI27">C9*0.09887/100</f>
        <v>0</v>
      </c>
      <c r="FJ9" s="78">
        <f t="shared" si="104"/>
        <v>434.5959381</v>
      </c>
      <c r="FK9" s="78">
        <f t="shared" si="105"/>
        <v>434.5959381</v>
      </c>
      <c r="FL9" s="79">
        <f t="shared" si="106"/>
        <v>90.6173211</v>
      </c>
      <c r="FM9" s="77">
        <f t="shared" si="107"/>
        <v>4.4343195</v>
      </c>
      <c r="FN9" s="78"/>
      <c r="FO9" s="78">
        <f aca="true" t="shared" si="162" ref="FO9:FO27">C9*1.11111/100</f>
        <v>0</v>
      </c>
      <c r="FP9" s="78">
        <f t="shared" si="108"/>
        <v>4884.0284493</v>
      </c>
      <c r="FQ9" s="78">
        <f t="shared" si="109"/>
        <v>4884.0284493</v>
      </c>
      <c r="FR9" s="79">
        <f t="shared" si="110"/>
        <v>1018.3656483000001</v>
      </c>
      <c r="FS9" s="77">
        <f t="shared" si="111"/>
        <v>49.8332835</v>
      </c>
      <c r="FT9" s="78"/>
      <c r="FU9" s="78">
        <f aca="true" t="shared" si="163" ref="FU9:FU27">C9*2.50422/100</f>
        <v>0</v>
      </c>
      <c r="FV9" s="78">
        <f t="shared" si="112"/>
        <v>11007.6245586</v>
      </c>
      <c r="FW9" s="78">
        <f t="shared" si="113"/>
        <v>11007.6245586</v>
      </c>
      <c r="FX9" s="79">
        <f t="shared" si="114"/>
        <v>2295.1927566</v>
      </c>
      <c r="FY9" s="77">
        <f t="shared" si="115"/>
        <v>112.314267</v>
      </c>
      <c r="FZ9" s="78"/>
      <c r="GA9" s="78">
        <f aca="true" t="shared" si="164" ref="GA9:GA27">C9*0.31957/100</f>
        <v>0</v>
      </c>
      <c r="GB9" s="78">
        <f t="shared" si="116"/>
        <v>1404.7114791</v>
      </c>
      <c r="GC9" s="78">
        <f t="shared" si="117"/>
        <v>1404.7114791</v>
      </c>
      <c r="GD9" s="79">
        <f t="shared" si="118"/>
        <v>292.8954921</v>
      </c>
      <c r="GE9" s="77">
        <f t="shared" si="119"/>
        <v>14.3327145</v>
      </c>
      <c r="GF9" s="78"/>
      <c r="GG9" s="78">
        <f aca="true" t="shared" si="165" ref="GG9:GG27">C9*0.50748/100</f>
        <v>0</v>
      </c>
      <c r="GH9" s="78">
        <f t="shared" si="120"/>
        <v>2230.6943124</v>
      </c>
      <c r="GI9" s="78">
        <f t="shared" si="121"/>
        <v>2230.6943124</v>
      </c>
      <c r="GJ9" s="79">
        <f t="shared" si="122"/>
        <v>465.1206444</v>
      </c>
      <c r="GK9" s="77">
        <f t="shared" si="123"/>
        <v>22.760478</v>
      </c>
      <c r="GL9" s="78"/>
      <c r="GM9" s="78">
        <f aca="true" t="shared" si="166" ref="GM9:GM27">C9*2.35189/100</f>
        <v>0</v>
      </c>
      <c r="GN9" s="78">
        <f t="shared" si="124"/>
        <v>10338.0382407</v>
      </c>
      <c r="GO9" s="78">
        <f t="shared" si="125"/>
        <v>10338.0382407</v>
      </c>
      <c r="GP9" s="79">
        <f t="shared" si="126"/>
        <v>2155.5777417</v>
      </c>
      <c r="GQ9" s="77">
        <f t="shared" si="127"/>
        <v>105.4822665</v>
      </c>
      <c r="GR9" s="78"/>
      <c r="GS9" s="78">
        <f aca="true" t="shared" si="167" ref="GS9:GS27">C9*0.12482/100</f>
        <v>0</v>
      </c>
      <c r="GT9" s="78">
        <f t="shared" si="128"/>
        <v>548.6625366000001</v>
      </c>
      <c r="GU9" s="78">
        <f t="shared" si="129"/>
        <v>548.6625366000001</v>
      </c>
      <c r="GV9" s="79">
        <f t="shared" si="130"/>
        <v>114.40127460000001</v>
      </c>
      <c r="GW9" s="77">
        <f t="shared" si="131"/>
        <v>5.598177000000001</v>
      </c>
      <c r="GX9" s="78"/>
      <c r="GY9" s="78">
        <f aca="true" t="shared" si="168" ref="GY9:GY27">C9*0.71564/100</f>
        <v>0</v>
      </c>
      <c r="GZ9" s="78">
        <f t="shared" si="132"/>
        <v>3145.6886532000003</v>
      </c>
      <c r="HA9" s="78">
        <f t="shared" si="133"/>
        <v>3145.6886532000003</v>
      </c>
      <c r="HB9" s="79">
        <f t="shared" si="134"/>
        <v>655.9055292</v>
      </c>
      <c r="HC9" s="77">
        <f t="shared" si="135"/>
        <v>32.096454</v>
      </c>
      <c r="HD9" s="78"/>
      <c r="HE9" s="78"/>
      <c r="HF9" s="78"/>
      <c r="HG9" s="78"/>
      <c r="HH9" s="78"/>
      <c r="HI9" s="78"/>
    </row>
    <row r="10" spans="1:217" ht="12">
      <c r="A10" s="19">
        <v>42278</v>
      </c>
      <c r="C10" s="36"/>
      <c r="D10" s="36">
        <v>439563</v>
      </c>
      <c r="E10" s="77">
        <f t="shared" si="0"/>
        <v>439563</v>
      </c>
      <c r="F10" s="77">
        <v>91653</v>
      </c>
      <c r="G10" s="77">
        <v>4485</v>
      </c>
      <c r="H10" s="78"/>
      <c r="I10" s="79"/>
      <c r="J10" s="79">
        <f t="shared" si="1"/>
        <v>238606.18108169996</v>
      </c>
      <c r="K10" s="79">
        <f t="shared" si="2"/>
        <v>238606.18108169996</v>
      </c>
      <c r="L10" s="79">
        <f t="shared" si="3"/>
        <v>49751.6222127</v>
      </c>
      <c r="M10" s="79">
        <f t="shared" si="3"/>
        <v>2434.5741615</v>
      </c>
      <c r="N10" s="78"/>
      <c r="O10" s="78"/>
      <c r="P10" s="78">
        <f t="shared" si="4"/>
        <v>29074.9825476</v>
      </c>
      <c r="Q10" s="79">
        <f t="shared" si="5"/>
        <v>29074.9825476</v>
      </c>
      <c r="R10" s="79">
        <f t="shared" si="6"/>
        <v>6062.4060156000005</v>
      </c>
      <c r="S10" s="77">
        <f t="shared" si="7"/>
        <v>296.661222</v>
      </c>
      <c r="T10" s="78"/>
      <c r="U10" s="78"/>
      <c r="V10" s="78">
        <f t="shared" si="8"/>
        <v>496.53036480000003</v>
      </c>
      <c r="W10" s="78">
        <f t="shared" si="9"/>
        <v>496.53036480000003</v>
      </c>
      <c r="X10" s="79">
        <f t="shared" si="10"/>
        <v>103.5312288</v>
      </c>
      <c r="Y10" s="77">
        <f t="shared" si="11"/>
        <v>5.066255999999999</v>
      </c>
      <c r="Z10" s="78"/>
      <c r="AA10" s="79"/>
      <c r="AB10" s="78">
        <f t="shared" si="12"/>
        <v>2241.5075622</v>
      </c>
      <c r="AC10" s="78">
        <f t="shared" si="13"/>
        <v>2241.5075622</v>
      </c>
      <c r="AD10" s="79">
        <f t="shared" si="14"/>
        <v>467.37530819999995</v>
      </c>
      <c r="AE10" s="77">
        <f t="shared" si="15"/>
        <v>22.870808999999998</v>
      </c>
      <c r="AF10" s="78"/>
      <c r="AG10" s="78"/>
      <c r="AH10" s="78">
        <f t="shared" si="16"/>
        <v>38980.3149711</v>
      </c>
      <c r="AI10" s="78">
        <f t="shared" si="17"/>
        <v>38980.3149711</v>
      </c>
      <c r="AJ10" s="79">
        <f t="shared" si="18"/>
        <v>8127.7605441</v>
      </c>
      <c r="AK10" s="77">
        <f t="shared" si="19"/>
        <v>397.7284545</v>
      </c>
      <c r="AL10" s="78"/>
      <c r="AM10" s="78"/>
      <c r="AN10" s="78">
        <f t="shared" si="20"/>
        <v>472.1785746</v>
      </c>
      <c r="AO10" s="78">
        <f t="shared" si="21"/>
        <v>472.1785746</v>
      </c>
      <c r="AP10" s="79">
        <f t="shared" si="22"/>
        <v>98.4536526</v>
      </c>
      <c r="AQ10" s="77">
        <f t="shared" si="23"/>
        <v>4.817787</v>
      </c>
      <c r="AR10" s="78"/>
      <c r="AS10" s="78"/>
      <c r="AT10" s="78">
        <f t="shared" si="24"/>
        <v>398.2001217</v>
      </c>
      <c r="AU10" s="78">
        <f t="shared" si="25"/>
        <v>398.2001217</v>
      </c>
      <c r="AV10" s="79">
        <f t="shared" si="26"/>
        <v>83.0284527</v>
      </c>
      <c r="AW10" s="77">
        <f t="shared" si="27"/>
        <v>4.0629615</v>
      </c>
      <c r="AX10" s="78"/>
      <c r="AY10" s="78"/>
      <c r="AZ10" s="78">
        <f t="shared" si="28"/>
        <v>16337.150108400001</v>
      </c>
      <c r="BA10" s="78">
        <f t="shared" si="29"/>
        <v>16337.150108400001</v>
      </c>
      <c r="BB10" s="79">
        <f t="shared" si="30"/>
        <v>3406.4487204</v>
      </c>
      <c r="BC10" s="77">
        <f t="shared" si="31"/>
        <v>166.693098</v>
      </c>
      <c r="BD10" s="78"/>
      <c r="BE10" s="78"/>
      <c r="BF10" s="78">
        <f t="shared" si="32"/>
        <v>33522.0853749</v>
      </c>
      <c r="BG10" s="78">
        <f t="shared" si="33"/>
        <v>33522.0853749</v>
      </c>
      <c r="BH10" s="79">
        <f t="shared" si="34"/>
        <v>6989.6685819</v>
      </c>
      <c r="BI10" s="77">
        <f t="shared" si="35"/>
        <v>342.03641550000003</v>
      </c>
      <c r="BJ10" s="78"/>
      <c r="BK10" s="78"/>
      <c r="BL10" s="78">
        <f t="shared" si="36"/>
        <v>386.9912652</v>
      </c>
      <c r="BM10" s="78">
        <f t="shared" si="37"/>
        <v>386.9912652</v>
      </c>
      <c r="BN10" s="79">
        <f t="shared" si="38"/>
        <v>80.6913012</v>
      </c>
      <c r="BO10" s="77">
        <f t="shared" si="39"/>
        <v>3.9485940000000004</v>
      </c>
      <c r="BP10" s="78"/>
      <c r="BQ10" s="78"/>
      <c r="BR10" s="78">
        <f t="shared" si="40"/>
        <v>259.9575582</v>
      </c>
      <c r="BS10" s="78">
        <f t="shared" si="41"/>
        <v>259.9575582</v>
      </c>
      <c r="BT10" s="79">
        <f t="shared" si="42"/>
        <v>54.203584199999995</v>
      </c>
      <c r="BU10" s="77">
        <f t="shared" si="43"/>
        <v>2.6524289999999997</v>
      </c>
      <c r="BV10" s="78"/>
      <c r="BW10" s="78"/>
      <c r="BX10" s="78">
        <f t="shared" si="44"/>
        <v>-38.7255003</v>
      </c>
      <c r="BY10" s="78">
        <f t="shared" si="45"/>
        <v>-38.7255003</v>
      </c>
      <c r="BZ10" s="79">
        <f t="shared" si="46"/>
        <v>-8.0746293</v>
      </c>
      <c r="CA10" s="77">
        <f t="shared" si="47"/>
        <v>-0.3951285</v>
      </c>
      <c r="CB10" s="78"/>
      <c r="CC10" s="78"/>
      <c r="CD10" s="78">
        <f t="shared" si="48"/>
        <v>-25.230916200000003</v>
      </c>
      <c r="CE10" s="78">
        <f t="shared" si="49"/>
        <v>-25.230916200000003</v>
      </c>
      <c r="CF10" s="79">
        <f t="shared" si="50"/>
        <v>-5.2608822</v>
      </c>
      <c r="CG10" s="77">
        <f t="shared" si="51"/>
        <v>-0.257439</v>
      </c>
      <c r="CH10" s="78"/>
      <c r="CI10" s="78"/>
      <c r="CJ10" s="78">
        <f t="shared" si="52"/>
        <v>938.2911798000001</v>
      </c>
      <c r="CK10" s="78">
        <f t="shared" si="53"/>
        <v>938.2911798000001</v>
      </c>
      <c r="CL10" s="79">
        <f t="shared" si="54"/>
        <v>195.64249379999998</v>
      </c>
      <c r="CM10" s="77">
        <f t="shared" si="55"/>
        <v>9.573681</v>
      </c>
      <c r="CN10" s="78"/>
      <c r="CO10" s="78"/>
      <c r="CP10" s="78">
        <f t="shared" si="56"/>
        <v>5770.1435010000005</v>
      </c>
      <c r="CQ10" s="78">
        <f t="shared" si="57"/>
        <v>5770.1435010000005</v>
      </c>
      <c r="CR10" s="79">
        <f t="shared" si="58"/>
        <v>1203.128931</v>
      </c>
      <c r="CS10" s="77">
        <f t="shared" si="59"/>
        <v>58.874595</v>
      </c>
      <c r="CT10" s="78"/>
      <c r="CU10" s="78"/>
      <c r="CV10" s="78">
        <f t="shared" si="60"/>
        <v>38762.907111299995</v>
      </c>
      <c r="CW10" s="78">
        <f t="shared" si="61"/>
        <v>38762.907111299995</v>
      </c>
      <c r="CX10" s="79">
        <f t="shared" si="62"/>
        <v>8082.4289703</v>
      </c>
      <c r="CY10" s="77">
        <f t="shared" si="63"/>
        <v>395.5101735</v>
      </c>
      <c r="CZ10" s="78"/>
      <c r="DA10" s="78"/>
      <c r="DB10" s="78">
        <f t="shared" si="64"/>
        <v>5592.647961599999</v>
      </c>
      <c r="DC10" s="78">
        <f t="shared" si="65"/>
        <v>5592.647961599999</v>
      </c>
      <c r="DD10" s="79">
        <f t="shared" si="66"/>
        <v>1166.1194496</v>
      </c>
      <c r="DE10" s="77">
        <f t="shared" si="67"/>
        <v>57.063552</v>
      </c>
      <c r="DF10" s="78"/>
      <c r="DG10" s="78"/>
      <c r="DH10" s="78">
        <f t="shared" si="68"/>
        <v>11427.4072236</v>
      </c>
      <c r="DI10" s="78">
        <f t="shared" si="69"/>
        <v>11427.4072236</v>
      </c>
      <c r="DJ10" s="79">
        <f t="shared" si="70"/>
        <v>2382.7213716</v>
      </c>
      <c r="DK10" s="77">
        <f t="shared" si="71"/>
        <v>116.597442</v>
      </c>
      <c r="DL10" s="78"/>
      <c r="DM10" s="78"/>
      <c r="DN10" s="78">
        <f t="shared" si="72"/>
        <v>1853.2855206</v>
      </c>
      <c r="DO10" s="78">
        <f t="shared" si="73"/>
        <v>1853.2855206</v>
      </c>
      <c r="DP10" s="79">
        <f t="shared" si="74"/>
        <v>386.4273786</v>
      </c>
      <c r="DQ10" s="77">
        <f t="shared" si="75"/>
        <v>18.909657</v>
      </c>
      <c r="DR10" s="78"/>
      <c r="DS10" s="78"/>
      <c r="DT10" s="78">
        <f t="shared" si="76"/>
        <v>9506.9564766</v>
      </c>
      <c r="DU10" s="78">
        <f t="shared" si="77"/>
        <v>9506.9564766</v>
      </c>
      <c r="DV10" s="79">
        <f t="shared" si="78"/>
        <v>1982.2894146</v>
      </c>
      <c r="DW10" s="77">
        <f t="shared" si="79"/>
        <v>97.002477</v>
      </c>
      <c r="DX10" s="78"/>
      <c r="DY10" s="78"/>
      <c r="DZ10" s="78">
        <f t="shared" si="80"/>
        <v>84.96752790000001</v>
      </c>
      <c r="EA10" s="78">
        <f t="shared" si="81"/>
        <v>84.96752790000001</v>
      </c>
      <c r="EB10" s="79">
        <f t="shared" si="82"/>
        <v>17.7165249</v>
      </c>
      <c r="EC10" s="77">
        <f t="shared" si="83"/>
        <v>0.8669505000000001</v>
      </c>
      <c r="ED10" s="78"/>
      <c r="EE10" s="78"/>
      <c r="EF10" s="78">
        <f t="shared" si="84"/>
        <v>111.8248272</v>
      </c>
      <c r="EG10" s="78">
        <f t="shared" si="85"/>
        <v>111.8248272</v>
      </c>
      <c r="EH10" s="79">
        <f t="shared" si="86"/>
        <v>23.3165232</v>
      </c>
      <c r="EI10" s="77">
        <f t="shared" si="87"/>
        <v>1.140984</v>
      </c>
      <c r="EJ10" s="78"/>
      <c r="EK10" s="78"/>
      <c r="EL10" s="78">
        <f t="shared" si="88"/>
        <v>5634.6262281</v>
      </c>
      <c r="EM10" s="78">
        <f t="shared" si="89"/>
        <v>5634.6262281</v>
      </c>
      <c r="EN10" s="79">
        <f t="shared" si="90"/>
        <v>1174.8723111000002</v>
      </c>
      <c r="EO10" s="77">
        <f t="shared" si="91"/>
        <v>57.4918695</v>
      </c>
      <c r="EP10" s="78"/>
      <c r="EQ10" s="78"/>
      <c r="ER10" s="78">
        <f t="shared" si="92"/>
        <v>107.253372</v>
      </c>
      <c r="ES10" s="78">
        <f t="shared" si="93"/>
        <v>107.253372</v>
      </c>
      <c r="ET10" s="79">
        <f t="shared" si="94"/>
        <v>22.363332</v>
      </c>
      <c r="EU10" s="77">
        <f t="shared" si="95"/>
        <v>1.0943399999999999</v>
      </c>
      <c r="EV10" s="78"/>
      <c r="EW10" s="78"/>
      <c r="EX10" s="78">
        <f t="shared" si="96"/>
        <v>1602.6027417000003</v>
      </c>
      <c r="EY10" s="78">
        <f t="shared" si="97"/>
        <v>1602.6027417000003</v>
      </c>
      <c r="EZ10" s="79">
        <f t="shared" si="98"/>
        <v>334.15767270000003</v>
      </c>
      <c r="FA10" s="77">
        <f t="shared" si="99"/>
        <v>16.351861500000002</v>
      </c>
      <c r="FB10" s="78"/>
      <c r="FC10" s="78"/>
      <c r="FD10" s="78">
        <f t="shared" si="100"/>
        <v>1113.2812101</v>
      </c>
      <c r="FE10" s="78">
        <f t="shared" si="101"/>
        <v>1113.2812101</v>
      </c>
      <c r="FF10" s="79">
        <f t="shared" si="102"/>
        <v>232.1295531</v>
      </c>
      <c r="FG10" s="77">
        <f t="shared" si="103"/>
        <v>11.3591595</v>
      </c>
      <c r="FH10" s="78"/>
      <c r="FI10" s="78"/>
      <c r="FJ10" s="78">
        <f t="shared" si="104"/>
        <v>434.5959381</v>
      </c>
      <c r="FK10" s="78">
        <f t="shared" si="105"/>
        <v>434.5959381</v>
      </c>
      <c r="FL10" s="79">
        <f t="shared" si="106"/>
        <v>90.6173211</v>
      </c>
      <c r="FM10" s="77">
        <f t="shared" si="107"/>
        <v>4.4343195</v>
      </c>
      <c r="FN10" s="78"/>
      <c r="FO10" s="78"/>
      <c r="FP10" s="78">
        <f t="shared" si="108"/>
        <v>4884.0284493</v>
      </c>
      <c r="FQ10" s="78">
        <f t="shared" si="109"/>
        <v>4884.0284493</v>
      </c>
      <c r="FR10" s="79">
        <f t="shared" si="110"/>
        <v>1018.3656483000001</v>
      </c>
      <c r="FS10" s="77">
        <f t="shared" si="111"/>
        <v>49.8332835</v>
      </c>
      <c r="FT10" s="78"/>
      <c r="FU10" s="78"/>
      <c r="FV10" s="78">
        <f t="shared" si="112"/>
        <v>11007.6245586</v>
      </c>
      <c r="FW10" s="78">
        <f t="shared" si="113"/>
        <v>11007.6245586</v>
      </c>
      <c r="FX10" s="79">
        <f t="shared" si="114"/>
        <v>2295.1927566</v>
      </c>
      <c r="FY10" s="77">
        <f t="shared" si="115"/>
        <v>112.314267</v>
      </c>
      <c r="FZ10" s="78"/>
      <c r="GA10" s="78"/>
      <c r="GB10" s="78">
        <f t="shared" si="116"/>
        <v>1404.7114791</v>
      </c>
      <c r="GC10" s="78">
        <f t="shared" si="117"/>
        <v>1404.7114791</v>
      </c>
      <c r="GD10" s="79">
        <f t="shared" si="118"/>
        <v>292.8954921</v>
      </c>
      <c r="GE10" s="77">
        <f t="shared" si="119"/>
        <v>14.3327145</v>
      </c>
      <c r="GF10" s="78"/>
      <c r="GG10" s="78"/>
      <c r="GH10" s="78">
        <f t="shared" si="120"/>
        <v>2230.6943124</v>
      </c>
      <c r="GI10" s="78">
        <f t="shared" si="121"/>
        <v>2230.6943124</v>
      </c>
      <c r="GJ10" s="79">
        <f t="shared" si="122"/>
        <v>465.1206444</v>
      </c>
      <c r="GK10" s="77">
        <f t="shared" si="123"/>
        <v>22.760478</v>
      </c>
      <c r="GL10" s="78"/>
      <c r="GM10" s="78"/>
      <c r="GN10" s="78">
        <f t="shared" si="124"/>
        <v>10338.0382407</v>
      </c>
      <c r="GO10" s="78">
        <f t="shared" si="125"/>
        <v>10338.0382407</v>
      </c>
      <c r="GP10" s="79">
        <f t="shared" si="126"/>
        <v>2155.5777417</v>
      </c>
      <c r="GQ10" s="77">
        <f t="shared" si="127"/>
        <v>105.4822665</v>
      </c>
      <c r="GR10" s="78"/>
      <c r="GS10" s="78"/>
      <c r="GT10" s="78">
        <f t="shared" si="128"/>
        <v>548.6625366000001</v>
      </c>
      <c r="GU10" s="78">
        <f t="shared" si="129"/>
        <v>548.6625366000001</v>
      </c>
      <c r="GV10" s="79">
        <f t="shared" si="130"/>
        <v>114.40127460000001</v>
      </c>
      <c r="GW10" s="77">
        <f t="shared" si="131"/>
        <v>5.598177000000001</v>
      </c>
      <c r="GX10" s="78"/>
      <c r="GY10" s="78"/>
      <c r="GZ10" s="78">
        <f t="shared" si="132"/>
        <v>3145.6886532000003</v>
      </c>
      <c r="HA10" s="78">
        <f t="shared" si="133"/>
        <v>3145.6886532000003</v>
      </c>
      <c r="HB10" s="79">
        <f t="shared" si="134"/>
        <v>655.9055292</v>
      </c>
      <c r="HC10" s="77">
        <f t="shared" si="135"/>
        <v>32.096454</v>
      </c>
      <c r="HD10" s="78"/>
      <c r="HE10" s="78"/>
      <c r="HF10" s="78"/>
      <c r="HG10" s="78"/>
      <c r="HH10" s="78"/>
      <c r="HI10" s="78"/>
    </row>
    <row r="11" spans="1:217" ht="12">
      <c r="A11" s="19">
        <v>42461</v>
      </c>
      <c r="C11" s="36"/>
      <c r="D11" s="36">
        <v>439563</v>
      </c>
      <c r="E11" s="77">
        <f t="shared" si="0"/>
        <v>439563</v>
      </c>
      <c r="F11" s="77">
        <v>91653</v>
      </c>
      <c r="G11" s="77">
        <v>4485</v>
      </c>
      <c r="H11" s="78"/>
      <c r="I11" s="79">
        <f>O11+U11+AA11+AG11+AM11+AS11+AY11+BE11+BK11+BQ11+BW11+CC11+CI11+CO11+CU11+DA11+DG11+DM11+DS11+DY11+EE11+EK11+EQ11+EW11+FC11+FI11+FO11+FU11+GA11+GG11+GM11+GS11+GY11</f>
        <v>0</v>
      </c>
      <c r="J11" s="79">
        <f t="shared" si="1"/>
        <v>238606.18108169996</v>
      </c>
      <c r="K11" s="79">
        <f t="shared" si="2"/>
        <v>238606.18108169996</v>
      </c>
      <c r="L11" s="79">
        <f t="shared" si="3"/>
        <v>49751.6222127</v>
      </c>
      <c r="M11" s="79">
        <f t="shared" si="3"/>
        <v>2434.5741615</v>
      </c>
      <c r="N11" s="78"/>
      <c r="O11" s="78">
        <f t="shared" si="136"/>
        <v>0</v>
      </c>
      <c r="P11" s="78">
        <f t="shared" si="4"/>
        <v>29074.9825476</v>
      </c>
      <c r="Q11" s="79">
        <f t="shared" si="5"/>
        <v>29074.9825476</v>
      </c>
      <c r="R11" s="79">
        <f t="shared" si="6"/>
        <v>6062.4060156000005</v>
      </c>
      <c r="S11" s="77">
        <f t="shared" si="7"/>
        <v>296.661222</v>
      </c>
      <c r="T11" s="78"/>
      <c r="U11" s="78">
        <f t="shared" si="137"/>
        <v>0</v>
      </c>
      <c r="V11" s="78">
        <f t="shared" si="8"/>
        <v>496.53036480000003</v>
      </c>
      <c r="W11" s="78">
        <f t="shared" si="9"/>
        <v>496.53036480000003</v>
      </c>
      <c r="X11" s="79">
        <f t="shared" si="10"/>
        <v>103.5312288</v>
      </c>
      <c r="Y11" s="77">
        <f t="shared" si="11"/>
        <v>5.066255999999999</v>
      </c>
      <c r="Z11" s="78"/>
      <c r="AA11" s="79">
        <f t="shared" si="138"/>
        <v>0</v>
      </c>
      <c r="AB11" s="78">
        <f t="shared" si="12"/>
        <v>2241.5075622</v>
      </c>
      <c r="AC11" s="78">
        <f t="shared" si="13"/>
        <v>2241.5075622</v>
      </c>
      <c r="AD11" s="79">
        <f t="shared" si="14"/>
        <v>467.37530819999995</v>
      </c>
      <c r="AE11" s="77">
        <f t="shared" si="15"/>
        <v>22.870808999999998</v>
      </c>
      <c r="AF11" s="78"/>
      <c r="AG11" s="78">
        <f t="shared" si="139"/>
        <v>0</v>
      </c>
      <c r="AH11" s="78">
        <f t="shared" si="16"/>
        <v>38980.3149711</v>
      </c>
      <c r="AI11" s="78">
        <f t="shared" si="17"/>
        <v>38980.3149711</v>
      </c>
      <c r="AJ11" s="79">
        <f t="shared" si="18"/>
        <v>8127.7605441</v>
      </c>
      <c r="AK11" s="77">
        <f t="shared" si="19"/>
        <v>397.7284545</v>
      </c>
      <c r="AL11" s="78"/>
      <c r="AM11" s="78">
        <f t="shared" si="140"/>
        <v>0</v>
      </c>
      <c r="AN11" s="78">
        <f t="shared" si="20"/>
        <v>472.1785746</v>
      </c>
      <c r="AO11" s="78">
        <f t="shared" si="21"/>
        <v>472.1785746</v>
      </c>
      <c r="AP11" s="79">
        <f t="shared" si="22"/>
        <v>98.4536526</v>
      </c>
      <c r="AQ11" s="77">
        <f t="shared" si="23"/>
        <v>4.817787</v>
      </c>
      <c r="AR11" s="78"/>
      <c r="AS11" s="78">
        <f t="shared" si="141"/>
        <v>0</v>
      </c>
      <c r="AT11" s="78">
        <f t="shared" si="24"/>
        <v>398.2001217</v>
      </c>
      <c r="AU11" s="78">
        <f t="shared" si="25"/>
        <v>398.2001217</v>
      </c>
      <c r="AV11" s="79">
        <f t="shared" si="26"/>
        <v>83.0284527</v>
      </c>
      <c r="AW11" s="77">
        <f t="shared" si="27"/>
        <v>4.0629615</v>
      </c>
      <c r="AX11" s="78"/>
      <c r="AY11" s="78">
        <f t="shared" si="142"/>
        <v>0</v>
      </c>
      <c r="AZ11" s="78">
        <f t="shared" si="28"/>
        <v>16337.150108400001</v>
      </c>
      <c r="BA11" s="78">
        <f t="shared" si="29"/>
        <v>16337.150108400001</v>
      </c>
      <c r="BB11" s="79">
        <f t="shared" si="30"/>
        <v>3406.4487204</v>
      </c>
      <c r="BC11" s="77">
        <f t="shared" si="31"/>
        <v>166.693098</v>
      </c>
      <c r="BD11" s="78"/>
      <c r="BE11" s="78">
        <f t="shared" si="143"/>
        <v>0</v>
      </c>
      <c r="BF11" s="78">
        <f t="shared" si="32"/>
        <v>33522.0853749</v>
      </c>
      <c r="BG11" s="78">
        <f t="shared" si="33"/>
        <v>33522.0853749</v>
      </c>
      <c r="BH11" s="79">
        <f t="shared" si="34"/>
        <v>6989.6685819</v>
      </c>
      <c r="BI11" s="77">
        <f t="shared" si="35"/>
        <v>342.03641550000003</v>
      </c>
      <c r="BJ11" s="78"/>
      <c r="BK11" s="78">
        <f t="shared" si="144"/>
        <v>0</v>
      </c>
      <c r="BL11" s="78">
        <f t="shared" si="36"/>
        <v>386.9912652</v>
      </c>
      <c r="BM11" s="78">
        <f t="shared" si="37"/>
        <v>386.9912652</v>
      </c>
      <c r="BN11" s="79">
        <f t="shared" si="38"/>
        <v>80.6913012</v>
      </c>
      <c r="BO11" s="77">
        <f t="shared" si="39"/>
        <v>3.9485940000000004</v>
      </c>
      <c r="BP11" s="78"/>
      <c r="BQ11" s="78">
        <f t="shared" si="145"/>
        <v>0</v>
      </c>
      <c r="BR11" s="78">
        <f t="shared" si="40"/>
        <v>259.9575582</v>
      </c>
      <c r="BS11" s="78">
        <f t="shared" si="41"/>
        <v>259.9575582</v>
      </c>
      <c r="BT11" s="79">
        <f t="shared" si="42"/>
        <v>54.203584199999995</v>
      </c>
      <c r="BU11" s="77">
        <f t="shared" si="43"/>
        <v>2.6524289999999997</v>
      </c>
      <c r="BV11" s="78"/>
      <c r="BW11" s="78">
        <f t="shared" si="146"/>
        <v>0</v>
      </c>
      <c r="BX11" s="78">
        <f t="shared" si="44"/>
        <v>-38.7255003</v>
      </c>
      <c r="BY11" s="78">
        <f t="shared" si="45"/>
        <v>-38.7255003</v>
      </c>
      <c r="BZ11" s="79">
        <f t="shared" si="46"/>
        <v>-8.0746293</v>
      </c>
      <c r="CA11" s="77">
        <f t="shared" si="47"/>
        <v>-0.3951285</v>
      </c>
      <c r="CB11" s="78"/>
      <c r="CC11" s="78">
        <f t="shared" si="147"/>
        <v>0</v>
      </c>
      <c r="CD11" s="78">
        <f t="shared" si="48"/>
        <v>-25.230916200000003</v>
      </c>
      <c r="CE11" s="78">
        <f t="shared" si="49"/>
        <v>-25.230916200000003</v>
      </c>
      <c r="CF11" s="79">
        <f t="shared" si="50"/>
        <v>-5.2608822</v>
      </c>
      <c r="CG11" s="77">
        <f t="shared" si="51"/>
        <v>-0.257439</v>
      </c>
      <c r="CH11" s="78"/>
      <c r="CI11" s="78">
        <f t="shared" si="148"/>
        <v>0</v>
      </c>
      <c r="CJ11" s="78">
        <f t="shared" si="52"/>
        <v>938.2911798000001</v>
      </c>
      <c r="CK11" s="78">
        <f t="shared" si="53"/>
        <v>938.2911798000001</v>
      </c>
      <c r="CL11" s="79">
        <f t="shared" si="54"/>
        <v>195.64249379999998</v>
      </c>
      <c r="CM11" s="77">
        <f t="shared" si="55"/>
        <v>9.573681</v>
      </c>
      <c r="CN11" s="78"/>
      <c r="CO11" s="78">
        <f t="shared" si="149"/>
        <v>0</v>
      </c>
      <c r="CP11" s="78">
        <f t="shared" si="56"/>
        <v>5770.1435010000005</v>
      </c>
      <c r="CQ11" s="78">
        <f t="shared" si="57"/>
        <v>5770.1435010000005</v>
      </c>
      <c r="CR11" s="79">
        <f t="shared" si="58"/>
        <v>1203.128931</v>
      </c>
      <c r="CS11" s="77">
        <f t="shared" si="59"/>
        <v>58.874595</v>
      </c>
      <c r="CT11" s="78"/>
      <c r="CU11" s="78">
        <f t="shared" si="150"/>
        <v>0</v>
      </c>
      <c r="CV11" s="78">
        <f t="shared" si="60"/>
        <v>38762.907111299995</v>
      </c>
      <c r="CW11" s="78">
        <f t="shared" si="61"/>
        <v>38762.907111299995</v>
      </c>
      <c r="CX11" s="79">
        <f t="shared" si="62"/>
        <v>8082.4289703</v>
      </c>
      <c r="CY11" s="77">
        <f t="shared" si="63"/>
        <v>395.5101735</v>
      </c>
      <c r="CZ11" s="78"/>
      <c r="DA11" s="78">
        <f t="shared" si="151"/>
        <v>0</v>
      </c>
      <c r="DB11" s="78">
        <f t="shared" si="64"/>
        <v>5592.647961599999</v>
      </c>
      <c r="DC11" s="78">
        <f t="shared" si="65"/>
        <v>5592.647961599999</v>
      </c>
      <c r="DD11" s="79">
        <f t="shared" si="66"/>
        <v>1166.1194496</v>
      </c>
      <c r="DE11" s="77">
        <f t="shared" si="67"/>
        <v>57.063552</v>
      </c>
      <c r="DF11" s="78"/>
      <c r="DG11" s="78">
        <f t="shared" si="152"/>
        <v>0</v>
      </c>
      <c r="DH11" s="78">
        <f t="shared" si="68"/>
        <v>11427.4072236</v>
      </c>
      <c r="DI11" s="78">
        <f t="shared" si="69"/>
        <v>11427.4072236</v>
      </c>
      <c r="DJ11" s="79">
        <f t="shared" si="70"/>
        <v>2382.7213716</v>
      </c>
      <c r="DK11" s="77">
        <f t="shared" si="71"/>
        <v>116.597442</v>
      </c>
      <c r="DL11" s="78"/>
      <c r="DM11" s="78">
        <f t="shared" si="153"/>
        <v>0</v>
      </c>
      <c r="DN11" s="78">
        <f t="shared" si="72"/>
        <v>1853.2855206</v>
      </c>
      <c r="DO11" s="78">
        <f t="shared" si="73"/>
        <v>1853.2855206</v>
      </c>
      <c r="DP11" s="79">
        <f t="shared" si="74"/>
        <v>386.4273786</v>
      </c>
      <c r="DQ11" s="77">
        <f t="shared" si="75"/>
        <v>18.909657</v>
      </c>
      <c r="DR11" s="78"/>
      <c r="DS11" s="78">
        <f t="shared" si="154"/>
        <v>0</v>
      </c>
      <c r="DT11" s="78">
        <f t="shared" si="76"/>
        <v>9506.9564766</v>
      </c>
      <c r="DU11" s="78">
        <f t="shared" si="77"/>
        <v>9506.9564766</v>
      </c>
      <c r="DV11" s="79">
        <f t="shared" si="78"/>
        <v>1982.2894146</v>
      </c>
      <c r="DW11" s="77">
        <f t="shared" si="79"/>
        <v>97.002477</v>
      </c>
      <c r="DX11" s="78"/>
      <c r="DY11" s="78">
        <f t="shared" si="155"/>
        <v>0</v>
      </c>
      <c r="DZ11" s="78">
        <f t="shared" si="80"/>
        <v>84.96752790000001</v>
      </c>
      <c r="EA11" s="78">
        <f t="shared" si="81"/>
        <v>84.96752790000001</v>
      </c>
      <c r="EB11" s="79">
        <f t="shared" si="82"/>
        <v>17.7165249</v>
      </c>
      <c r="EC11" s="77">
        <f t="shared" si="83"/>
        <v>0.8669505000000001</v>
      </c>
      <c r="ED11" s="78"/>
      <c r="EE11" s="78">
        <f t="shared" si="156"/>
        <v>0</v>
      </c>
      <c r="EF11" s="78">
        <f t="shared" si="84"/>
        <v>111.8248272</v>
      </c>
      <c r="EG11" s="78">
        <f t="shared" si="85"/>
        <v>111.8248272</v>
      </c>
      <c r="EH11" s="79">
        <f t="shared" si="86"/>
        <v>23.3165232</v>
      </c>
      <c r="EI11" s="77">
        <f t="shared" si="87"/>
        <v>1.140984</v>
      </c>
      <c r="EJ11" s="78"/>
      <c r="EK11" s="78">
        <f t="shared" si="157"/>
        <v>0</v>
      </c>
      <c r="EL11" s="78">
        <f t="shared" si="88"/>
        <v>5634.6262281</v>
      </c>
      <c r="EM11" s="78">
        <f t="shared" si="89"/>
        <v>5634.6262281</v>
      </c>
      <c r="EN11" s="79">
        <f t="shared" si="90"/>
        <v>1174.8723111000002</v>
      </c>
      <c r="EO11" s="77">
        <f t="shared" si="91"/>
        <v>57.4918695</v>
      </c>
      <c r="EP11" s="78"/>
      <c r="EQ11" s="78">
        <f t="shared" si="158"/>
        <v>0</v>
      </c>
      <c r="ER11" s="78">
        <f t="shared" si="92"/>
        <v>107.253372</v>
      </c>
      <c r="ES11" s="78">
        <f t="shared" si="93"/>
        <v>107.253372</v>
      </c>
      <c r="ET11" s="79">
        <f t="shared" si="94"/>
        <v>22.363332</v>
      </c>
      <c r="EU11" s="77">
        <f t="shared" si="95"/>
        <v>1.0943399999999999</v>
      </c>
      <c r="EV11" s="78"/>
      <c r="EW11" s="78">
        <f t="shared" si="159"/>
        <v>0</v>
      </c>
      <c r="EX11" s="78">
        <f t="shared" si="96"/>
        <v>1602.6027417000003</v>
      </c>
      <c r="EY11" s="78">
        <f t="shared" si="97"/>
        <v>1602.6027417000003</v>
      </c>
      <c r="EZ11" s="79">
        <f t="shared" si="98"/>
        <v>334.15767270000003</v>
      </c>
      <c r="FA11" s="77">
        <f t="shared" si="99"/>
        <v>16.351861500000002</v>
      </c>
      <c r="FB11" s="78"/>
      <c r="FC11" s="78">
        <f t="shared" si="160"/>
        <v>0</v>
      </c>
      <c r="FD11" s="78">
        <f t="shared" si="100"/>
        <v>1113.2812101</v>
      </c>
      <c r="FE11" s="78">
        <f t="shared" si="101"/>
        <v>1113.2812101</v>
      </c>
      <c r="FF11" s="79">
        <f t="shared" si="102"/>
        <v>232.1295531</v>
      </c>
      <c r="FG11" s="77">
        <f t="shared" si="103"/>
        <v>11.3591595</v>
      </c>
      <c r="FH11" s="78"/>
      <c r="FI11" s="78">
        <f t="shared" si="161"/>
        <v>0</v>
      </c>
      <c r="FJ11" s="78">
        <f t="shared" si="104"/>
        <v>434.5959381</v>
      </c>
      <c r="FK11" s="78">
        <f t="shared" si="105"/>
        <v>434.5959381</v>
      </c>
      <c r="FL11" s="79">
        <f t="shared" si="106"/>
        <v>90.6173211</v>
      </c>
      <c r="FM11" s="77">
        <f t="shared" si="107"/>
        <v>4.4343195</v>
      </c>
      <c r="FN11" s="78"/>
      <c r="FO11" s="78">
        <f t="shared" si="162"/>
        <v>0</v>
      </c>
      <c r="FP11" s="78">
        <f t="shared" si="108"/>
        <v>4884.0284493</v>
      </c>
      <c r="FQ11" s="78">
        <f t="shared" si="109"/>
        <v>4884.0284493</v>
      </c>
      <c r="FR11" s="79">
        <f t="shared" si="110"/>
        <v>1018.3656483000001</v>
      </c>
      <c r="FS11" s="77">
        <f t="shared" si="111"/>
        <v>49.8332835</v>
      </c>
      <c r="FT11" s="78"/>
      <c r="FU11" s="78">
        <f t="shared" si="163"/>
        <v>0</v>
      </c>
      <c r="FV11" s="78">
        <f t="shared" si="112"/>
        <v>11007.6245586</v>
      </c>
      <c r="FW11" s="78">
        <f t="shared" si="113"/>
        <v>11007.6245586</v>
      </c>
      <c r="FX11" s="79">
        <f t="shared" si="114"/>
        <v>2295.1927566</v>
      </c>
      <c r="FY11" s="77">
        <f t="shared" si="115"/>
        <v>112.314267</v>
      </c>
      <c r="FZ11" s="78"/>
      <c r="GA11" s="78">
        <f t="shared" si="164"/>
        <v>0</v>
      </c>
      <c r="GB11" s="78">
        <f t="shared" si="116"/>
        <v>1404.7114791</v>
      </c>
      <c r="GC11" s="78">
        <f t="shared" si="117"/>
        <v>1404.7114791</v>
      </c>
      <c r="GD11" s="79">
        <f t="shared" si="118"/>
        <v>292.8954921</v>
      </c>
      <c r="GE11" s="77">
        <f t="shared" si="119"/>
        <v>14.3327145</v>
      </c>
      <c r="GF11" s="78"/>
      <c r="GG11" s="78">
        <f t="shared" si="165"/>
        <v>0</v>
      </c>
      <c r="GH11" s="78">
        <f t="shared" si="120"/>
        <v>2230.6943124</v>
      </c>
      <c r="GI11" s="78">
        <f t="shared" si="121"/>
        <v>2230.6943124</v>
      </c>
      <c r="GJ11" s="79">
        <f t="shared" si="122"/>
        <v>465.1206444</v>
      </c>
      <c r="GK11" s="77">
        <f t="shared" si="123"/>
        <v>22.760478</v>
      </c>
      <c r="GL11" s="78"/>
      <c r="GM11" s="78">
        <f t="shared" si="166"/>
        <v>0</v>
      </c>
      <c r="GN11" s="78">
        <f t="shared" si="124"/>
        <v>10338.0382407</v>
      </c>
      <c r="GO11" s="78">
        <f t="shared" si="125"/>
        <v>10338.0382407</v>
      </c>
      <c r="GP11" s="79">
        <f t="shared" si="126"/>
        <v>2155.5777417</v>
      </c>
      <c r="GQ11" s="77">
        <f t="shared" si="127"/>
        <v>105.4822665</v>
      </c>
      <c r="GR11" s="78"/>
      <c r="GS11" s="78">
        <f t="shared" si="167"/>
        <v>0</v>
      </c>
      <c r="GT11" s="78">
        <f t="shared" si="128"/>
        <v>548.6625366000001</v>
      </c>
      <c r="GU11" s="78">
        <f t="shared" si="129"/>
        <v>548.6625366000001</v>
      </c>
      <c r="GV11" s="79">
        <f t="shared" si="130"/>
        <v>114.40127460000001</v>
      </c>
      <c r="GW11" s="77">
        <f t="shared" si="131"/>
        <v>5.598177000000001</v>
      </c>
      <c r="GX11" s="78"/>
      <c r="GY11" s="78">
        <f t="shared" si="168"/>
        <v>0</v>
      </c>
      <c r="GZ11" s="78">
        <f t="shared" si="132"/>
        <v>3145.6886532000003</v>
      </c>
      <c r="HA11" s="78">
        <f t="shared" si="133"/>
        <v>3145.6886532000003</v>
      </c>
      <c r="HB11" s="79">
        <f t="shared" si="134"/>
        <v>655.9055292</v>
      </c>
      <c r="HC11" s="77">
        <f t="shared" si="135"/>
        <v>32.096454</v>
      </c>
      <c r="HD11" s="78"/>
      <c r="HE11" s="78"/>
      <c r="HF11" s="78"/>
      <c r="HG11" s="78"/>
      <c r="HH11" s="78"/>
      <c r="HI11" s="78"/>
    </row>
    <row r="12" spans="1:217" ht="12">
      <c r="A12" s="19">
        <v>42644</v>
      </c>
      <c r="C12" s="36"/>
      <c r="D12" s="36">
        <v>439563</v>
      </c>
      <c r="E12" s="77">
        <f t="shared" si="0"/>
        <v>439563</v>
      </c>
      <c r="F12" s="77">
        <v>91653</v>
      </c>
      <c r="G12" s="77">
        <v>4485</v>
      </c>
      <c r="H12" s="78"/>
      <c r="I12" s="79"/>
      <c r="J12" s="79">
        <f t="shared" si="1"/>
        <v>238606.18108169996</v>
      </c>
      <c r="K12" s="79">
        <f t="shared" si="2"/>
        <v>238606.18108169996</v>
      </c>
      <c r="L12" s="79">
        <f t="shared" si="3"/>
        <v>49751.6222127</v>
      </c>
      <c r="M12" s="79">
        <f t="shared" si="3"/>
        <v>2434.5741615</v>
      </c>
      <c r="N12" s="78"/>
      <c r="O12" s="78"/>
      <c r="P12" s="78">
        <f t="shared" si="4"/>
        <v>29074.9825476</v>
      </c>
      <c r="Q12" s="79">
        <f t="shared" si="5"/>
        <v>29074.9825476</v>
      </c>
      <c r="R12" s="79">
        <f t="shared" si="6"/>
        <v>6062.4060156000005</v>
      </c>
      <c r="S12" s="77">
        <f t="shared" si="7"/>
        <v>296.661222</v>
      </c>
      <c r="T12" s="78"/>
      <c r="U12" s="78"/>
      <c r="V12" s="78">
        <f t="shared" si="8"/>
        <v>496.53036480000003</v>
      </c>
      <c r="W12" s="78">
        <f t="shared" si="9"/>
        <v>496.53036480000003</v>
      </c>
      <c r="X12" s="79">
        <f t="shared" si="10"/>
        <v>103.5312288</v>
      </c>
      <c r="Y12" s="77">
        <f t="shared" si="11"/>
        <v>5.066255999999999</v>
      </c>
      <c r="Z12" s="78"/>
      <c r="AA12" s="79"/>
      <c r="AB12" s="78">
        <f t="shared" si="12"/>
        <v>2241.5075622</v>
      </c>
      <c r="AC12" s="78">
        <f t="shared" si="13"/>
        <v>2241.5075622</v>
      </c>
      <c r="AD12" s="79">
        <f t="shared" si="14"/>
        <v>467.37530819999995</v>
      </c>
      <c r="AE12" s="77">
        <f t="shared" si="15"/>
        <v>22.870808999999998</v>
      </c>
      <c r="AF12" s="78"/>
      <c r="AG12" s="78"/>
      <c r="AH12" s="78">
        <f t="shared" si="16"/>
        <v>38980.3149711</v>
      </c>
      <c r="AI12" s="78">
        <f t="shared" si="17"/>
        <v>38980.3149711</v>
      </c>
      <c r="AJ12" s="79">
        <f t="shared" si="18"/>
        <v>8127.7605441</v>
      </c>
      <c r="AK12" s="77">
        <f t="shared" si="19"/>
        <v>397.7284545</v>
      </c>
      <c r="AL12" s="78"/>
      <c r="AM12" s="78"/>
      <c r="AN12" s="78">
        <f t="shared" si="20"/>
        <v>472.1785746</v>
      </c>
      <c r="AO12" s="78">
        <f t="shared" si="21"/>
        <v>472.1785746</v>
      </c>
      <c r="AP12" s="79">
        <f t="shared" si="22"/>
        <v>98.4536526</v>
      </c>
      <c r="AQ12" s="77">
        <f t="shared" si="23"/>
        <v>4.817787</v>
      </c>
      <c r="AR12" s="78"/>
      <c r="AS12" s="78"/>
      <c r="AT12" s="78">
        <f t="shared" si="24"/>
        <v>398.2001217</v>
      </c>
      <c r="AU12" s="78">
        <f t="shared" si="25"/>
        <v>398.2001217</v>
      </c>
      <c r="AV12" s="79">
        <f t="shared" si="26"/>
        <v>83.0284527</v>
      </c>
      <c r="AW12" s="77">
        <f t="shared" si="27"/>
        <v>4.0629615</v>
      </c>
      <c r="AX12" s="78"/>
      <c r="AY12" s="78"/>
      <c r="AZ12" s="78">
        <f t="shared" si="28"/>
        <v>16337.150108400001</v>
      </c>
      <c r="BA12" s="78">
        <f t="shared" si="29"/>
        <v>16337.150108400001</v>
      </c>
      <c r="BB12" s="79">
        <f t="shared" si="30"/>
        <v>3406.4487204</v>
      </c>
      <c r="BC12" s="77">
        <f t="shared" si="31"/>
        <v>166.693098</v>
      </c>
      <c r="BD12" s="78"/>
      <c r="BE12" s="78"/>
      <c r="BF12" s="78">
        <f t="shared" si="32"/>
        <v>33522.0853749</v>
      </c>
      <c r="BG12" s="78">
        <f t="shared" si="33"/>
        <v>33522.0853749</v>
      </c>
      <c r="BH12" s="79">
        <f t="shared" si="34"/>
        <v>6989.6685819</v>
      </c>
      <c r="BI12" s="77">
        <f t="shared" si="35"/>
        <v>342.03641550000003</v>
      </c>
      <c r="BJ12" s="78"/>
      <c r="BK12" s="78"/>
      <c r="BL12" s="78">
        <f t="shared" si="36"/>
        <v>386.9912652</v>
      </c>
      <c r="BM12" s="78">
        <f t="shared" si="37"/>
        <v>386.9912652</v>
      </c>
      <c r="BN12" s="79">
        <f t="shared" si="38"/>
        <v>80.6913012</v>
      </c>
      <c r="BO12" s="77">
        <f t="shared" si="39"/>
        <v>3.9485940000000004</v>
      </c>
      <c r="BP12" s="78"/>
      <c r="BQ12" s="78"/>
      <c r="BR12" s="78">
        <f t="shared" si="40"/>
        <v>259.9575582</v>
      </c>
      <c r="BS12" s="78">
        <f t="shared" si="41"/>
        <v>259.9575582</v>
      </c>
      <c r="BT12" s="79">
        <f t="shared" si="42"/>
        <v>54.203584199999995</v>
      </c>
      <c r="BU12" s="77">
        <f t="shared" si="43"/>
        <v>2.6524289999999997</v>
      </c>
      <c r="BV12" s="78"/>
      <c r="BW12" s="78"/>
      <c r="BX12" s="78">
        <f t="shared" si="44"/>
        <v>-38.7255003</v>
      </c>
      <c r="BY12" s="78">
        <f t="shared" si="45"/>
        <v>-38.7255003</v>
      </c>
      <c r="BZ12" s="79">
        <f t="shared" si="46"/>
        <v>-8.0746293</v>
      </c>
      <c r="CA12" s="77">
        <f t="shared" si="47"/>
        <v>-0.3951285</v>
      </c>
      <c r="CB12" s="78"/>
      <c r="CC12" s="78"/>
      <c r="CD12" s="78">
        <f t="shared" si="48"/>
        <v>-25.230916200000003</v>
      </c>
      <c r="CE12" s="78">
        <f t="shared" si="49"/>
        <v>-25.230916200000003</v>
      </c>
      <c r="CF12" s="79">
        <f t="shared" si="50"/>
        <v>-5.2608822</v>
      </c>
      <c r="CG12" s="77">
        <f t="shared" si="51"/>
        <v>-0.257439</v>
      </c>
      <c r="CH12" s="78"/>
      <c r="CI12" s="78"/>
      <c r="CJ12" s="78">
        <f t="shared" si="52"/>
        <v>938.2911798000001</v>
      </c>
      <c r="CK12" s="78">
        <f t="shared" si="53"/>
        <v>938.2911798000001</v>
      </c>
      <c r="CL12" s="79">
        <f t="shared" si="54"/>
        <v>195.64249379999998</v>
      </c>
      <c r="CM12" s="77">
        <f t="shared" si="55"/>
        <v>9.573681</v>
      </c>
      <c r="CN12" s="78"/>
      <c r="CO12" s="78"/>
      <c r="CP12" s="78">
        <f t="shared" si="56"/>
        <v>5770.1435010000005</v>
      </c>
      <c r="CQ12" s="78">
        <f t="shared" si="57"/>
        <v>5770.1435010000005</v>
      </c>
      <c r="CR12" s="79">
        <f t="shared" si="58"/>
        <v>1203.128931</v>
      </c>
      <c r="CS12" s="77">
        <f t="shared" si="59"/>
        <v>58.874595</v>
      </c>
      <c r="CT12" s="78"/>
      <c r="CU12" s="78"/>
      <c r="CV12" s="78">
        <f t="shared" si="60"/>
        <v>38762.907111299995</v>
      </c>
      <c r="CW12" s="78">
        <f t="shared" si="61"/>
        <v>38762.907111299995</v>
      </c>
      <c r="CX12" s="79">
        <f t="shared" si="62"/>
        <v>8082.4289703</v>
      </c>
      <c r="CY12" s="77">
        <f t="shared" si="63"/>
        <v>395.5101735</v>
      </c>
      <c r="CZ12" s="78"/>
      <c r="DA12" s="78"/>
      <c r="DB12" s="78">
        <f t="shared" si="64"/>
        <v>5592.647961599999</v>
      </c>
      <c r="DC12" s="78">
        <f t="shared" si="65"/>
        <v>5592.647961599999</v>
      </c>
      <c r="DD12" s="79">
        <f t="shared" si="66"/>
        <v>1166.1194496</v>
      </c>
      <c r="DE12" s="77">
        <f t="shared" si="67"/>
        <v>57.063552</v>
      </c>
      <c r="DF12" s="78"/>
      <c r="DG12" s="78"/>
      <c r="DH12" s="78">
        <f t="shared" si="68"/>
        <v>11427.4072236</v>
      </c>
      <c r="DI12" s="78">
        <f t="shared" si="69"/>
        <v>11427.4072236</v>
      </c>
      <c r="DJ12" s="79">
        <f t="shared" si="70"/>
        <v>2382.7213716</v>
      </c>
      <c r="DK12" s="77">
        <f t="shared" si="71"/>
        <v>116.597442</v>
      </c>
      <c r="DL12" s="78"/>
      <c r="DM12" s="78"/>
      <c r="DN12" s="78">
        <f t="shared" si="72"/>
        <v>1853.2855206</v>
      </c>
      <c r="DO12" s="78">
        <f t="shared" si="73"/>
        <v>1853.2855206</v>
      </c>
      <c r="DP12" s="79">
        <f t="shared" si="74"/>
        <v>386.4273786</v>
      </c>
      <c r="DQ12" s="77">
        <f t="shared" si="75"/>
        <v>18.909657</v>
      </c>
      <c r="DR12" s="78"/>
      <c r="DS12" s="78"/>
      <c r="DT12" s="78">
        <f t="shared" si="76"/>
        <v>9506.9564766</v>
      </c>
      <c r="DU12" s="78">
        <f t="shared" si="77"/>
        <v>9506.9564766</v>
      </c>
      <c r="DV12" s="79">
        <f t="shared" si="78"/>
        <v>1982.2894146</v>
      </c>
      <c r="DW12" s="77">
        <f t="shared" si="79"/>
        <v>97.002477</v>
      </c>
      <c r="DX12" s="78"/>
      <c r="DY12" s="78"/>
      <c r="DZ12" s="78">
        <f t="shared" si="80"/>
        <v>84.96752790000001</v>
      </c>
      <c r="EA12" s="78">
        <f t="shared" si="81"/>
        <v>84.96752790000001</v>
      </c>
      <c r="EB12" s="79">
        <f t="shared" si="82"/>
        <v>17.7165249</v>
      </c>
      <c r="EC12" s="77">
        <f t="shared" si="83"/>
        <v>0.8669505000000001</v>
      </c>
      <c r="ED12" s="78"/>
      <c r="EE12" s="78"/>
      <c r="EF12" s="78">
        <f t="shared" si="84"/>
        <v>111.8248272</v>
      </c>
      <c r="EG12" s="78">
        <f t="shared" si="85"/>
        <v>111.8248272</v>
      </c>
      <c r="EH12" s="79">
        <f t="shared" si="86"/>
        <v>23.3165232</v>
      </c>
      <c r="EI12" s="77">
        <f t="shared" si="87"/>
        <v>1.140984</v>
      </c>
      <c r="EJ12" s="78"/>
      <c r="EK12" s="78"/>
      <c r="EL12" s="78">
        <f t="shared" si="88"/>
        <v>5634.6262281</v>
      </c>
      <c r="EM12" s="78">
        <f t="shared" si="89"/>
        <v>5634.6262281</v>
      </c>
      <c r="EN12" s="79">
        <f t="shared" si="90"/>
        <v>1174.8723111000002</v>
      </c>
      <c r="EO12" s="77">
        <f t="shared" si="91"/>
        <v>57.4918695</v>
      </c>
      <c r="EP12" s="78"/>
      <c r="EQ12" s="78"/>
      <c r="ER12" s="78">
        <f t="shared" si="92"/>
        <v>107.253372</v>
      </c>
      <c r="ES12" s="78">
        <f t="shared" si="93"/>
        <v>107.253372</v>
      </c>
      <c r="ET12" s="79">
        <f t="shared" si="94"/>
        <v>22.363332</v>
      </c>
      <c r="EU12" s="77">
        <f t="shared" si="95"/>
        <v>1.0943399999999999</v>
      </c>
      <c r="EV12" s="78"/>
      <c r="EW12" s="78"/>
      <c r="EX12" s="78">
        <f t="shared" si="96"/>
        <v>1602.6027417000003</v>
      </c>
      <c r="EY12" s="78">
        <f t="shared" si="97"/>
        <v>1602.6027417000003</v>
      </c>
      <c r="EZ12" s="79">
        <f t="shared" si="98"/>
        <v>334.15767270000003</v>
      </c>
      <c r="FA12" s="77">
        <f t="shared" si="99"/>
        <v>16.351861500000002</v>
      </c>
      <c r="FB12" s="78"/>
      <c r="FC12" s="78"/>
      <c r="FD12" s="78">
        <f t="shared" si="100"/>
        <v>1113.2812101</v>
      </c>
      <c r="FE12" s="78">
        <f t="shared" si="101"/>
        <v>1113.2812101</v>
      </c>
      <c r="FF12" s="79">
        <f t="shared" si="102"/>
        <v>232.1295531</v>
      </c>
      <c r="FG12" s="77">
        <f t="shared" si="103"/>
        <v>11.3591595</v>
      </c>
      <c r="FH12" s="78"/>
      <c r="FI12" s="78"/>
      <c r="FJ12" s="78">
        <f t="shared" si="104"/>
        <v>434.5959381</v>
      </c>
      <c r="FK12" s="78">
        <f t="shared" si="105"/>
        <v>434.5959381</v>
      </c>
      <c r="FL12" s="79">
        <f t="shared" si="106"/>
        <v>90.6173211</v>
      </c>
      <c r="FM12" s="77">
        <f t="shared" si="107"/>
        <v>4.4343195</v>
      </c>
      <c r="FN12" s="78"/>
      <c r="FO12" s="78"/>
      <c r="FP12" s="78">
        <f t="shared" si="108"/>
        <v>4884.0284493</v>
      </c>
      <c r="FQ12" s="78">
        <f t="shared" si="109"/>
        <v>4884.0284493</v>
      </c>
      <c r="FR12" s="79">
        <f t="shared" si="110"/>
        <v>1018.3656483000001</v>
      </c>
      <c r="FS12" s="77">
        <f t="shared" si="111"/>
        <v>49.8332835</v>
      </c>
      <c r="FT12" s="78"/>
      <c r="FU12" s="78"/>
      <c r="FV12" s="78">
        <f t="shared" si="112"/>
        <v>11007.6245586</v>
      </c>
      <c r="FW12" s="78">
        <f t="shared" si="113"/>
        <v>11007.6245586</v>
      </c>
      <c r="FX12" s="79">
        <f t="shared" si="114"/>
        <v>2295.1927566</v>
      </c>
      <c r="FY12" s="77">
        <f t="shared" si="115"/>
        <v>112.314267</v>
      </c>
      <c r="FZ12" s="78"/>
      <c r="GA12" s="78"/>
      <c r="GB12" s="78">
        <f t="shared" si="116"/>
        <v>1404.7114791</v>
      </c>
      <c r="GC12" s="78">
        <f t="shared" si="117"/>
        <v>1404.7114791</v>
      </c>
      <c r="GD12" s="79">
        <f t="shared" si="118"/>
        <v>292.8954921</v>
      </c>
      <c r="GE12" s="77">
        <f t="shared" si="119"/>
        <v>14.3327145</v>
      </c>
      <c r="GF12" s="78"/>
      <c r="GG12" s="78"/>
      <c r="GH12" s="78">
        <f t="shared" si="120"/>
        <v>2230.6943124</v>
      </c>
      <c r="GI12" s="78">
        <f t="shared" si="121"/>
        <v>2230.6943124</v>
      </c>
      <c r="GJ12" s="79">
        <f t="shared" si="122"/>
        <v>465.1206444</v>
      </c>
      <c r="GK12" s="77">
        <f t="shared" si="123"/>
        <v>22.760478</v>
      </c>
      <c r="GL12" s="78"/>
      <c r="GM12" s="78"/>
      <c r="GN12" s="78">
        <f t="shared" si="124"/>
        <v>10338.0382407</v>
      </c>
      <c r="GO12" s="78">
        <f t="shared" si="125"/>
        <v>10338.0382407</v>
      </c>
      <c r="GP12" s="79">
        <f t="shared" si="126"/>
        <v>2155.5777417</v>
      </c>
      <c r="GQ12" s="77">
        <f t="shared" si="127"/>
        <v>105.4822665</v>
      </c>
      <c r="GR12" s="78"/>
      <c r="GS12" s="78"/>
      <c r="GT12" s="78">
        <f t="shared" si="128"/>
        <v>548.6625366000001</v>
      </c>
      <c r="GU12" s="78">
        <f t="shared" si="129"/>
        <v>548.6625366000001</v>
      </c>
      <c r="GV12" s="79">
        <f t="shared" si="130"/>
        <v>114.40127460000001</v>
      </c>
      <c r="GW12" s="77">
        <f t="shared" si="131"/>
        <v>5.598177000000001</v>
      </c>
      <c r="GX12" s="78"/>
      <c r="GY12" s="78"/>
      <c r="GZ12" s="78">
        <f t="shared" si="132"/>
        <v>3145.6886532000003</v>
      </c>
      <c r="HA12" s="78">
        <f t="shared" si="133"/>
        <v>3145.6886532000003</v>
      </c>
      <c r="HB12" s="79">
        <f t="shared" si="134"/>
        <v>655.9055292</v>
      </c>
      <c r="HC12" s="77">
        <f t="shared" si="135"/>
        <v>32.096454</v>
      </c>
      <c r="HD12" s="78"/>
      <c r="HE12" s="78"/>
      <c r="HF12" s="78"/>
      <c r="HG12" s="78"/>
      <c r="HH12" s="78"/>
      <c r="HI12" s="78"/>
    </row>
    <row r="13" spans="1:217" ht="12">
      <c r="A13" s="19">
        <v>42826</v>
      </c>
      <c r="C13" s="36">
        <v>5000</v>
      </c>
      <c r="D13" s="36">
        <v>439563</v>
      </c>
      <c r="E13" s="77">
        <f t="shared" si="0"/>
        <v>444563</v>
      </c>
      <c r="F13" s="77">
        <v>91653</v>
      </c>
      <c r="G13" s="77">
        <v>4485</v>
      </c>
      <c r="H13" s="78"/>
      <c r="I13" s="79">
        <f>O13+U13+AA13+AG13+AM13+AS13+AY13+BE13+BK13+BQ13+BW13+CC13+CI13+CO13+CU13+DA13+DG13+DM13+DS13+DY13+EE13+EK13+EQ13+EW13+FC13+FI13+FO13+FU13+GA13+GG13+GM13+GS13+GY13</f>
        <v>2714.1295</v>
      </c>
      <c r="J13" s="79">
        <f t="shared" si="1"/>
        <v>238606.18108169996</v>
      </c>
      <c r="K13" s="79">
        <f t="shared" si="2"/>
        <v>241320.31058169997</v>
      </c>
      <c r="L13" s="79">
        <f t="shared" si="3"/>
        <v>49751.6222127</v>
      </c>
      <c r="M13" s="79">
        <f t="shared" si="3"/>
        <v>2434.5741615</v>
      </c>
      <c r="N13" s="78"/>
      <c r="O13" s="78">
        <f t="shared" si="136"/>
        <v>330.726</v>
      </c>
      <c r="P13" s="78">
        <f t="shared" si="4"/>
        <v>29074.9825476</v>
      </c>
      <c r="Q13" s="79">
        <f t="shared" si="5"/>
        <v>29405.7085476</v>
      </c>
      <c r="R13" s="79">
        <f t="shared" si="6"/>
        <v>6062.4060156000005</v>
      </c>
      <c r="S13" s="77">
        <f t="shared" si="7"/>
        <v>296.661222</v>
      </c>
      <c r="T13" s="78"/>
      <c r="U13" s="78">
        <f t="shared" si="137"/>
        <v>5.648000000000001</v>
      </c>
      <c r="V13" s="78">
        <f t="shared" si="8"/>
        <v>496.53036480000003</v>
      </c>
      <c r="W13" s="78">
        <f t="shared" si="9"/>
        <v>502.17836480000005</v>
      </c>
      <c r="X13" s="79">
        <f t="shared" si="10"/>
        <v>103.5312288</v>
      </c>
      <c r="Y13" s="77">
        <f t="shared" si="11"/>
        <v>5.066255999999999</v>
      </c>
      <c r="Z13" s="78"/>
      <c r="AA13" s="79">
        <f t="shared" si="138"/>
        <v>25.497</v>
      </c>
      <c r="AB13" s="78">
        <f t="shared" si="12"/>
        <v>2241.5075622</v>
      </c>
      <c r="AC13" s="78">
        <f t="shared" si="13"/>
        <v>2267.0045622</v>
      </c>
      <c r="AD13" s="79">
        <f t="shared" si="14"/>
        <v>467.37530819999995</v>
      </c>
      <c r="AE13" s="77">
        <f t="shared" si="15"/>
        <v>22.870808999999998</v>
      </c>
      <c r="AF13" s="78"/>
      <c r="AG13" s="78">
        <f t="shared" si="139"/>
        <v>443.3985</v>
      </c>
      <c r="AH13" s="78">
        <f t="shared" si="16"/>
        <v>38980.3149711</v>
      </c>
      <c r="AI13" s="78">
        <f t="shared" si="17"/>
        <v>39423.7134711</v>
      </c>
      <c r="AJ13" s="79">
        <f t="shared" si="18"/>
        <v>8127.7605441</v>
      </c>
      <c r="AK13" s="77">
        <f t="shared" si="19"/>
        <v>397.7284545</v>
      </c>
      <c r="AL13" s="78"/>
      <c r="AM13" s="78">
        <f t="shared" si="140"/>
        <v>5.371</v>
      </c>
      <c r="AN13" s="78">
        <f t="shared" si="20"/>
        <v>472.1785746</v>
      </c>
      <c r="AO13" s="78">
        <f t="shared" si="21"/>
        <v>477.54957459999997</v>
      </c>
      <c r="AP13" s="79">
        <f t="shared" si="22"/>
        <v>98.4536526</v>
      </c>
      <c r="AQ13" s="77">
        <f t="shared" si="23"/>
        <v>4.817787</v>
      </c>
      <c r="AR13" s="78"/>
      <c r="AS13" s="78">
        <f t="shared" si="141"/>
        <v>4.5295000000000005</v>
      </c>
      <c r="AT13" s="78">
        <f t="shared" si="24"/>
        <v>398.2001217</v>
      </c>
      <c r="AU13" s="78">
        <f t="shared" si="25"/>
        <v>402.7296217</v>
      </c>
      <c r="AV13" s="79">
        <f t="shared" si="26"/>
        <v>83.0284527</v>
      </c>
      <c r="AW13" s="77">
        <f t="shared" si="27"/>
        <v>4.0629615</v>
      </c>
      <c r="AX13" s="78"/>
      <c r="AY13" s="78">
        <f t="shared" si="142"/>
        <v>185.834</v>
      </c>
      <c r="AZ13" s="78">
        <f t="shared" si="28"/>
        <v>16337.150108400001</v>
      </c>
      <c r="BA13" s="78">
        <f t="shared" si="29"/>
        <v>16522.9841084</v>
      </c>
      <c r="BB13" s="79">
        <f t="shared" si="30"/>
        <v>3406.4487204</v>
      </c>
      <c r="BC13" s="77">
        <f t="shared" si="31"/>
        <v>166.693098</v>
      </c>
      <c r="BD13" s="78"/>
      <c r="BE13" s="78">
        <f t="shared" si="143"/>
        <v>381.3115</v>
      </c>
      <c r="BF13" s="78">
        <f t="shared" si="32"/>
        <v>33522.0853749</v>
      </c>
      <c r="BG13" s="78">
        <f t="shared" si="33"/>
        <v>33903.396874900005</v>
      </c>
      <c r="BH13" s="79">
        <f t="shared" si="34"/>
        <v>6989.6685819</v>
      </c>
      <c r="BI13" s="77">
        <f t="shared" si="35"/>
        <v>342.03641550000003</v>
      </c>
      <c r="BJ13" s="78"/>
      <c r="BK13" s="78">
        <f t="shared" si="144"/>
        <v>4.402</v>
      </c>
      <c r="BL13" s="78">
        <f t="shared" si="36"/>
        <v>386.9912652</v>
      </c>
      <c r="BM13" s="78">
        <f t="shared" si="37"/>
        <v>391.3932652</v>
      </c>
      <c r="BN13" s="79">
        <f t="shared" si="38"/>
        <v>80.6913012</v>
      </c>
      <c r="BO13" s="77">
        <f t="shared" si="39"/>
        <v>3.9485940000000004</v>
      </c>
      <c r="BP13" s="78"/>
      <c r="BQ13" s="78">
        <f t="shared" si="145"/>
        <v>2.957</v>
      </c>
      <c r="BR13" s="78">
        <f t="shared" si="40"/>
        <v>259.9575582</v>
      </c>
      <c r="BS13" s="78">
        <f t="shared" si="41"/>
        <v>262.9145582</v>
      </c>
      <c r="BT13" s="79">
        <f t="shared" si="42"/>
        <v>54.203584199999995</v>
      </c>
      <c r="BU13" s="77">
        <f t="shared" si="43"/>
        <v>2.6524289999999997</v>
      </c>
      <c r="BV13" s="78"/>
      <c r="BW13" s="78">
        <f t="shared" si="146"/>
        <v>-0.44049999999999995</v>
      </c>
      <c r="BX13" s="78">
        <f t="shared" si="44"/>
        <v>-38.7255003</v>
      </c>
      <c r="BY13" s="78">
        <f t="shared" si="45"/>
        <v>-39.1660003</v>
      </c>
      <c r="BZ13" s="79">
        <f t="shared" si="46"/>
        <v>-8.0746293</v>
      </c>
      <c r="CA13" s="77">
        <f t="shared" si="47"/>
        <v>-0.3951285</v>
      </c>
      <c r="CB13" s="78"/>
      <c r="CC13" s="78">
        <f t="shared" si="147"/>
        <v>-0.28700000000000003</v>
      </c>
      <c r="CD13" s="78">
        <f t="shared" si="48"/>
        <v>-25.230916200000003</v>
      </c>
      <c r="CE13" s="78">
        <f t="shared" si="49"/>
        <v>-25.517916200000002</v>
      </c>
      <c r="CF13" s="79">
        <f t="shared" si="50"/>
        <v>-5.2608822</v>
      </c>
      <c r="CG13" s="77">
        <f t="shared" si="51"/>
        <v>-0.257439</v>
      </c>
      <c r="CH13" s="78"/>
      <c r="CI13" s="78">
        <f t="shared" si="148"/>
        <v>10.673</v>
      </c>
      <c r="CJ13" s="78">
        <f t="shared" si="52"/>
        <v>938.2911798000001</v>
      </c>
      <c r="CK13" s="78">
        <f t="shared" si="53"/>
        <v>948.9641798000001</v>
      </c>
      <c r="CL13" s="79">
        <f t="shared" si="54"/>
        <v>195.64249379999998</v>
      </c>
      <c r="CM13" s="77">
        <f t="shared" si="55"/>
        <v>9.573681</v>
      </c>
      <c r="CN13" s="78"/>
      <c r="CO13" s="78">
        <f t="shared" si="149"/>
        <v>65.635</v>
      </c>
      <c r="CP13" s="78">
        <f t="shared" si="56"/>
        <v>5770.1435010000005</v>
      </c>
      <c r="CQ13" s="78">
        <f t="shared" si="57"/>
        <v>5835.778501000001</v>
      </c>
      <c r="CR13" s="79">
        <f t="shared" si="58"/>
        <v>1203.128931</v>
      </c>
      <c r="CS13" s="77">
        <f t="shared" si="59"/>
        <v>58.874595</v>
      </c>
      <c r="CT13" s="78"/>
      <c r="CU13" s="78">
        <f t="shared" si="150"/>
        <v>440.92549999999994</v>
      </c>
      <c r="CV13" s="78">
        <f t="shared" si="60"/>
        <v>38762.907111299995</v>
      </c>
      <c r="CW13" s="78">
        <f t="shared" si="61"/>
        <v>39203.83261129999</v>
      </c>
      <c r="CX13" s="79">
        <f t="shared" si="62"/>
        <v>8082.4289703</v>
      </c>
      <c r="CY13" s="77">
        <f t="shared" si="63"/>
        <v>395.5101735</v>
      </c>
      <c r="CZ13" s="78"/>
      <c r="DA13" s="78">
        <f t="shared" si="151"/>
        <v>63.61599999999999</v>
      </c>
      <c r="DB13" s="78">
        <f t="shared" si="64"/>
        <v>5592.647961599999</v>
      </c>
      <c r="DC13" s="78">
        <f t="shared" si="65"/>
        <v>5656.263961599999</v>
      </c>
      <c r="DD13" s="79">
        <f t="shared" si="66"/>
        <v>1166.1194496</v>
      </c>
      <c r="DE13" s="77">
        <f t="shared" si="67"/>
        <v>57.063552</v>
      </c>
      <c r="DF13" s="78"/>
      <c r="DG13" s="78">
        <f t="shared" si="152"/>
        <v>129.986</v>
      </c>
      <c r="DH13" s="78">
        <f t="shared" si="68"/>
        <v>11427.4072236</v>
      </c>
      <c r="DI13" s="78">
        <f t="shared" si="69"/>
        <v>11557.3932236</v>
      </c>
      <c r="DJ13" s="79">
        <f t="shared" si="70"/>
        <v>2382.7213716</v>
      </c>
      <c r="DK13" s="77">
        <f t="shared" si="71"/>
        <v>116.597442</v>
      </c>
      <c r="DL13" s="78"/>
      <c r="DM13" s="78">
        <f t="shared" si="153"/>
        <v>21.081</v>
      </c>
      <c r="DN13" s="78">
        <f t="shared" si="72"/>
        <v>1853.2855206</v>
      </c>
      <c r="DO13" s="78">
        <f t="shared" si="73"/>
        <v>1874.3665205999998</v>
      </c>
      <c r="DP13" s="79">
        <f t="shared" si="74"/>
        <v>386.4273786</v>
      </c>
      <c r="DQ13" s="77">
        <f t="shared" si="75"/>
        <v>18.909657</v>
      </c>
      <c r="DR13" s="78"/>
      <c r="DS13" s="78">
        <f t="shared" si="154"/>
        <v>108.141</v>
      </c>
      <c r="DT13" s="78">
        <f t="shared" si="76"/>
        <v>9506.9564766</v>
      </c>
      <c r="DU13" s="78">
        <f t="shared" si="77"/>
        <v>9615.0974766</v>
      </c>
      <c r="DV13" s="79">
        <f t="shared" si="78"/>
        <v>1982.2894146</v>
      </c>
      <c r="DW13" s="77">
        <f t="shared" si="79"/>
        <v>97.002477</v>
      </c>
      <c r="DX13" s="78"/>
      <c r="DY13" s="78">
        <f t="shared" si="155"/>
        <v>0.9665</v>
      </c>
      <c r="DZ13" s="78">
        <f t="shared" si="80"/>
        <v>84.96752790000001</v>
      </c>
      <c r="EA13" s="78">
        <f t="shared" si="81"/>
        <v>85.9340279</v>
      </c>
      <c r="EB13" s="79">
        <f t="shared" si="82"/>
        <v>17.7165249</v>
      </c>
      <c r="EC13" s="77">
        <f t="shared" si="83"/>
        <v>0.8669505000000001</v>
      </c>
      <c r="ED13" s="78"/>
      <c r="EE13" s="78">
        <f t="shared" si="156"/>
        <v>1.272</v>
      </c>
      <c r="EF13" s="78">
        <f t="shared" si="84"/>
        <v>111.8248272</v>
      </c>
      <c r="EG13" s="78">
        <f t="shared" si="85"/>
        <v>113.0968272</v>
      </c>
      <c r="EH13" s="79">
        <f t="shared" si="86"/>
        <v>23.3165232</v>
      </c>
      <c r="EI13" s="77">
        <f t="shared" si="87"/>
        <v>1.140984</v>
      </c>
      <c r="EJ13" s="78"/>
      <c r="EK13" s="78">
        <f t="shared" si="157"/>
        <v>64.0935</v>
      </c>
      <c r="EL13" s="78">
        <f t="shared" si="88"/>
        <v>5634.6262281</v>
      </c>
      <c r="EM13" s="78">
        <f t="shared" si="89"/>
        <v>5698.7197281</v>
      </c>
      <c r="EN13" s="79">
        <f t="shared" si="90"/>
        <v>1174.8723111000002</v>
      </c>
      <c r="EO13" s="77">
        <f t="shared" si="91"/>
        <v>57.4918695</v>
      </c>
      <c r="EP13" s="78"/>
      <c r="EQ13" s="78">
        <f t="shared" si="158"/>
        <v>1.2200000000000002</v>
      </c>
      <c r="ER13" s="78">
        <f t="shared" si="92"/>
        <v>107.253372</v>
      </c>
      <c r="ES13" s="78">
        <f t="shared" si="93"/>
        <v>108.473372</v>
      </c>
      <c r="ET13" s="79">
        <f t="shared" si="94"/>
        <v>22.363332</v>
      </c>
      <c r="EU13" s="77">
        <f t="shared" si="95"/>
        <v>1.0943399999999999</v>
      </c>
      <c r="EV13" s="78"/>
      <c r="EW13" s="78">
        <f t="shared" si="159"/>
        <v>18.2295</v>
      </c>
      <c r="EX13" s="78">
        <f t="shared" si="96"/>
        <v>1602.6027417000003</v>
      </c>
      <c r="EY13" s="78">
        <f t="shared" si="97"/>
        <v>1620.8322417000002</v>
      </c>
      <c r="EZ13" s="79">
        <f t="shared" si="98"/>
        <v>334.15767270000003</v>
      </c>
      <c r="FA13" s="77">
        <f t="shared" si="99"/>
        <v>16.351861500000002</v>
      </c>
      <c r="FB13" s="78"/>
      <c r="FC13" s="78">
        <f t="shared" si="160"/>
        <v>12.663499999999999</v>
      </c>
      <c r="FD13" s="78">
        <f t="shared" si="100"/>
        <v>1113.2812101</v>
      </c>
      <c r="FE13" s="78">
        <f t="shared" si="101"/>
        <v>1125.9447101</v>
      </c>
      <c r="FF13" s="79">
        <f t="shared" si="102"/>
        <v>232.1295531</v>
      </c>
      <c r="FG13" s="77">
        <f t="shared" si="103"/>
        <v>11.3591595</v>
      </c>
      <c r="FH13" s="78"/>
      <c r="FI13" s="78">
        <f t="shared" si="161"/>
        <v>4.9435</v>
      </c>
      <c r="FJ13" s="78">
        <f t="shared" si="104"/>
        <v>434.5959381</v>
      </c>
      <c r="FK13" s="78">
        <f t="shared" si="105"/>
        <v>439.5394381</v>
      </c>
      <c r="FL13" s="79">
        <f t="shared" si="106"/>
        <v>90.6173211</v>
      </c>
      <c r="FM13" s="77">
        <f t="shared" si="107"/>
        <v>4.4343195</v>
      </c>
      <c r="FN13" s="78"/>
      <c r="FO13" s="78">
        <f t="shared" si="162"/>
        <v>55.5555</v>
      </c>
      <c r="FP13" s="78">
        <f t="shared" si="108"/>
        <v>4884.0284493</v>
      </c>
      <c r="FQ13" s="78">
        <f t="shared" si="109"/>
        <v>4939.5839493</v>
      </c>
      <c r="FR13" s="79">
        <f t="shared" si="110"/>
        <v>1018.3656483000001</v>
      </c>
      <c r="FS13" s="77">
        <f t="shared" si="111"/>
        <v>49.8332835</v>
      </c>
      <c r="FT13" s="78"/>
      <c r="FU13" s="78">
        <f t="shared" si="163"/>
        <v>125.211</v>
      </c>
      <c r="FV13" s="78">
        <f t="shared" si="112"/>
        <v>11007.6245586</v>
      </c>
      <c r="FW13" s="78">
        <f t="shared" si="113"/>
        <v>11132.8355586</v>
      </c>
      <c r="FX13" s="79">
        <f t="shared" si="114"/>
        <v>2295.1927566</v>
      </c>
      <c r="FY13" s="77">
        <f t="shared" si="115"/>
        <v>112.314267</v>
      </c>
      <c r="FZ13" s="78"/>
      <c r="GA13" s="78">
        <f t="shared" si="164"/>
        <v>15.978500000000002</v>
      </c>
      <c r="GB13" s="78">
        <f t="shared" si="116"/>
        <v>1404.7114791</v>
      </c>
      <c r="GC13" s="78">
        <f t="shared" si="117"/>
        <v>1420.6899790999998</v>
      </c>
      <c r="GD13" s="79">
        <f t="shared" si="118"/>
        <v>292.8954921</v>
      </c>
      <c r="GE13" s="77">
        <f t="shared" si="119"/>
        <v>14.3327145</v>
      </c>
      <c r="GF13" s="78"/>
      <c r="GG13" s="78">
        <f t="shared" si="165"/>
        <v>25.374000000000002</v>
      </c>
      <c r="GH13" s="78">
        <f t="shared" si="120"/>
        <v>2230.6943124</v>
      </c>
      <c r="GI13" s="78">
        <f t="shared" si="121"/>
        <v>2256.0683123999997</v>
      </c>
      <c r="GJ13" s="79">
        <f t="shared" si="122"/>
        <v>465.1206444</v>
      </c>
      <c r="GK13" s="77">
        <f t="shared" si="123"/>
        <v>22.760478</v>
      </c>
      <c r="GL13" s="78"/>
      <c r="GM13" s="78">
        <f t="shared" si="166"/>
        <v>117.59450000000001</v>
      </c>
      <c r="GN13" s="78">
        <f t="shared" si="124"/>
        <v>10338.0382407</v>
      </c>
      <c r="GO13" s="78">
        <f t="shared" si="125"/>
        <v>10455.632740699999</v>
      </c>
      <c r="GP13" s="79">
        <f t="shared" si="126"/>
        <v>2155.5777417</v>
      </c>
      <c r="GQ13" s="77">
        <f t="shared" si="127"/>
        <v>105.4822665</v>
      </c>
      <c r="GR13" s="78"/>
      <c r="GS13" s="78">
        <f t="shared" si="167"/>
        <v>6.2410000000000005</v>
      </c>
      <c r="GT13" s="78">
        <f t="shared" si="128"/>
        <v>548.6625366000001</v>
      </c>
      <c r="GU13" s="78">
        <f t="shared" si="129"/>
        <v>554.9035366</v>
      </c>
      <c r="GV13" s="79">
        <f t="shared" si="130"/>
        <v>114.40127460000001</v>
      </c>
      <c r="GW13" s="77">
        <f t="shared" si="131"/>
        <v>5.598177000000001</v>
      </c>
      <c r="GX13" s="78"/>
      <c r="GY13" s="78">
        <f t="shared" si="168"/>
        <v>35.782000000000004</v>
      </c>
      <c r="GZ13" s="78">
        <f t="shared" si="132"/>
        <v>3145.6886532000003</v>
      </c>
      <c r="HA13" s="78">
        <f t="shared" si="133"/>
        <v>3181.4706532000005</v>
      </c>
      <c r="HB13" s="79">
        <f t="shared" si="134"/>
        <v>655.9055292</v>
      </c>
      <c r="HC13" s="77">
        <f t="shared" si="135"/>
        <v>32.096454</v>
      </c>
      <c r="HD13" s="78"/>
      <c r="HE13" s="78"/>
      <c r="HF13" s="78"/>
      <c r="HG13" s="78"/>
      <c r="HH13" s="78"/>
      <c r="HI13" s="78"/>
    </row>
    <row r="14" spans="1:217" ht="12">
      <c r="A14" s="19">
        <v>43009</v>
      </c>
      <c r="C14" s="36"/>
      <c r="D14" s="36">
        <v>439488</v>
      </c>
      <c r="E14" s="77">
        <f t="shared" si="0"/>
        <v>439488</v>
      </c>
      <c r="F14" s="77">
        <v>91653</v>
      </c>
      <c r="G14" s="77">
        <v>4485</v>
      </c>
      <c r="H14" s="78"/>
      <c r="I14" s="79"/>
      <c r="J14" s="79">
        <f t="shared" si="1"/>
        <v>238565.46913920002</v>
      </c>
      <c r="K14" s="79">
        <f t="shared" si="2"/>
        <v>238565.46913920002</v>
      </c>
      <c r="L14" s="79">
        <f t="shared" si="3"/>
        <v>49751.6222127</v>
      </c>
      <c r="M14" s="79">
        <f t="shared" si="3"/>
        <v>2434.5741615</v>
      </c>
      <c r="N14" s="78"/>
      <c r="O14" s="78"/>
      <c r="P14" s="78">
        <f t="shared" si="4"/>
        <v>29070.0216576</v>
      </c>
      <c r="Q14" s="79">
        <f t="shared" si="5"/>
        <v>29070.0216576</v>
      </c>
      <c r="R14" s="79">
        <f t="shared" si="6"/>
        <v>6062.4060156000005</v>
      </c>
      <c r="S14" s="77">
        <f t="shared" si="7"/>
        <v>296.661222</v>
      </c>
      <c r="T14" s="78"/>
      <c r="U14" s="78"/>
      <c r="V14" s="78">
        <f t="shared" si="8"/>
        <v>496.4456448</v>
      </c>
      <c r="W14" s="78">
        <f t="shared" si="9"/>
        <v>496.4456448</v>
      </c>
      <c r="X14" s="79">
        <f t="shared" si="10"/>
        <v>103.5312288</v>
      </c>
      <c r="Y14" s="77">
        <f t="shared" si="11"/>
        <v>5.066255999999999</v>
      </c>
      <c r="Z14" s="78"/>
      <c r="AA14" s="79"/>
      <c r="AB14" s="78">
        <f t="shared" si="12"/>
        <v>2241.1251072</v>
      </c>
      <c r="AC14" s="78">
        <f t="shared" si="13"/>
        <v>2241.1251072</v>
      </c>
      <c r="AD14" s="79">
        <f t="shared" si="14"/>
        <v>467.37530819999995</v>
      </c>
      <c r="AE14" s="77">
        <f t="shared" si="15"/>
        <v>22.870808999999998</v>
      </c>
      <c r="AF14" s="78"/>
      <c r="AG14" s="78"/>
      <c r="AH14" s="78">
        <f t="shared" si="16"/>
        <v>38973.6639936</v>
      </c>
      <c r="AI14" s="78">
        <f t="shared" si="17"/>
        <v>38973.6639936</v>
      </c>
      <c r="AJ14" s="79">
        <f t="shared" si="18"/>
        <v>8127.7605441</v>
      </c>
      <c r="AK14" s="77">
        <f t="shared" si="19"/>
        <v>397.7284545</v>
      </c>
      <c r="AL14" s="78"/>
      <c r="AM14" s="78"/>
      <c r="AN14" s="78">
        <f t="shared" si="20"/>
        <v>472.0980096</v>
      </c>
      <c r="AO14" s="78">
        <f t="shared" si="21"/>
        <v>472.0980096</v>
      </c>
      <c r="AP14" s="79">
        <f t="shared" si="22"/>
        <v>98.4536526</v>
      </c>
      <c r="AQ14" s="77">
        <f t="shared" si="23"/>
        <v>4.817787</v>
      </c>
      <c r="AR14" s="78"/>
      <c r="AS14" s="78"/>
      <c r="AT14" s="78">
        <f t="shared" si="24"/>
        <v>398.13217920000005</v>
      </c>
      <c r="AU14" s="78">
        <f t="shared" si="25"/>
        <v>398.13217920000005</v>
      </c>
      <c r="AV14" s="79">
        <f t="shared" si="26"/>
        <v>83.0284527</v>
      </c>
      <c r="AW14" s="77">
        <f t="shared" si="27"/>
        <v>4.0629615</v>
      </c>
      <c r="AX14" s="78"/>
      <c r="AY14" s="78"/>
      <c r="AZ14" s="78">
        <f t="shared" si="28"/>
        <v>16334.362598400003</v>
      </c>
      <c r="BA14" s="78">
        <f t="shared" si="29"/>
        <v>16334.362598400003</v>
      </c>
      <c r="BB14" s="79">
        <f t="shared" si="30"/>
        <v>3406.4487204</v>
      </c>
      <c r="BC14" s="77">
        <f t="shared" si="31"/>
        <v>166.693098</v>
      </c>
      <c r="BD14" s="78"/>
      <c r="BE14" s="78"/>
      <c r="BF14" s="78">
        <f t="shared" si="32"/>
        <v>33516.3657024</v>
      </c>
      <c r="BG14" s="78">
        <f t="shared" si="33"/>
        <v>33516.3657024</v>
      </c>
      <c r="BH14" s="79">
        <f t="shared" si="34"/>
        <v>6989.6685819</v>
      </c>
      <c r="BI14" s="77">
        <f t="shared" si="35"/>
        <v>342.03641550000003</v>
      </c>
      <c r="BJ14" s="78"/>
      <c r="BK14" s="78"/>
      <c r="BL14" s="78">
        <f t="shared" si="36"/>
        <v>386.9252352</v>
      </c>
      <c r="BM14" s="78">
        <f t="shared" si="37"/>
        <v>386.9252352</v>
      </c>
      <c r="BN14" s="79">
        <f t="shared" si="38"/>
        <v>80.6913012</v>
      </c>
      <c r="BO14" s="77">
        <f t="shared" si="39"/>
        <v>3.9485940000000004</v>
      </c>
      <c r="BP14" s="78"/>
      <c r="BQ14" s="78"/>
      <c r="BR14" s="78">
        <f t="shared" si="40"/>
        <v>259.9132032</v>
      </c>
      <c r="BS14" s="78">
        <f t="shared" si="41"/>
        <v>259.9132032</v>
      </c>
      <c r="BT14" s="79">
        <f t="shared" si="42"/>
        <v>54.203584199999995</v>
      </c>
      <c r="BU14" s="77">
        <f t="shared" si="43"/>
        <v>2.6524289999999997</v>
      </c>
      <c r="BV14" s="78"/>
      <c r="BW14" s="78"/>
      <c r="BX14" s="78">
        <f t="shared" si="44"/>
        <v>-38.7188928</v>
      </c>
      <c r="BY14" s="78">
        <f t="shared" si="45"/>
        <v>-38.7188928</v>
      </c>
      <c r="BZ14" s="79">
        <f t="shared" si="46"/>
        <v>-8.0746293</v>
      </c>
      <c r="CA14" s="77">
        <f t="shared" si="47"/>
        <v>-0.3951285</v>
      </c>
      <c r="CB14" s="78"/>
      <c r="CC14" s="78"/>
      <c r="CD14" s="78">
        <f t="shared" si="48"/>
        <v>-25.2266112</v>
      </c>
      <c r="CE14" s="78">
        <f t="shared" si="49"/>
        <v>-25.2266112</v>
      </c>
      <c r="CF14" s="79">
        <f t="shared" si="50"/>
        <v>-5.2608822</v>
      </c>
      <c r="CG14" s="77">
        <f t="shared" si="51"/>
        <v>-0.257439</v>
      </c>
      <c r="CH14" s="78"/>
      <c r="CI14" s="78"/>
      <c r="CJ14" s="78">
        <f t="shared" si="52"/>
        <v>938.1310848</v>
      </c>
      <c r="CK14" s="78">
        <f t="shared" si="53"/>
        <v>938.1310848</v>
      </c>
      <c r="CL14" s="79">
        <f t="shared" si="54"/>
        <v>195.64249379999998</v>
      </c>
      <c r="CM14" s="77">
        <f t="shared" si="55"/>
        <v>9.573681</v>
      </c>
      <c r="CN14" s="78"/>
      <c r="CO14" s="78"/>
      <c r="CP14" s="78">
        <f t="shared" si="56"/>
        <v>5769.158976000001</v>
      </c>
      <c r="CQ14" s="78">
        <f t="shared" si="57"/>
        <v>5769.158976000001</v>
      </c>
      <c r="CR14" s="79">
        <f t="shared" si="58"/>
        <v>1203.128931</v>
      </c>
      <c r="CS14" s="77">
        <f t="shared" si="59"/>
        <v>58.874595</v>
      </c>
      <c r="CT14" s="78"/>
      <c r="CU14" s="78"/>
      <c r="CV14" s="78">
        <f t="shared" si="60"/>
        <v>38756.2932288</v>
      </c>
      <c r="CW14" s="78">
        <f t="shared" si="61"/>
        <v>38756.2932288</v>
      </c>
      <c r="CX14" s="79">
        <f t="shared" si="62"/>
        <v>8082.4289703</v>
      </c>
      <c r="CY14" s="77">
        <f t="shared" si="63"/>
        <v>395.5101735</v>
      </c>
      <c r="CZ14" s="78"/>
      <c r="DA14" s="78"/>
      <c r="DB14" s="78">
        <f t="shared" si="64"/>
        <v>5591.693721599999</v>
      </c>
      <c r="DC14" s="78">
        <f t="shared" si="65"/>
        <v>5591.693721599999</v>
      </c>
      <c r="DD14" s="79">
        <f t="shared" si="66"/>
        <v>1166.1194496</v>
      </c>
      <c r="DE14" s="77">
        <f t="shared" si="67"/>
        <v>57.063552</v>
      </c>
      <c r="DF14" s="78"/>
      <c r="DG14" s="78"/>
      <c r="DH14" s="78">
        <f t="shared" si="68"/>
        <v>11425.4574336</v>
      </c>
      <c r="DI14" s="78">
        <f t="shared" si="69"/>
        <v>11425.4574336</v>
      </c>
      <c r="DJ14" s="79">
        <f t="shared" si="70"/>
        <v>2382.7213716</v>
      </c>
      <c r="DK14" s="77">
        <f t="shared" si="71"/>
        <v>116.597442</v>
      </c>
      <c r="DL14" s="78"/>
      <c r="DM14" s="78"/>
      <c r="DN14" s="78">
        <f t="shared" si="72"/>
        <v>1852.9693056</v>
      </c>
      <c r="DO14" s="78">
        <f t="shared" si="73"/>
        <v>1852.9693056</v>
      </c>
      <c r="DP14" s="79">
        <f t="shared" si="74"/>
        <v>386.4273786</v>
      </c>
      <c r="DQ14" s="77">
        <f t="shared" si="75"/>
        <v>18.909657</v>
      </c>
      <c r="DR14" s="78"/>
      <c r="DS14" s="78"/>
      <c r="DT14" s="78">
        <f t="shared" si="76"/>
        <v>9505.3343616</v>
      </c>
      <c r="DU14" s="78">
        <f t="shared" si="77"/>
        <v>9505.3343616</v>
      </c>
      <c r="DV14" s="79">
        <f t="shared" si="78"/>
        <v>1982.2894146</v>
      </c>
      <c r="DW14" s="77">
        <f t="shared" si="79"/>
        <v>97.002477</v>
      </c>
      <c r="DX14" s="78"/>
      <c r="DY14" s="78"/>
      <c r="DZ14" s="78">
        <f t="shared" si="80"/>
        <v>84.9530304</v>
      </c>
      <c r="EA14" s="78">
        <f t="shared" si="81"/>
        <v>84.9530304</v>
      </c>
      <c r="EB14" s="79">
        <f t="shared" si="82"/>
        <v>17.7165249</v>
      </c>
      <c r="EC14" s="77">
        <f t="shared" si="83"/>
        <v>0.8669505000000001</v>
      </c>
      <c r="ED14" s="78"/>
      <c r="EE14" s="78"/>
      <c r="EF14" s="78">
        <f t="shared" si="84"/>
        <v>111.8057472</v>
      </c>
      <c r="EG14" s="78">
        <f t="shared" si="85"/>
        <v>111.8057472</v>
      </c>
      <c r="EH14" s="79">
        <f t="shared" si="86"/>
        <v>23.3165232</v>
      </c>
      <c r="EI14" s="77">
        <f t="shared" si="87"/>
        <v>1.140984</v>
      </c>
      <c r="EJ14" s="78"/>
      <c r="EK14" s="78"/>
      <c r="EL14" s="78">
        <f t="shared" si="88"/>
        <v>5633.664825600001</v>
      </c>
      <c r="EM14" s="78">
        <f t="shared" si="89"/>
        <v>5633.664825600001</v>
      </c>
      <c r="EN14" s="79">
        <f t="shared" si="90"/>
        <v>1174.8723111000002</v>
      </c>
      <c r="EO14" s="77">
        <f t="shared" si="91"/>
        <v>57.4918695</v>
      </c>
      <c r="EP14" s="78"/>
      <c r="EQ14" s="78"/>
      <c r="ER14" s="78">
        <f t="shared" si="92"/>
        <v>107.235072</v>
      </c>
      <c r="ES14" s="78">
        <f t="shared" si="93"/>
        <v>107.235072</v>
      </c>
      <c r="ET14" s="79">
        <f t="shared" si="94"/>
        <v>22.363332</v>
      </c>
      <c r="EU14" s="77">
        <f t="shared" si="95"/>
        <v>1.0943399999999999</v>
      </c>
      <c r="EV14" s="78"/>
      <c r="EW14" s="78"/>
      <c r="EX14" s="78">
        <f t="shared" si="96"/>
        <v>1602.3292992000002</v>
      </c>
      <c r="EY14" s="78">
        <f t="shared" si="97"/>
        <v>1602.3292992000002</v>
      </c>
      <c r="EZ14" s="79">
        <f t="shared" si="98"/>
        <v>334.15767270000003</v>
      </c>
      <c r="FA14" s="77">
        <f t="shared" si="99"/>
        <v>16.351861500000002</v>
      </c>
      <c r="FB14" s="78"/>
      <c r="FC14" s="78"/>
      <c r="FD14" s="78">
        <f t="shared" si="100"/>
        <v>1113.0912576</v>
      </c>
      <c r="FE14" s="78">
        <f t="shared" si="101"/>
        <v>1113.0912576</v>
      </c>
      <c r="FF14" s="79">
        <f t="shared" si="102"/>
        <v>232.1295531</v>
      </c>
      <c r="FG14" s="77">
        <f t="shared" si="103"/>
        <v>11.3591595</v>
      </c>
      <c r="FH14" s="78"/>
      <c r="FI14" s="78"/>
      <c r="FJ14" s="78">
        <f t="shared" si="104"/>
        <v>434.5217856</v>
      </c>
      <c r="FK14" s="78">
        <f t="shared" si="105"/>
        <v>434.5217856</v>
      </c>
      <c r="FL14" s="79">
        <f t="shared" si="106"/>
        <v>90.6173211</v>
      </c>
      <c r="FM14" s="77">
        <f t="shared" si="107"/>
        <v>4.4343195</v>
      </c>
      <c r="FN14" s="78"/>
      <c r="FO14" s="78"/>
      <c r="FP14" s="78">
        <f t="shared" si="108"/>
        <v>4883.1951168</v>
      </c>
      <c r="FQ14" s="78">
        <f t="shared" si="109"/>
        <v>4883.1951168</v>
      </c>
      <c r="FR14" s="79">
        <f t="shared" si="110"/>
        <v>1018.3656483000001</v>
      </c>
      <c r="FS14" s="77">
        <f t="shared" si="111"/>
        <v>49.8332835</v>
      </c>
      <c r="FT14" s="78"/>
      <c r="FU14" s="78"/>
      <c r="FV14" s="78">
        <f t="shared" si="112"/>
        <v>11005.746393600002</v>
      </c>
      <c r="FW14" s="78">
        <f t="shared" si="113"/>
        <v>11005.746393600002</v>
      </c>
      <c r="FX14" s="79">
        <f t="shared" si="114"/>
        <v>2295.1927566</v>
      </c>
      <c r="FY14" s="77">
        <f t="shared" si="115"/>
        <v>112.314267</v>
      </c>
      <c r="FZ14" s="78"/>
      <c r="GA14" s="78"/>
      <c r="GB14" s="78">
        <f t="shared" si="116"/>
        <v>1404.4718016000002</v>
      </c>
      <c r="GC14" s="78">
        <f t="shared" si="117"/>
        <v>1404.4718016000002</v>
      </c>
      <c r="GD14" s="79">
        <f t="shared" si="118"/>
        <v>292.8954921</v>
      </c>
      <c r="GE14" s="77">
        <f t="shared" si="119"/>
        <v>14.3327145</v>
      </c>
      <c r="GF14" s="78"/>
      <c r="GG14" s="78"/>
      <c r="GH14" s="78">
        <f t="shared" si="120"/>
        <v>2230.3137024000002</v>
      </c>
      <c r="GI14" s="78">
        <f t="shared" si="121"/>
        <v>2230.3137024000002</v>
      </c>
      <c r="GJ14" s="79">
        <f t="shared" si="122"/>
        <v>465.1206444</v>
      </c>
      <c r="GK14" s="77">
        <f t="shared" si="123"/>
        <v>22.760478</v>
      </c>
      <c r="GL14" s="78"/>
      <c r="GM14" s="78"/>
      <c r="GN14" s="78">
        <f t="shared" si="124"/>
        <v>10336.2743232</v>
      </c>
      <c r="GO14" s="78">
        <f t="shared" si="125"/>
        <v>10336.2743232</v>
      </c>
      <c r="GP14" s="79">
        <f t="shared" si="126"/>
        <v>2155.5777417</v>
      </c>
      <c r="GQ14" s="77">
        <f t="shared" si="127"/>
        <v>105.4822665</v>
      </c>
      <c r="GR14" s="78"/>
      <c r="GS14" s="78"/>
      <c r="GT14" s="78">
        <f t="shared" si="128"/>
        <v>548.5689216000001</v>
      </c>
      <c r="GU14" s="78">
        <f t="shared" si="129"/>
        <v>548.5689216000001</v>
      </c>
      <c r="GV14" s="79">
        <f t="shared" si="130"/>
        <v>114.40127460000001</v>
      </c>
      <c r="GW14" s="77">
        <f t="shared" si="131"/>
        <v>5.598177000000001</v>
      </c>
      <c r="GX14" s="78"/>
      <c r="GY14" s="78"/>
      <c r="GZ14" s="78">
        <f t="shared" si="132"/>
        <v>3145.1519232000005</v>
      </c>
      <c r="HA14" s="78">
        <f t="shared" si="133"/>
        <v>3145.1519232000005</v>
      </c>
      <c r="HB14" s="79">
        <f t="shared" si="134"/>
        <v>655.9055292</v>
      </c>
      <c r="HC14" s="77">
        <f t="shared" si="135"/>
        <v>32.096454</v>
      </c>
      <c r="HD14" s="78"/>
      <c r="HE14" s="78"/>
      <c r="HF14" s="78"/>
      <c r="HG14" s="78"/>
      <c r="HH14" s="78"/>
      <c r="HI14" s="78"/>
    </row>
    <row r="15" spans="1:217" s="52" customFormat="1" ht="12">
      <c r="A15" s="51">
        <v>43191</v>
      </c>
      <c r="C15" s="42"/>
      <c r="D15" s="42">
        <v>439488</v>
      </c>
      <c r="E15" s="77">
        <f t="shared" si="0"/>
        <v>439488</v>
      </c>
      <c r="F15" s="77">
        <v>91653</v>
      </c>
      <c r="G15" s="77">
        <v>4485</v>
      </c>
      <c r="H15" s="79"/>
      <c r="I15" s="79">
        <f>O15+U15+AA15+AG15+AM15+AS15+AY15+BE15+BK15+BQ15+BW15+CC15+CI15+CO15+CU15+DA15+DG15+DM15+DS15+DY15+EE15+EK15+EQ15+EW15+FC15+FI15+FO15+FU15+GA15+GG15+GM15+GS15+GY15</f>
        <v>0</v>
      </c>
      <c r="J15" s="79">
        <f t="shared" si="1"/>
        <v>238565.46913920002</v>
      </c>
      <c r="K15" s="79">
        <f t="shared" si="2"/>
        <v>238565.46913920002</v>
      </c>
      <c r="L15" s="79">
        <f t="shared" si="3"/>
        <v>49751.6222127</v>
      </c>
      <c r="M15" s="79">
        <f t="shared" si="3"/>
        <v>2434.5741615</v>
      </c>
      <c r="N15" s="79"/>
      <c r="O15" s="78">
        <f t="shared" si="136"/>
        <v>0</v>
      </c>
      <c r="P15" s="78">
        <f t="shared" si="4"/>
        <v>29070.0216576</v>
      </c>
      <c r="Q15" s="79">
        <f t="shared" si="5"/>
        <v>29070.0216576</v>
      </c>
      <c r="R15" s="79">
        <f t="shared" si="6"/>
        <v>6062.4060156000005</v>
      </c>
      <c r="S15" s="77">
        <f t="shared" si="7"/>
        <v>296.661222</v>
      </c>
      <c r="T15" s="79"/>
      <c r="U15" s="78">
        <f t="shared" si="137"/>
        <v>0</v>
      </c>
      <c r="V15" s="78">
        <f t="shared" si="8"/>
        <v>496.4456448</v>
      </c>
      <c r="W15" s="78">
        <f t="shared" si="9"/>
        <v>496.4456448</v>
      </c>
      <c r="X15" s="79">
        <f t="shared" si="10"/>
        <v>103.5312288</v>
      </c>
      <c r="Y15" s="77">
        <f t="shared" si="11"/>
        <v>5.066255999999999</v>
      </c>
      <c r="Z15" s="79"/>
      <c r="AA15" s="79">
        <f t="shared" si="138"/>
        <v>0</v>
      </c>
      <c r="AB15" s="78">
        <f t="shared" si="12"/>
        <v>2241.1251072</v>
      </c>
      <c r="AC15" s="78">
        <f t="shared" si="13"/>
        <v>2241.1251072</v>
      </c>
      <c r="AD15" s="79">
        <f t="shared" si="14"/>
        <v>467.37530819999995</v>
      </c>
      <c r="AE15" s="77">
        <f t="shared" si="15"/>
        <v>22.870808999999998</v>
      </c>
      <c r="AF15" s="79"/>
      <c r="AG15" s="78">
        <f t="shared" si="139"/>
        <v>0</v>
      </c>
      <c r="AH15" s="78">
        <f t="shared" si="16"/>
        <v>38973.6639936</v>
      </c>
      <c r="AI15" s="78">
        <f t="shared" si="17"/>
        <v>38973.6639936</v>
      </c>
      <c r="AJ15" s="79">
        <f t="shared" si="18"/>
        <v>8127.7605441</v>
      </c>
      <c r="AK15" s="77">
        <f t="shared" si="19"/>
        <v>397.7284545</v>
      </c>
      <c r="AL15" s="79"/>
      <c r="AM15" s="78">
        <f t="shared" si="140"/>
        <v>0</v>
      </c>
      <c r="AN15" s="78">
        <f t="shared" si="20"/>
        <v>472.0980096</v>
      </c>
      <c r="AO15" s="78">
        <f t="shared" si="21"/>
        <v>472.0980096</v>
      </c>
      <c r="AP15" s="79">
        <f t="shared" si="22"/>
        <v>98.4536526</v>
      </c>
      <c r="AQ15" s="77">
        <f t="shared" si="23"/>
        <v>4.817787</v>
      </c>
      <c r="AR15" s="78"/>
      <c r="AS15" s="78">
        <f t="shared" si="141"/>
        <v>0</v>
      </c>
      <c r="AT15" s="78">
        <f t="shared" si="24"/>
        <v>398.13217920000005</v>
      </c>
      <c r="AU15" s="78">
        <f t="shared" si="25"/>
        <v>398.13217920000005</v>
      </c>
      <c r="AV15" s="79">
        <f t="shared" si="26"/>
        <v>83.0284527</v>
      </c>
      <c r="AW15" s="77">
        <f t="shared" si="27"/>
        <v>4.0629615</v>
      </c>
      <c r="AX15" s="79"/>
      <c r="AY15" s="78">
        <f t="shared" si="142"/>
        <v>0</v>
      </c>
      <c r="AZ15" s="78">
        <f t="shared" si="28"/>
        <v>16334.362598400003</v>
      </c>
      <c r="BA15" s="78">
        <f t="shared" si="29"/>
        <v>16334.362598400003</v>
      </c>
      <c r="BB15" s="79">
        <f t="shared" si="30"/>
        <v>3406.4487204</v>
      </c>
      <c r="BC15" s="77">
        <f t="shared" si="31"/>
        <v>166.693098</v>
      </c>
      <c r="BD15" s="79"/>
      <c r="BE15" s="78">
        <f t="shared" si="143"/>
        <v>0</v>
      </c>
      <c r="BF15" s="78">
        <f t="shared" si="32"/>
        <v>33516.3657024</v>
      </c>
      <c r="BG15" s="78">
        <f t="shared" si="33"/>
        <v>33516.3657024</v>
      </c>
      <c r="BH15" s="79">
        <f t="shared" si="34"/>
        <v>6989.6685819</v>
      </c>
      <c r="BI15" s="77">
        <f t="shared" si="35"/>
        <v>342.03641550000003</v>
      </c>
      <c r="BJ15" s="79"/>
      <c r="BK15" s="78">
        <f t="shared" si="144"/>
        <v>0</v>
      </c>
      <c r="BL15" s="78">
        <f t="shared" si="36"/>
        <v>386.9252352</v>
      </c>
      <c r="BM15" s="78">
        <f t="shared" si="37"/>
        <v>386.9252352</v>
      </c>
      <c r="BN15" s="79">
        <f t="shared" si="38"/>
        <v>80.6913012</v>
      </c>
      <c r="BO15" s="77">
        <f t="shared" si="39"/>
        <v>3.9485940000000004</v>
      </c>
      <c r="BP15" s="79"/>
      <c r="BQ15" s="78">
        <f t="shared" si="145"/>
        <v>0</v>
      </c>
      <c r="BR15" s="78">
        <f t="shared" si="40"/>
        <v>259.9132032</v>
      </c>
      <c r="BS15" s="78">
        <f t="shared" si="41"/>
        <v>259.9132032</v>
      </c>
      <c r="BT15" s="79">
        <f t="shared" si="42"/>
        <v>54.203584199999995</v>
      </c>
      <c r="BU15" s="77">
        <f t="shared" si="43"/>
        <v>2.6524289999999997</v>
      </c>
      <c r="BV15" s="79"/>
      <c r="BW15" s="78">
        <f t="shared" si="146"/>
        <v>0</v>
      </c>
      <c r="BX15" s="78">
        <f t="shared" si="44"/>
        <v>-38.7188928</v>
      </c>
      <c r="BY15" s="78">
        <f t="shared" si="45"/>
        <v>-38.7188928</v>
      </c>
      <c r="BZ15" s="79">
        <f t="shared" si="46"/>
        <v>-8.0746293</v>
      </c>
      <c r="CA15" s="77">
        <f t="shared" si="47"/>
        <v>-0.3951285</v>
      </c>
      <c r="CB15" s="78"/>
      <c r="CC15" s="78">
        <f t="shared" si="147"/>
        <v>0</v>
      </c>
      <c r="CD15" s="78">
        <f t="shared" si="48"/>
        <v>-25.2266112</v>
      </c>
      <c r="CE15" s="78">
        <f t="shared" si="49"/>
        <v>-25.2266112</v>
      </c>
      <c r="CF15" s="79">
        <f t="shared" si="50"/>
        <v>-5.2608822</v>
      </c>
      <c r="CG15" s="77">
        <f t="shared" si="51"/>
        <v>-0.257439</v>
      </c>
      <c r="CH15" s="79"/>
      <c r="CI15" s="78">
        <f t="shared" si="148"/>
        <v>0</v>
      </c>
      <c r="CJ15" s="78">
        <f t="shared" si="52"/>
        <v>938.1310848</v>
      </c>
      <c r="CK15" s="78">
        <f t="shared" si="53"/>
        <v>938.1310848</v>
      </c>
      <c r="CL15" s="79">
        <f t="shared" si="54"/>
        <v>195.64249379999998</v>
      </c>
      <c r="CM15" s="77">
        <f t="shared" si="55"/>
        <v>9.573681</v>
      </c>
      <c r="CN15" s="79"/>
      <c r="CO15" s="78">
        <f t="shared" si="149"/>
        <v>0</v>
      </c>
      <c r="CP15" s="78">
        <f t="shared" si="56"/>
        <v>5769.158976000001</v>
      </c>
      <c r="CQ15" s="78">
        <f t="shared" si="57"/>
        <v>5769.158976000001</v>
      </c>
      <c r="CR15" s="79">
        <f t="shared" si="58"/>
        <v>1203.128931</v>
      </c>
      <c r="CS15" s="77">
        <f t="shared" si="59"/>
        <v>58.874595</v>
      </c>
      <c r="CT15" s="79"/>
      <c r="CU15" s="78">
        <f t="shared" si="150"/>
        <v>0</v>
      </c>
      <c r="CV15" s="78">
        <f t="shared" si="60"/>
        <v>38756.2932288</v>
      </c>
      <c r="CW15" s="78">
        <f t="shared" si="61"/>
        <v>38756.2932288</v>
      </c>
      <c r="CX15" s="79">
        <f t="shared" si="62"/>
        <v>8082.4289703</v>
      </c>
      <c r="CY15" s="77">
        <f t="shared" si="63"/>
        <v>395.5101735</v>
      </c>
      <c r="CZ15" s="79"/>
      <c r="DA15" s="78">
        <f t="shared" si="151"/>
        <v>0</v>
      </c>
      <c r="DB15" s="78">
        <f t="shared" si="64"/>
        <v>5591.693721599999</v>
      </c>
      <c r="DC15" s="78">
        <f t="shared" si="65"/>
        <v>5591.693721599999</v>
      </c>
      <c r="DD15" s="79">
        <f t="shared" si="66"/>
        <v>1166.1194496</v>
      </c>
      <c r="DE15" s="77">
        <f t="shared" si="67"/>
        <v>57.063552</v>
      </c>
      <c r="DF15" s="79"/>
      <c r="DG15" s="78">
        <f t="shared" si="152"/>
        <v>0</v>
      </c>
      <c r="DH15" s="78">
        <f t="shared" si="68"/>
        <v>11425.4574336</v>
      </c>
      <c r="DI15" s="78">
        <f t="shared" si="69"/>
        <v>11425.4574336</v>
      </c>
      <c r="DJ15" s="79">
        <f t="shared" si="70"/>
        <v>2382.7213716</v>
      </c>
      <c r="DK15" s="77">
        <f t="shared" si="71"/>
        <v>116.597442</v>
      </c>
      <c r="DL15" s="79"/>
      <c r="DM15" s="78">
        <f t="shared" si="153"/>
        <v>0</v>
      </c>
      <c r="DN15" s="78">
        <f t="shared" si="72"/>
        <v>1852.9693056</v>
      </c>
      <c r="DO15" s="78">
        <f t="shared" si="73"/>
        <v>1852.9693056</v>
      </c>
      <c r="DP15" s="79">
        <f t="shared" si="74"/>
        <v>386.4273786</v>
      </c>
      <c r="DQ15" s="77">
        <f t="shared" si="75"/>
        <v>18.909657</v>
      </c>
      <c r="DR15" s="79"/>
      <c r="DS15" s="78">
        <f t="shared" si="154"/>
        <v>0</v>
      </c>
      <c r="DT15" s="78">
        <f t="shared" si="76"/>
        <v>9505.3343616</v>
      </c>
      <c r="DU15" s="78">
        <f t="shared" si="77"/>
        <v>9505.3343616</v>
      </c>
      <c r="DV15" s="79">
        <f t="shared" si="78"/>
        <v>1982.2894146</v>
      </c>
      <c r="DW15" s="77">
        <f t="shared" si="79"/>
        <v>97.002477</v>
      </c>
      <c r="DX15" s="79"/>
      <c r="DY15" s="78">
        <f t="shared" si="155"/>
        <v>0</v>
      </c>
      <c r="DZ15" s="78">
        <f t="shared" si="80"/>
        <v>84.9530304</v>
      </c>
      <c r="EA15" s="78">
        <f t="shared" si="81"/>
        <v>84.9530304</v>
      </c>
      <c r="EB15" s="79">
        <f t="shared" si="82"/>
        <v>17.7165249</v>
      </c>
      <c r="EC15" s="77">
        <f t="shared" si="83"/>
        <v>0.8669505000000001</v>
      </c>
      <c r="ED15" s="79"/>
      <c r="EE15" s="78">
        <f t="shared" si="156"/>
        <v>0</v>
      </c>
      <c r="EF15" s="78">
        <f t="shared" si="84"/>
        <v>111.8057472</v>
      </c>
      <c r="EG15" s="78">
        <f t="shared" si="85"/>
        <v>111.8057472</v>
      </c>
      <c r="EH15" s="79">
        <f t="shared" si="86"/>
        <v>23.3165232</v>
      </c>
      <c r="EI15" s="77">
        <f t="shared" si="87"/>
        <v>1.140984</v>
      </c>
      <c r="EJ15" s="79"/>
      <c r="EK15" s="78">
        <f t="shared" si="157"/>
        <v>0</v>
      </c>
      <c r="EL15" s="78">
        <f t="shared" si="88"/>
        <v>5633.664825600001</v>
      </c>
      <c r="EM15" s="78">
        <f t="shared" si="89"/>
        <v>5633.664825600001</v>
      </c>
      <c r="EN15" s="79">
        <f t="shared" si="90"/>
        <v>1174.8723111000002</v>
      </c>
      <c r="EO15" s="77">
        <f t="shared" si="91"/>
        <v>57.4918695</v>
      </c>
      <c r="EP15" s="79"/>
      <c r="EQ15" s="78">
        <f t="shared" si="158"/>
        <v>0</v>
      </c>
      <c r="ER15" s="78">
        <f t="shared" si="92"/>
        <v>107.235072</v>
      </c>
      <c r="ES15" s="78">
        <f t="shared" si="93"/>
        <v>107.235072</v>
      </c>
      <c r="ET15" s="79">
        <f t="shared" si="94"/>
        <v>22.363332</v>
      </c>
      <c r="EU15" s="77">
        <f t="shared" si="95"/>
        <v>1.0943399999999999</v>
      </c>
      <c r="EV15" s="79"/>
      <c r="EW15" s="78">
        <f t="shared" si="159"/>
        <v>0</v>
      </c>
      <c r="EX15" s="78">
        <f t="shared" si="96"/>
        <v>1602.3292992000002</v>
      </c>
      <c r="EY15" s="78">
        <f t="shared" si="97"/>
        <v>1602.3292992000002</v>
      </c>
      <c r="EZ15" s="79">
        <f t="shared" si="98"/>
        <v>334.15767270000003</v>
      </c>
      <c r="FA15" s="77">
        <f t="shared" si="99"/>
        <v>16.351861500000002</v>
      </c>
      <c r="FB15" s="79"/>
      <c r="FC15" s="78">
        <f t="shared" si="160"/>
        <v>0</v>
      </c>
      <c r="FD15" s="78">
        <f t="shared" si="100"/>
        <v>1113.0912576</v>
      </c>
      <c r="FE15" s="78">
        <f t="shared" si="101"/>
        <v>1113.0912576</v>
      </c>
      <c r="FF15" s="79">
        <f t="shared" si="102"/>
        <v>232.1295531</v>
      </c>
      <c r="FG15" s="77">
        <f t="shared" si="103"/>
        <v>11.3591595</v>
      </c>
      <c r="FH15" s="79"/>
      <c r="FI15" s="78">
        <f t="shared" si="161"/>
        <v>0</v>
      </c>
      <c r="FJ15" s="78">
        <f t="shared" si="104"/>
        <v>434.5217856</v>
      </c>
      <c r="FK15" s="78">
        <f t="shared" si="105"/>
        <v>434.5217856</v>
      </c>
      <c r="FL15" s="79">
        <f t="shared" si="106"/>
        <v>90.6173211</v>
      </c>
      <c r="FM15" s="77">
        <f t="shared" si="107"/>
        <v>4.4343195</v>
      </c>
      <c r="FN15" s="79"/>
      <c r="FO15" s="78">
        <f t="shared" si="162"/>
        <v>0</v>
      </c>
      <c r="FP15" s="78">
        <f t="shared" si="108"/>
        <v>4883.1951168</v>
      </c>
      <c r="FQ15" s="78">
        <f t="shared" si="109"/>
        <v>4883.1951168</v>
      </c>
      <c r="FR15" s="79">
        <f t="shared" si="110"/>
        <v>1018.3656483000001</v>
      </c>
      <c r="FS15" s="77">
        <f t="shared" si="111"/>
        <v>49.8332835</v>
      </c>
      <c r="FT15" s="79"/>
      <c r="FU15" s="78">
        <f t="shared" si="163"/>
        <v>0</v>
      </c>
      <c r="FV15" s="78">
        <f t="shared" si="112"/>
        <v>11005.746393600002</v>
      </c>
      <c r="FW15" s="78">
        <f t="shared" si="113"/>
        <v>11005.746393600002</v>
      </c>
      <c r="FX15" s="79">
        <f t="shared" si="114"/>
        <v>2295.1927566</v>
      </c>
      <c r="FY15" s="77">
        <f t="shared" si="115"/>
        <v>112.314267</v>
      </c>
      <c r="FZ15" s="79"/>
      <c r="GA15" s="78">
        <f t="shared" si="164"/>
        <v>0</v>
      </c>
      <c r="GB15" s="78">
        <f t="shared" si="116"/>
        <v>1404.4718016000002</v>
      </c>
      <c r="GC15" s="78">
        <f t="shared" si="117"/>
        <v>1404.4718016000002</v>
      </c>
      <c r="GD15" s="79">
        <f t="shared" si="118"/>
        <v>292.8954921</v>
      </c>
      <c r="GE15" s="77">
        <f t="shared" si="119"/>
        <v>14.3327145</v>
      </c>
      <c r="GF15" s="79"/>
      <c r="GG15" s="78">
        <f t="shared" si="165"/>
        <v>0</v>
      </c>
      <c r="GH15" s="78">
        <f t="shared" si="120"/>
        <v>2230.3137024000002</v>
      </c>
      <c r="GI15" s="78">
        <f t="shared" si="121"/>
        <v>2230.3137024000002</v>
      </c>
      <c r="GJ15" s="79">
        <f t="shared" si="122"/>
        <v>465.1206444</v>
      </c>
      <c r="GK15" s="77">
        <f t="shared" si="123"/>
        <v>22.760478</v>
      </c>
      <c r="GL15" s="79"/>
      <c r="GM15" s="78">
        <f t="shared" si="166"/>
        <v>0</v>
      </c>
      <c r="GN15" s="78">
        <f t="shared" si="124"/>
        <v>10336.2743232</v>
      </c>
      <c r="GO15" s="78">
        <f t="shared" si="125"/>
        <v>10336.2743232</v>
      </c>
      <c r="GP15" s="79">
        <f t="shared" si="126"/>
        <v>2155.5777417</v>
      </c>
      <c r="GQ15" s="77">
        <f t="shared" si="127"/>
        <v>105.4822665</v>
      </c>
      <c r="GR15" s="79"/>
      <c r="GS15" s="78">
        <f t="shared" si="167"/>
        <v>0</v>
      </c>
      <c r="GT15" s="78">
        <f t="shared" si="128"/>
        <v>548.5689216000001</v>
      </c>
      <c r="GU15" s="78">
        <f t="shared" si="129"/>
        <v>548.5689216000001</v>
      </c>
      <c r="GV15" s="79">
        <f t="shared" si="130"/>
        <v>114.40127460000001</v>
      </c>
      <c r="GW15" s="77">
        <f t="shared" si="131"/>
        <v>5.598177000000001</v>
      </c>
      <c r="GX15" s="79"/>
      <c r="GY15" s="78">
        <f t="shared" si="168"/>
        <v>0</v>
      </c>
      <c r="GZ15" s="78">
        <f t="shared" si="132"/>
        <v>3145.1519232000005</v>
      </c>
      <c r="HA15" s="78">
        <f t="shared" si="133"/>
        <v>3145.1519232000005</v>
      </c>
      <c r="HB15" s="79">
        <f t="shared" si="134"/>
        <v>655.9055292</v>
      </c>
      <c r="HC15" s="77">
        <f t="shared" si="135"/>
        <v>32.096454</v>
      </c>
      <c r="HD15" s="79"/>
      <c r="HE15" s="79"/>
      <c r="HF15" s="79"/>
      <c r="HG15" s="79"/>
      <c r="HH15" s="79"/>
      <c r="HI15" s="79"/>
    </row>
    <row r="16" spans="1:217" s="52" customFormat="1" ht="12">
      <c r="A16" s="51">
        <v>43374</v>
      </c>
      <c r="C16" s="42"/>
      <c r="D16" s="42">
        <v>439488</v>
      </c>
      <c r="E16" s="77">
        <f t="shared" si="0"/>
        <v>439488</v>
      </c>
      <c r="F16" s="77">
        <v>91653</v>
      </c>
      <c r="G16" s="77">
        <v>4485</v>
      </c>
      <c r="H16" s="79"/>
      <c r="I16" s="79"/>
      <c r="J16" s="79">
        <f t="shared" si="1"/>
        <v>238565.46913920002</v>
      </c>
      <c r="K16" s="79">
        <f t="shared" si="2"/>
        <v>238565.46913920002</v>
      </c>
      <c r="L16" s="79">
        <f t="shared" si="3"/>
        <v>49751.6222127</v>
      </c>
      <c r="M16" s="79">
        <f t="shared" si="3"/>
        <v>2434.5741615</v>
      </c>
      <c r="N16" s="79"/>
      <c r="O16" s="78"/>
      <c r="P16" s="78">
        <f t="shared" si="4"/>
        <v>29070.0216576</v>
      </c>
      <c r="Q16" s="79">
        <f t="shared" si="5"/>
        <v>29070.0216576</v>
      </c>
      <c r="R16" s="79">
        <f t="shared" si="6"/>
        <v>6062.4060156000005</v>
      </c>
      <c r="S16" s="77">
        <f t="shared" si="7"/>
        <v>296.661222</v>
      </c>
      <c r="T16" s="79"/>
      <c r="U16" s="78"/>
      <c r="V16" s="78">
        <f t="shared" si="8"/>
        <v>496.4456448</v>
      </c>
      <c r="W16" s="78">
        <f t="shared" si="9"/>
        <v>496.4456448</v>
      </c>
      <c r="X16" s="79">
        <f t="shared" si="10"/>
        <v>103.5312288</v>
      </c>
      <c r="Y16" s="77">
        <f t="shared" si="11"/>
        <v>5.066255999999999</v>
      </c>
      <c r="Z16" s="79"/>
      <c r="AA16" s="79"/>
      <c r="AB16" s="78">
        <f t="shared" si="12"/>
        <v>2241.1251072</v>
      </c>
      <c r="AC16" s="78">
        <f t="shared" si="13"/>
        <v>2241.1251072</v>
      </c>
      <c r="AD16" s="79">
        <f t="shared" si="14"/>
        <v>467.37530819999995</v>
      </c>
      <c r="AE16" s="77">
        <f t="shared" si="15"/>
        <v>22.870808999999998</v>
      </c>
      <c r="AF16" s="79"/>
      <c r="AG16" s="78"/>
      <c r="AH16" s="78">
        <f t="shared" si="16"/>
        <v>38973.6639936</v>
      </c>
      <c r="AI16" s="78">
        <f t="shared" si="17"/>
        <v>38973.6639936</v>
      </c>
      <c r="AJ16" s="79">
        <f t="shared" si="18"/>
        <v>8127.7605441</v>
      </c>
      <c r="AK16" s="77">
        <f t="shared" si="19"/>
        <v>397.7284545</v>
      </c>
      <c r="AL16" s="79"/>
      <c r="AM16" s="78"/>
      <c r="AN16" s="78">
        <f t="shared" si="20"/>
        <v>472.0980096</v>
      </c>
      <c r="AO16" s="78">
        <f t="shared" si="21"/>
        <v>472.0980096</v>
      </c>
      <c r="AP16" s="79">
        <f t="shared" si="22"/>
        <v>98.4536526</v>
      </c>
      <c r="AQ16" s="77">
        <f t="shared" si="23"/>
        <v>4.817787</v>
      </c>
      <c r="AR16" s="78"/>
      <c r="AS16" s="78"/>
      <c r="AT16" s="78">
        <f t="shared" si="24"/>
        <v>398.13217920000005</v>
      </c>
      <c r="AU16" s="78">
        <f t="shared" si="25"/>
        <v>398.13217920000005</v>
      </c>
      <c r="AV16" s="79">
        <f t="shared" si="26"/>
        <v>83.0284527</v>
      </c>
      <c r="AW16" s="77">
        <f t="shared" si="27"/>
        <v>4.0629615</v>
      </c>
      <c r="AX16" s="79"/>
      <c r="AY16" s="78"/>
      <c r="AZ16" s="78">
        <f t="shared" si="28"/>
        <v>16334.362598400003</v>
      </c>
      <c r="BA16" s="78">
        <f t="shared" si="29"/>
        <v>16334.362598400003</v>
      </c>
      <c r="BB16" s="79">
        <f t="shared" si="30"/>
        <v>3406.4487204</v>
      </c>
      <c r="BC16" s="77">
        <f t="shared" si="31"/>
        <v>166.693098</v>
      </c>
      <c r="BD16" s="79"/>
      <c r="BE16" s="78"/>
      <c r="BF16" s="78">
        <f t="shared" si="32"/>
        <v>33516.3657024</v>
      </c>
      <c r="BG16" s="78">
        <f t="shared" si="33"/>
        <v>33516.3657024</v>
      </c>
      <c r="BH16" s="79">
        <f t="shared" si="34"/>
        <v>6989.6685819</v>
      </c>
      <c r="BI16" s="77">
        <f t="shared" si="35"/>
        <v>342.03641550000003</v>
      </c>
      <c r="BJ16" s="79"/>
      <c r="BK16" s="78"/>
      <c r="BL16" s="78">
        <f t="shared" si="36"/>
        <v>386.9252352</v>
      </c>
      <c r="BM16" s="78">
        <f t="shared" si="37"/>
        <v>386.9252352</v>
      </c>
      <c r="BN16" s="79">
        <f t="shared" si="38"/>
        <v>80.6913012</v>
      </c>
      <c r="BO16" s="77">
        <f t="shared" si="39"/>
        <v>3.9485940000000004</v>
      </c>
      <c r="BP16" s="79"/>
      <c r="BQ16" s="78"/>
      <c r="BR16" s="78">
        <f t="shared" si="40"/>
        <v>259.9132032</v>
      </c>
      <c r="BS16" s="78">
        <f t="shared" si="41"/>
        <v>259.9132032</v>
      </c>
      <c r="BT16" s="79">
        <f t="shared" si="42"/>
        <v>54.203584199999995</v>
      </c>
      <c r="BU16" s="77">
        <f t="shared" si="43"/>
        <v>2.6524289999999997</v>
      </c>
      <c r="BV16" s="79"/>
      <c r="BW16" s="78"/>
      <c r="BX16" s="78">
        <f t="shared" si="44"/>
        <v>-38.7188928</v>
      </c>
      <c r="BY16" s="78">
        <f t="shared" si="45"/>
        <v>-38.7188928</v>
      </c>
      <c r="BZ16" s="79">
        <f t="shared" si="46"/>
        <v>-8.0746293</v>
      </c>
      <c r="CA16" s="77">
        <f t="shared" si="47"/>
        <v>-0.3951285</v>
      </c>
      <c r="CB16" s="78"/>
      <c r="CC16" s="78"/>
      <c r="CD16" s="78">
        <f t="shared" si="48"/>
        <v>-25.2266112</v>
      </c>
      <c r="CE16" s="78">
        <f t="shared" si="49"/>
        <v>-25.2266112</v>
      </c>
      <c r="CF16" s="79">
        <f t="shared" si="50"/>
        <v>-5.2608822</v>
      </c>
      <c r="CG16" s="77">
        <f t="shared" si="51"/>
        <v>-0.257439</v>
      </c>
      <c r="CH16" s="79"/>
      <c r="CI16" s="78"/>
      <c r="CJ16" s="78">
        <f t="shared" si="52"/>
        <v>938.1310848</v>
      </c>
      <c r="CK16" s="78">
        <f t="shared" si="53"/>
        <v>938.1310848</v>
      </c>
      <c r="CL16" s="79">
        <f t="shared" si="54"/>
        <v>195.64249379999998</v>
      </c>
      <c r="CM16" s="77">
        <f t="shared" si="55"/>
        <v>9.573681</v>
      </c>
      <c r="CN16" s="79"/>
      <c r="CO16" s="78"/>
      <c r="CP16" s="78">
        <f t="shared" si="56"/>
        <v>5769.158976000001</v>
      </c>
      <c r="CQ16" s="78">
        <f t="shared" si="57"/>
        <v>5769.158976000001</v>
      </c>
      <c r="CR16" s="79">
        <f t="shared" si="58"/>
        <v>1203.128931</v>
      </c>
      <c r="CS16" s="77">
        <f t="shared" si="59"/>
        <v>58.874595</v>
      </c>
      <c r="CT16" s="79"/>
      <c r="CU16" s="78"/>
      <c r="CV16" s="78">
        <f t="shared" si="60"/>
        <v>38756.2932288</v>
      </c>
      <c r="CW16" s="78">
        <f t="shared" si="61"/>
        <v>38756.2932288</v>
      </c>
      <c r="CX16" s="79">
        <f t="shared" si="62"/>
        <v>8082.4289703</v>
      </c>
      <c r="CY16" s="77">
        <f t="shared" si="63"/>
        <v>395.5101735</v>
      </c>
      <c r="CZ16" s="79"/>
      <c r="DA16" s="78"/>
      <c r="DB16" s="78">
        <f t="shared" si="64"/>
        <v>5591.693721599999</v>
      </c>
      <c r="DC16" s="78">
        <f t="shared" si="65"/>
        <v>5591.693721599999</v>
      </c>
      <c r="DD16" s="79">
        <f t="shared" si="66"/>
        <v>1166.1194496</v>
      </c>
      <c r="DE16" s="77">
        <f t="shared" si="67"/>
        <v>57.063552</v>
      </c>
      <c r="DF16" s="79"/>
      <c r="DG16" s="78"/>
      <c r="DH16" s="78">
        <f t="shared" si="68"/>
        <v>11425.4574336</v>
      </c>
      <c r="DI16" s="78">
        <f t="shared" si="69"/>
        <v>11425.4574336</v>
      </c>
      <c r="DJ16" s="79">
        <f t="shared" si="70"/>
        <v>2382.7213716</v>
      </c>
      <c r="DK16" s="77">
        <f t="shared" si="71"/>
        <v>116.597442</v>
      </c>
      <c r="DL16" s="79"/>
      <c r="DM16" s="78"/>
      <c r="DN16" s="78">
        <f t="shared" si="72"/>
        <v>1852.9693056</v>
      </c>
      <c r="DO16" s="78">
        <f t="shared" si="73"/>
        <v>1852.9693056</v>
      </c>
      <c r="DP16" s="79">
        <f t="shared" si="74"/>
        <v>386.4273786</v>
      </c>
      <c r="DQ16" s="77">
        <f t="shared" si="75"/>
        <v>18.909657</v>
      </c>
      <c r="DR16" s="79"/>
      <c r="DS16" s="78"/>
      <c r="DT16" s="78">
        <f t="shared" si="76"/>
        <v>9505.3343616</v>
      </c>
      <c r="DU16" s="78">
        <f t="shared" si="77"/>
        <v>9505.3343616</v>
      </c>
      <c r="DV16" s="79">
        <f t="shared" si="78"/>
        <v>1982.2894146</v>
      </c>
      <c r="DW16" s="77">
        <f t="shared" si="79"/>
        <v>97.002477</v>
      </c>
      <c r="DX16" s="79"/>
      <c r="DY16" s="78"/>
      <c r="DZ16" s="78">
        <f t="shared" si="80"/>
        <v>84.9530304</v>
      </c>
      <c r="EA16" s="78">
        <f t="shared" si="81"/>
        <v>84.9530304</v>
      </c>
      <c r="EB16" s="79">
        <f t="shared" si="82"/>
        <v>17.7165249</v>
      </c>
      <c r="EC16" s="77">
        <f t="shared" si="83"/>
        <v>0.8669505000000001</v>
      </c>
      <c r="ED16" s="79"/>
      <c r="EE16" s="78"/>
      <c r="EF16" s="78">
        <f t="shared" si="84"/>
        <v>111.8057472</v>
      </c>
      <c r="EG16" s="78">
        <f t="shared" si="85"/>
        <v>111.8057472</v>
      </c>
      <c r="EH16" s="79">
        <f t="shared" si="86"/>
        <v>23.3165232</v>
      </c>
      <c r="EI16" s="77">
        <f t="shared" si="87"/>
        <v>1.140984</v>
      </c>
      <c r="EJ16" s="79"/>
      <c r="EK16" s="78"/>
      <c r="EL16" s="78">
        <f t="shared" si="88"/>
        <v>5633.664825600001</v>
      </c>
      <c r="EM16" s="78">
        <f t="shared" si="89"/>
        <v>5633.664825600001</v>
      </c>
      <c r="EN16" s="79">
        <f t="shared" si="90"/>
        <v>1174.8723111000002</v>
      </c>
      <c r="EO16" s="77">
        <f t="shared" si="91"/>
        <v>57.4918695</v>
      </c>
      <c r="EP16" s="79"/>
      <c r="EQ16" s="78"/>
      <c r="ER16" s="78">
        <f t="shared" si="92"/>
        <v>107.235072</v>
      </c>
      <c r="ES16" s="78">
        <f t="shared" si="93"/>
        <v>107.235072</v>
      </c>
      <c r="ET16" s="79">
        <f t="shared" si="94"/>
        <v>22.363332</v>
      </c>
      <c r="EU16" s="77">
        <f t="shared" si="95"/>
        <v>1.0943399999999999</v>
      </c>
      <c r="EV16" s="79"/>
      <c r="EW16" s="78"/>
      <c r="EX16" s="78">
        <f t="shared" si="96"/>
        <v>1602.3292992000002</v>
      </c>
      <c r="EY16" s="78">
        <f t="shared" si="97"/>
        <v>1602.3292992000002</v>
      </c>
      <c r="EZ16" s="79">
        <f t="shared" si="98"/>
        <v>334.15767270000003</v>
      </c>
      <c r="FA16" s="77">
        <f t="shared" si="99"/>
        <v>16.351861500000002</v>
      </c>
      <c r="FB16" s="79"/>
      <c r="FC16" s="78"/>
      <c r="FD16" s="78">
        <f t="shared" si="100"/>
        <v>1113.0912576</v>
      </c>
      <c r="FE16" s="78">
        <f t="shared" si="101"/>
        <v>1113.0912576</v>
      </c>
      <c r="FF16" s="79">
        <f t="shared" si="102"/>
        <v>232.1295531</v>
      </c>
      <c r="FG16" s="77">
        <f t="shared" si="103"/>
        <v>11.3591595</v>
      </c>
      <c r="FH16" s="79"/>
      <c r="FI16" s="78"/>
      <c r="FJ16" s="78">
        <f t="shared" si="104"/>
        <v>434.5217856</v>
      </c>
      <c r="FK16" s="78">
        <f t="shared" si="105"/>
        <v>434.5217856</v>
      </c>
      <c r="FL16" s="79">
        <f t="shared" si="106"/>
        <v>90.6173211</v>
      </c>
      <c r="FM16" s="77">
        <f t="shared" si="107"/>
        <v>4.4343195</v>
      </c>
      <c r="FN16" s="79"/>
      <c r="FO16" s="78"/>
      <c r="FP16" s="78">
        <f t="shared" si="108"/>
        <v>4883.1951168</v>
      </c>
      <c r="FQ16" s="78">
        <f t="shared" si="109"/>
        <v>4883.1951168</v>
      </c>
      <c r="FR16" s="79">
        <f t="shared" si="110"/>
        <v>1018.3656483000001</v>
      </c>
      <c r="FS16" s="77">
        <f t="shared" si="111"/>
        <v>49.8332835</v>
      </c>
      <c r="FT16" s="79"/>
      <c r="FU16" s="78"/>
      <c r="FV16" s="78">
        <f t="shared" si="112"/>
        <v>11005.746393600002</v>
      </c>
      <c r="FW16" s="78">
        <f t="shared" si="113"/>
        <v>11005.746393600002</v>
      </c>
      <c r="FX16" s="79">
        <f t="shared" si="114"/>
        <v>2295.1927566</v>
      </c>
      <c r="FY16" s="77">
        <f t="shared" si="115"/>
        <v>112.314267</v>
      </c>
      <c r="FZ16" s="79"/>
      <c r="GA16" s="78"/>
      <c r="GB16" s="78">
        <f t="shared" si="116"/>
        <v>1404.4718016000002</v>
      </c>
      <c r="GC16" s="78">
        <f t="shared" si="117"/>
        <v>1404.4718016000002</v>
      </c>
      <c r="GD16" s="79">
        <f t="shared" si="118"/>
        <v>292.8954921</v>
      </c>
      <c r="GE16" s="77">
        <f t="shared" si="119"/>
        <v>14.3327145</v>
      </c>
      <c r="GF16" s="79"/>
      <c r="GG16" s="78"/>
      <c r="GH16" s="78">
        <f t="shared" si="120"/>
        <v>2230.3137024000002</v>
      </c>
      <c r="GI16" s="78">
        <f t="shared" si="121"/>
        <v>2230.3137024000002</v>
      </c>
      <c r="GJ16" s="79">
        <f t="shared" si="122"/>
        <v>465.1206444</v>
      </c>
      <c r="GK16" s="77">
        <f t="shared" si="123"/>
        <v>22.760478</v>
      </c>
      <c r="GL16" s="79"/>
      <c r="GM16" s="78"/>
      <c r="GN16" s="78">
        <f t="shared" si="124"/>
        <v>10336.2743232</v>
      </c>
      <c r="GO16" s="78">
        <f t="shared" si="125"/>
        <v>10336.2743232</v>
      </c>
      <c r="GP16" s="79">
        <f t="shared" si="126"/>
        <v>2155.5777417</v>
      </c>
      <c r="GQ16" s="77">
        <f t="shared" si="127"/>
        <v>105.4822665</v>
      </c>
      <c r="GR16" s="79"/>
      <c r="GS16" s="78"/>
      <c r="GT16" s="78">
        <f t="shared" si="128"/>
        <v>548.5689216000001</v>
      </c>
      <c r="GU16" s="78">
        <f t="shared" si="129"/>
        <v>548.5689216000001</v>
      </c>
      <c r="GV16" s="79">
        <f t="shared" si="130"/>
        <v>114.40127460000001</v>
      </c>
      <c r="GW16" s="77">
        <f t="shared" si="131"/>
        <v>5.598177000000001</v>
      </c>
      <c r="GX16" s="79"/>
      <c r="GY16" s="78"/>
      <c r="GZ16" s="78">
        <f t="shared" si="132"/>
        <v>3145.1519232000005</v>
      </c>
      <c r="HA16" s="78">
        <f t="shared" si="133"/>
        <v>3145.1519232000005</v>
      </c>
      <c r="HB16" s="79">
        <f t="shared" si="134"/>
        <v>655.9055292</v>
      </c>
      <c r="HC16" s="77">
        <f t="shared" si="135"/>
        <v>32.096454</v>
      </c>
      <c r="HD16" s="79"/>
      <c r="HE16" s="79"/>
      <c r="HF16" s="79"/>
      <c r="HG16" s="79"/>
      <c r="HH16" s="79"/>
      <c r="HI16" s="79"/>
    </row>
    <row r="17" spans="1:217" s="52" customFormat="1" ht="12">
      <c r="A17" s="51">
        <v>43556</v>
      </c>
      <c r="C17" s="42">
        <v>5000</v>
      </c>
      <c r="D17" s="42">
        <v>439488</v>
      </c>
      <c r="E17" s="77">
        <f t="shared" si="0"/>
        <v>444488</v>
      </c>
      <c r="F17" s="77">
        <v>91653</v>
      </c>
      <c r="G17" s="77">
        <v>4485</v>
      </c>
      <c r="H17" s="79"/>
      <c r="I17" s="79">
        <f>O17+U17+AA17+AG17+AM17+AS17+AY17+BE17+BK17+BQ17+BW17+CC17+CI17+CO17+CU17+DA17+DG17+DM17+DS17+DY17+EE17+EK17+EQ17+EW17+FC17+FI17+FO17+FU17+GA17+GG17+GM17+GS17+GY17</f>
        <v>2714.1295</v>
      </c>
      <c r="J17" s="79">
        <f t="shared" si="1"/>
        <v>238565.46913920002</v>
      </c>
      <c r="K17" s="79">
        <f t="shared" si="2"/>
        <v>241279.59863920003</v>
      </c>
      <c r="L17" s="79">
        <f t="shared" si="3"/>
        <v>49751.6222127</v>
      </c>
      <c r="M17" s="79">
        <f t="shared" si="3"/>
        <v>2434.5741615</v>
      </c>
      <c r="N17" s="79"/>
      <c r="O17" s="78">
        <f t="shared" si="136"/>
        <v>330.726</v>
      </c>
      <c r="P17" s="78">
        <f t="shared" si="4"/>
        <v>29070.0216576</v>
      </c>
      <c r="Q17" s="79">
        <f t="shared" si="5"/>
        <v>29400.747657599997</v>
      </c>
      <c r="R17" s="79">
        <f t="shared" si="6"/>
        <v>6062.4060156000005</v>
      </c>
      <c r="S17" s="77">
        <f t="shared" si="7"/>
        <v>296.661222</v>
      </c>
      <c r="T17" s="79"/>
      <c r="U17" s="78">
        <f t="shared" si="137"/>
        <v>5.648000000000001</v>
      </c>
      <c r="V17" s="78">
        <f t="shared" si="8"/>
        <v>496.4456448</v>
      </c>
      <c r="W17" s="78">
        <f t="shared" si="9"/>
        <v>502.09364480000005</v>
      </c>
      <c r="X17" s="79">
        <f t="shared" si="10"/>
        <v>103.5312288</v>
      </c>
      <c r="Y17" s="77">
        <f t="shared" si="11"/>
        <v>5.066255999999999</v>
      </c>
      <c r="Z17" s="79"/>
      <c r="AA17" s="79">
        <f t="shared" si="138"/>
        <v>25.497</v>
      </c>
      <c r="AB17" s="78">
        <f t="shared" si="12"/>
        <v>2241.1251072</v>
      </c>
      <c r="AC17" s="78">
        <f t="shared" si="13"/>
        <v>2266.6221072</v>
      </c>
      <c r="AD17" s="79">
        <f t="shared" si="14"/>
        <v>467.37530819999995</v>
      </c>
      <c r="AE17" s="77">
        <f t="shared" si="15"/>
        <v>22.870808999999998</v>
      </c>
      <c r="AF17" s="79"/>
      <c r="AG17" s="78">
        <f t="shared" si="139"/>
        <v>443.3985</v>
      </c>
      <c r="AH17" s="78">
        <f t="shared" si="16"/>
        <v>38973.6639936</v>
      </c>
      <c r="AI17" s="78">
        <f t="shared" si="17"/>
        <v>39417.0624936</v>
      </c>
      <c r="AJ17" s="79">
        <f t="shared" si="18"/>
        <v>8127.7605441</v>
      </c>
      <c r="AK17" s="77">
        <f t="shared" si="19"/>
        <v>397.7284545</v>
      </c>
      <c r="AL17" s="79"/>
      <c r="AM17" s="78">
        <f t="shared" si="140"/>
        <v>5.371</v>
      </c>
      <c r="AN17" s="78">
        <f t="shared" si="20"/>
        <v>472.0980096</v>
      </c>
      <c r="AO17" s="78">
        <f t="shared" si="21"/>
        <v>477.4690096</v>
      </c>
      <c r="AP17" s="79">
        <f t="shared" si="22"/>
        <v>98.4536526</v>
      </c>
      <c r="AQ17" s="77">
        <f t="shared" si="23"/>
        <v>4.817787</v>
      </c>
      <c r="AR17" s="78"/>
      <c r="AS17" s="78">
        <f t="shared" si="141"/>
        <v>4.5295000000000005</v>
      </c>
      <c r="AT17" s="78">
        <f t="shared" si="24"/>
        <v>398.13217920000005</v>
      </c>
      <c r="AU17" s="78">
        <f t="shared" si="25"/>
        <v>402.66167920000004</v>
      </c>
      <c r="AV17" s="79">
        <f t="shared" si="26"/>
        <v>83.0284527</v>
      </c>
      <c r="AW17" s="77">
        <f t="shared" si="27"/>
        <v>4.0629615</v>
      </c>
      <c r="AX17" s="79"/>
      <c r="AY17" s="78">
        <f t="shared" si="142"/>
        <v>185.834</v>
      </c>
      <c r="AZ17" s="78">
        <f t="shared" si="28"/>
        <v>16334.362598400003</v>
      </c>
      <c r="BA17" s="78">
        <f t="shared" si="29"/>
        <v>16520.1965984</v>
      </c>
      <c r="BB17" s="79">
        <f t="shared" si="30"/>
        <v>3406.4487204</v>
      </c>
      <c r="BC17" s="77">
        <f t="shared" si="31"/>
        <v>166.693098</v>
      </c>
      <c r="BD17" s="79"/>
      <c r="BE17" s="78">
        <f t="shared" si="143"/>
        <v>381.3115</v>
      </c>
      <c r="BF17" s="78">
        <f t="shared" si="32"/>
        <v>33516.3657024</v>
      </c>
      <c r="BG17" s="78">
        <f t="shared" si="33"/>
        <v>33897.6772024</v>
      </c>
      <c r="BH17" s="79">
        <f t="shared" si="34"/>
        <v>6989.6685819</v>
      </c>
      <c r="BI17" s="77">
        <f t="shared" si="35"/>
        <v>342.03641550000003</v>
      </c>
      <c r="BJ17" s="79"/>
      <c r="BK17" s="78">
        <f t="shared" si="144"/>
        <v>4.402</v>
      </c>
      <c r="BL17" s="78">
        <f t="shared" si="36"/>
        <v>386.9252352</v>
      </c>
      <c r="BM17" s="78">
        <f t="shared" si="37"/>
        <v>391.32723519999996</v>
      </c>
      <c r="BN17" s="79">
        <f t="shared" si="38"/>
        <v>80.6913012</v>
      </c>
      <c r="BO17" s="77">
        <f t="shared" si="39"/>
        <v>3.9485940000000004</v>
      </c>
      <c r="BP17" s="79"/>
      <c r="BQ17" s="78">
        <f t="shared" si="145"/>
        <v>2.957</v>
      </c>
      <c r="BR17" s="78">
        <f t="shared" si="40"/>
        <v>259.9132032</v>
      </c>
      <c r="BS17" s="78">
        <f t="shared" si="41"/>
        <v>262.8702032</v>
      </c>
      <c r="BT17" s="79">
        <f t="shared" si="42"/>
        <v>54.203584199999995</v>
      </c>
      <c r="BU17" s="77">
        <f t="shared" si="43"/>
        <v>2.6524289999999997</v>
      </c>
      <c r="BV17" s="79"/>
      <c r="BW17" s="78">
        <f t="shared" si="146"/>
        <v>-0.44049999999999995</v>
      </c>
      <c r="BX17" s="78">
        <f t="shared" si="44"/>
        <v>-38.7188928</v>
      </c>
      <c r="BY17" s="78">
        <f t="shared" si="45"/>
        <v>-39.1593928</v>
      </c>
      <c r="BZ17" s="79">
        <f t="shared" si="46"/>
        <v>-8.0746293</v>
      </c>
      <c r="CA17" s="77">
        <f t="shared" si="47"/>
        <v>-0.3951285</v>
      </c>
      <c r="CB17" s="78"/>
      <c r="CC17" s="78">
        <f t="shared" si="147"/>
        <v>-0.28700000000000003</v>
      </c>
      <c r="CD17" s="78">
        <f t="shared" si="48"/>
        <v>-25.2266112</v>
      </c>
      <c r="CE17" s="78">
        <f t="shared" si="49"/>
        <v>-25.5136112</v>
      </c>
      <c r="CF17" s="79">
        <f t="shared" si="50"/>
        <v>-5.2608822</v>
      </c>
      <c r="CG17" s="77">
        <f t="shared" si="51"/>
        <v>-0.257439</v>
      </c>
      <c r="CH17" s="79"/>
      <c r="CI17" s="78">
        <f t="shared" si="148"/>
        <v>10.673</v>
      </c>
      <c r="CJ17" s="78">
        <f t="shared" si="52"/>
        <v>938.1310848</v>
      </c>
      <c r="CK17" s="78">
        <f t="shared" si="53"/>
        <v>948.8040848</v>
      </c>
      <c r="CL17" s="79">
        <f t="shared" si="54"/>
        <v>195.64249379999998</v>
      </c>
      <c r="CM17" s="77">
        <f t="shared" si="55"/>
        <v>9.573681</v>
      </c>
      <c r="CN17" s="79"/>
      <c r="CO17" s="78">
        <f t="shared" si="149"/>
        <v>65.635</v>
      </c>
      <c r="CP17" s="78">
        <f t="shared" si="56"/>
        <v>5769.158976000001</v>
      </c>
      <c r="CQ17" s="78">
        <f t="shared" si="57"/>
        <v>5834.793976000001</v>
      </c>
      <c r="CR17" s="79">
        <f t="shared" si="58"/>
        <v>1203.128931</v>
      </c>
      <c r="CS17" s="77">
        <f t="shared" si="59"/>
        <v>58.874595</v>
      </c>
      <c r="CT17" s="79"/>
      <c r="CU17" s="78">
        <f t="shared" si="150"/>
        <v>440.92549999999994</v>
      </c>
      <c r="CV17" s="78">
        <f t="shared" si="60"/>
        <v>38756.2932288</v>
      </c>
      <c r="CW17" s="78">
        <f t="shared" si="61"/>
        <v>39197.2187288</v>
      </c>
      <c r="CX17" s="79">
        <f t="shared" si="62"/>
        <v>8082.4289703</v>
      </c>
      <c r="CY17" s="77">
        <f t="shared" si="63"/>
        <v>395.5101735</v>
      </c>
      <c r="CZ17" s="79"/>
      <c r="DA17" s="78">
        <f t="shared" si="151"/>
        <v>63.61599999999999</v>
      </c>
      <c r="DB17" s="78">
        <f t="shared" si="64"/>
        <v>5591.693721599999</v>
      </c>
      <c r="DC17" s="78">
        <f t="shared" si="65"/>
        <v>5655.309721599999</v>
      </c>
      <c r="DD17" s="79">
        <f t="shared" si="66"/>
        <v>1166.1194496</v>
      </c>
      <c r="DE17" s="77">
        <f t="shared" si="67"/>
        <v>57.063552</v>
      </c>
      <c r="DF17" s="79"/>
      <c r="DG17" s="78">
        <f t="shared" si="152"/>
        <v>129.986</v>
      </c>
      <c r="DH17" s="78">
        <f t="shared" si="68"/>
        <v>11425.4574336</v>
      </c>
      <c r="DI17" s="78">
        <f t="shared" si="69"/>
        <v>11555.443433600001</v>
      </c>
      <c r="DJ17" s="79">
        <f t="shared" si="70"/>
        <v>2382.7213716</v>
      </c>
      <c r="DK17" s="77">
        <f t="shared" si="71"/>
        <v>116.597442</v>
      </c>
      <c r="DL17" s="79"/>
      <c r="DM17" s="78">
        <f t="shared" si="153"/>
        <v>21.081</v>
      </c>
      <c r="DN17" s="78">
        <f t="shared" si="72"/>
        <v>1852.9693056</v>
      </c>
      <c r="DO17" s="78">
        <f t="shared" si="73"/>
        <v>1874.0503056</v>
      </c>
      <c r="DP17" s="79">
        <f t="shared" si="74"/>
        <v>386.4273786</v>
      </c>
      <c r="DQ17" s="77">
        <f t="shared" si="75"/>
        <v>18.909657</v>
      </c>
      <c r="DR17" s="79"/>
      <c r="DS17" s="78">
        <f t="shared" si="154"/>
        <v>108.141</v>
      </c>
      <c r="DT17" s="78">
        <f t="shared" si="76"/>
        <v>9505.3343616</v>
      </c>
      <c r="DU17" s="78">
        <f t="shared" si="77"/>
        <v>9613.4753616</v>
      </c>
      <c r="DV17" s="79">
        <f t="shared" si="78"/>
        <v>1982.2894146</v>
      </c>
      <c r="DW17" s="77">
        <f t="shared" si="79"/>
        <v>97.002477</v>
      </c>
      <c r="DX17" s="79"/>
      <c r="DY17" s="78">
        <f t="shared" si="155"/>
        <v>0.9665</v>
      </c>
      <c r="DZ17" s="78">
        <f t="shared" si="80"/>
        <v>84.9530304</v>
      </c>
      <c r="EA17" s="78">
        <f t="shared" si="81"/>
        <v>85.9195304</v>
      </c>
      <c r="EB17" s="79">
        <f t="shared" si="82"/>
        <v>17.7165249</v>
      </c>
      <c r="EC17" s="77">
        <f t="shared" si="83"/>
        <v>0.8669505000000001</v>
      </c>
      <c r="ED17" s="79"/>
      <c r="EE17" s="78">
        <f t="shared" si="156"/>
        <v>1.272</v>
      </c>
      <c r="EF17" s="78">
        <f t="shared" si="84"/>
        <v>111.8057472</v>
      </c>
      <c r="EG17" s="78">
        <f t="shared" si="85"/>
        <v>113.0777472</v>
      </c>
      <c r="EH17" s="79">
        <f t="shared" si="86"/>
        <v>23.3165232</v>
      </c>
      <c r="EI17" s="77">
        <f t="shared" si="87"/>
        <v>1.140984</v>
      </c>
      <c r="EJ17" s="79"/>
      <c r="EK17" s="78">
        <f t="shared" si="157"/>
        <v>64.0935</v>
      </c>
      <c r="EL17" s="78">
        <f t="shared" si="88"/>
        <v>5633.664825600001</v>
      </c>
      <c r="EM17" s="78">
        <f t="shared" si="89"/>
        <v>5697.758325600001</v>
      </c>
      <c r="EN17" s="79">
        <f t="shared" si="90"/>
        <v>1174.8723111000002</v>
      </c>
      <c r="EO17" s="77">
        <f t="shared" si="91"/>
        <v>57.4918695</v>
      </c>
      <c r="EP17" s="79"/>
      <c r="EQ17" s="78">
        <f t="shared" si="158"/>
        <v>1.2200000000000002</v>
      </c>
      <c r="ER17" s="78">
        <f t="shared" si="92"/>
        <v>107.235072</v>
      </c>
      <c r="ES17" s="78">
        <f t="shared" si="93"/>
        <v>108.455072</v>
      </c>
      <c r="ET17" s="79">
        <f t="shared" si="94"/>
        <v>22.363332</v>
      </c>
      <c r="EU17" s="77">
        <f t="shared" si="95"/>
        <v>1.0943399999999999</v>
      </c>
      <c r="EV17" s="79"/>
      <c r="EW17" s="78">
        <f t="shared" si="159"/>
        <v>18.2295</v>
      </c>
      <c r="EX17" s="78">
        <f t="shared" si="96"/>
        <v>1602.3292992000002</v>
      </c>
      <c r="EY17" s="78">
        <f t="shared" si="97"/>
        <v>1620.5587992</v>
      </c>
      <c r="EZ17" s="79">
        <f t="shared" si="98"/>
        <v>334.15767270000003</v>
      </c>
      <c r="FA17" s="77">
        <f t="shared" si="99"/>
        <v>16.351861500000002</v>
      </c>
      <c r="FB17" s="79"/>
      <c r="FC17" s="78">
        <f t="shared" si="160"/>
        <v>12.663499999999999</v>
      </c>
      <c r="FD17" s="78">
        <f t="shared" si="100"/>
        <v>1113.0912576</v>
      </c>
      <c r="FE17" s="78">
        <f t="shared" si="101"/>
        <v>1125.7547576000002</v>
      </c>
      <c r="FF17" s="79">
        <f t="shared" si="102"/>
        <v>232.1295531</v>
      </c>
      <c r="FG17" s="77">
        <f t="shared" si="103"/>
        <v>11.3591595</v>
      </c>
      <c r="FH17" s="79"/>
      <c r="FI17" s="78">
        <f t="shared" si="161"/>
        <v>4.9435</v>
      </c>
      <c r="FJ17" s="78">
        <f t="shared" si="104"/>
        <v>434.5217856</v>
      </c>
      <c r="FK17" s="78">
        <f t="shared" si="105"/>
        <v>439.4652856</v>
      </c>
      <c r="FL17" s="79">
        <f t="shared" si="106"/>
        <v>90.6173211</v>
      </c>
      <c r="FM17" s="77">
        <f t="shared" si="107"/>
        <v>4.4343195</v>
      </c>
      <c r="FN17" s="79"/>
      <c r="FO17" s="78">
        <f t="shared" si="162"/>
        <v>55.5555</v>
      </c>
      <c r="FP17" s="78">
        <f t="shared" si="108"/>
        <v>4883.1951168</v>
      </c>
      <c r="FQ17" s="78">
        <f t="shared" si="109"/>
        <v>4938.7506168</v>
      </c>
      <c r="FR17" s="79">
        <f t="shared" si="110"/>
        <v>1018.3656483000001</v>
      </c>
      <c r="FS17" s="77">
        <f t="shared" si="111"/>
        <v>49.8332835</v>
      </c>
      <c r="FT17" s="79"/>
      <c r="FU17" s="78">
        <f t="shared" si="163"/>
        <v>125.211</v>
      </c>
      <c r="FV17" s="78">
        <f t="shared" si="112"/>
        <v>11005.746393600002</v>
      </c>
      <c r="FW17" s="78">
        <f t="shared" si="113"/>
        <v>11130.957393600002</v>
      </c>
      <c r="FX17" s="79">
        <f t="shared" si="114"/>
        <v>2295.1927566</v>
      </c>
      <c r="FY17" s="77">
        <f t="shared" si="115"/>
        <v>112.314267</v>
      </c>
      <c r="FZ17" s="79"/>
      <c r="GA17" s="78">
        <f t="shared" si="164"/>
        <v>15.978500000000002</v>
      </c>
      <c r="GB17" s="78">
        <f t="shared" si="116"/>
        <v>1404.4718016000002</v>
      </c>
      <c r="GC17" s="78">
        <f t="shared" si="117"/>
        <v>1420.4503016</v>
      </c>
      <c r="GD17" s="79">
        <f t="shared" si="118"/>
        <v>292.8954921</v>
      </c>
      <c r="GE17" s="77">
        <f t="shared" si="119"/>
        <v>14.3327145</v>
      </c>
      <c r="GF17" s="79"/>
      <c r="GG17" s="78">
        <f t="shared" si="165"/>
        <v>25.374000000000002</v>
      </c>
      <c r="GH17" s="78">
        <f t="shared" si="120"/>
        <v>2230.3137024000002</v>
      </c>
      <c r="GI17" s="78">
        <f t="shared" si="121"/>
        <v>2255.6877024</v>
      </c>
      <c r="GJ17" s="79">
        <f t="shared" si="122"/>
        <v>465.1206444</v>
      </c>
      <c r="GK17" s="77">
        <f t="shared" si="123"/>
        <v>22.760478</v>
      </c>
      <c r="GL17" s="79"/>
      <c r="GM17" s="78">
        <f t="shared" si="166"/>
        <v>117.59450000000001</v>
      </c>
      <c r="GN17" s="78">
        <f t="shared" si="124"/>
        <v>10336.2743232</v>
      </c>
      <c r="GO17" s="78">
        <f t="shared" si="125"/>
        <v>10453.868823199999</v>
      </c>
      <c r="GP17" s="79">
        <f t="shared" si="126"/>
        <v>2155.5777417</v>
      </c>
      <c r="GQ17" s="77">
        <f t="shared" si="127"/>
        <v>105.4822665</v>
      </c>
      <c r="GR17" s="79"/>
      <c r="GS17" s="78">
        <f t="shared" si="167"/>
        <v>6.2410000000000005</v>
      </c>
      <c r="GT17" s="78">
        <f t="shared" si="128"/>
        <v>548.5689216000001</v>
      </c>
      <c r="GU17" s="78">
        <f t="shared" si="129"/>
        <v>554.8099216</v>
      </c>
      <c r="GV17" s="79">
        <f t="shared" si="130"/>
        <v>114.40127460000001</v>
      </c>
      <c r="GW17" s="77">
        <f t="shared" si="131"/>
        <v>5.598177000000001</v>
      </c>
      <c r="GX17" s="79"/>
      <c r="GY17" s="78">
        <f t="shared" si="168"/>
        <v>35.782000000000004</v>
      </c>
      <c r="GZ17" s="78">
        <f t="shared" si="132"/>
        <v>3145.1519232000005</v>
      </c>
      <c r="HA17" s="78">
        <f t="shared" si="133"/>
        <v>3180.9339232000007</v>
      </c>
      <c r="HB17" s="79">
        <f t="shared" si="134"/>
        <v>655.9055292</v>
      </c>
      <c r="HC17" s="77">
        <f t="shared" si="135"/>
        <v>32.096454</v>
      </c>
      <c r="HD17" s="79"/>
      <c r="HE17" s="79"/>
      <c r="HF17" s="79"/>
      <c r="HG17" s="79"/>
      <c r="HH17" s="79"/>
      <c r="HI17" s="79"/>
    </row>
    <row r="18" spans="1:217" s="52" customFormat="1" ht="12">
      <c r="A18" s="51">
        <v>43739</v>
      </c>
      <c r="C18" s="42"/>
      <c r="D18" s="42">
        <v>439413</v>
      </c>
      <c r="E18" s="77">
        <f t="shared" si="0"/>
        <v>439413</v>
      </c>
      <c r="F18" s="77">
        <v>91653</v>
      </c>
      <c r="G18" s="77">
        <v>4485</v>
      </c>
      <c r="H18" s="79"/>
      <c r="I18" s="79"/>
      <c r="J18" s="79">
        <f t="shared" si="1"/>
        <v>238524.7571967001</v>
      </c>
      <c r="K18" s="79">
        <f t="shared" si="2"/>
        <v>238524.7571967001</v>
      </c>
      <c r="L18" s="79">
        <f t="shared" si="3"/>
        <v>49751.6222127</v>
      </c>
      <c r="M18" s="79">
        <f t="shared" si="3"/>
        <v>2434.5741615</v>
      </c>
      <c r="N18" s="79"/>
      <c r="O18" s="78"/>
      <c r="P18" s="78">
        <f t="shared" si="4"/>
        <v>29065.0607676</v>
      </c>
      <c r="Q18" s="79">
        <f t="shared" si="5"/>
        <v>29065.0607676</v>
      </c>
      <c r="R18" s="79">
        <f t="shared" si="6"/>
        <v>6062.4060156000005</v>
      </c>
      <c r="S18" s="77">
        <f t="shared" si="7"/>
        <v>296.661222</v>
      </c>
      <c r="T18" s="79"/>
      <c r="U18" s="78"/>
      <c r="V18" s="78">
        <f t="shared" si="8"/>
        <v>496.3609248</v>
      </c>
      <c r="W18" s="78">
        <f t="shared" si="9"/>
        <v>496.3609248</v>
      </c>
      <c r="X18" s="79">
        <f t="shared" si="10"/>
        <v>103.5312288</v>
      </c>
      <c r="Y18" s="77">
        <f t="shared" si="11"/>
        <v>5.066255999999999</v>
      </c>
      <c r="Z18" s="79"/>
      <c r="AA18" s="79"/>
      <c r="AB18" s="78">
        <f t="shared" si="12"/>
        <v>2240.7426521999996</v>
      </c>
      <c r="AC18" s="78">
        <f t="shared" si="13"/>
        <v>2240.7426521999996</v>
      </c>
      <c r="AD18" s="79">
        <f t="shared" si="14"/>
        <v>467.37530819999995</v>
      </c>
      <c r="AE18" s="77">
        <f t="shared" si="15"/>
        <v>22.870808999999998</v>
      </c>
      <c r="AF18" s="79"/>
      <c r="AG18" s="78"/>
      <c r="AH18" s="78">
        <f t="shared" si="16"/>
        <v>38967.0130161</v>
      </c>
      <c r="AI18" s="78">
        <f t="shared" si="17"/>
        <v>38967.0130161</v>
      </c>
      <c r="AJ18" s="79">
        <f t="shared" si="18"/>
        <v>8127.7605441</v>
      </c>
      <c r="AK18" s="77">
        <f t="shared" si="19"/>
        <v>397.7284545</v>
      </c>
      <c r="AL18" s="79"/>
      <c r="AM18" s="78"/>
      <c r="AN18" s="78">
        <f t="shared" si="20"/>
        <v>472.01744460000003</v>
      </c>
      <c r="AO18" s="78">
        <f t="shared" si="21"/>
        <v>472.01744460000003</v>
      </c>
      <c r="AP18" s="79">
        <f t="shared" si="22"/>
        <v>98.4536526</v>
      </c>
      <c r="AQ18" s="77">
        <f t="shared" si="23"/>
        <v>4.817787</v>
      </c>
      <c r="AR18" s="78"/>
      <c r="AS18" s="78"/>
      <c r="AT18" s="78">
        <f t="shared" si="24"/>
        <v>398.06423670000004</v>
      </c>
      <c r="AU18" s="78">
        <f t="shared" si="25"/>
        <v>398.06423670000004</v>
      </c>
      <c r="AV18" s="79">
        <f t="shared" si="26"/>
        <v>83.0284527</v>
      </c>
      <c r="AW18" s="77">
        <f t="shared" si="27"/>
        <v>4.0629615</v>
      </c>
      <c r="AX18" s="79"/>
      <c r="AY18" s="78"/>
      <c r="AZ18" s="78">
        <f t="shared" si="28"/>
        <v>16331.5750884</v>
      </c>
      <c r="BA18" s="78">
        <f t="shared" si="29"/>
        <v>16331.5750884</v>
      </c>
      <c r="BB18" s="79">
        <f t="shared" si="30"/>
        <v>3406.4487204</v>
      </c>
      <c r="BC18" s="77">
        <f t="shared" si="31"/>
        <v>166.693098</v>
      </c>
      <c r="BD18" s="79"/>
      <c r="BE18" s="78"/>
      <c r="BF18" s="78">
        <f t="shared" si="32"/>
        <v>33510.6460299</v>
      </c>
      <c r="BG18" s="78">
        <f t="shared" si="33"/>
        <v>33510.6460299</v>
      </c>
      <c r="BH18" s="79">
        <f t="shared" si="34"/>
        <v>6989.6685819</v>
      </c>
      <c r="BI18" s="77">
        <f t="shared" si="35"/>
        <v>342.03641550000003</v>
      </c>
      <c r="BJ18" s="79"/>
      <c r="BK18" s="78"/>
      <c r="BL18" s="78">
        <f t="shared" si="36"/>
        <v>386.8592052</v>
      </c>
      <c r="BM18" s="78">
        <f t="shared" si="37"/>
        <v>386.8592052</v>
      </c>
      <c r="BN18" s="79">
        <f t="shared" si="38"/>
        <v>80.6913012</v>
      </c>
      <c r="BO18" s="77">
        <f t="shared" si="39"/>
        <v>3.9485940000000004</v>
      </c>
      <c r="BP18" s="79"/>
      <c r="BQ18" s="78"/>
      <c r="BR18" s="78">
        <f t="shared" si="40"/>
        <v>259.8688482</v>
      </c>
      <c r="BS18" s="78">
        <f t="shared" si="41"/>
        <v>259.8688482</v>
      </c>
      <c r="BT18" s="79">
        <f t="shared" si="42"/>
        <v>54.203584199999995</v>
      </c>
      <c r="BU18" s="77">
        <f t="shared" si="43"/>
        <v>2.6524289999999997</v>
      </c>
      <c r="BV18" s="79"/>
      <c r="BW18" s="78"/>
      <c r="BX18" s="78">
        <f t="shared" si="44"/>
        <v>-38.7122853</v>
      </c>
      <c r="BY18" s="78">
        <f t="shared" si="45"/>
        <v>-38.7122853</v>
      </c>
      <c r="BZ18" s="79">
        <f t="shared" si="46"/>
        <v>-8.0746293</v>
      </c>
      <c r="CA18" s="77">
        <f t="shared" si="47"/>
        <v>-0.3951285</v>
      </c>
      <c r="CB18" s="78"/>
      <c r="CC18" s="78"/>
      <c r="CD18" s="78">
        <f t="shared" si="48"/>
        <v>-25.222306200000002</v>
      </c>
      <c r="CE18" s="78">
        <f t="shared" si="49"/>
        <v>-25.222306200000002</v>
      </c>
      <c r="CF18" s="79">
        <f t="shared" si="50"/>
        <v>-5.2608822</v>
      </c>
      <c r="CG18" s="77">
        <f t="shared" si="51"/>
        <v>-0.257439</v>
      </c>
      <c r="CH18" s="79"/>
      <c r="CI18" s="78"/>
      <c r="CJ18" s="78">
        <f t="shared" si="52"/>
        <v>937.9709898000001</v>
      </c>
      <c r="CK18" s="78">
        <f t="shared" si="53"/>
        <v>937.9709898000001</v>
      </c>
      <c r="CL18" s="79">
        <f t="shared" si="54"/>
        <v>195.64249379999998</v>
      </c>
      <c r="CM18" s="77">
        <f t="shared" si="55"/>
        <v>9.573681</v>
      </c>
      <c r="CN18" s="79"/>
      <c r="CO18" s="78"/>
      <c r="CP18" s="78">
        <f t="shared" si="56"/>
        <v>5768.174451</v>
      </c>
      <c r="CQ18" s="78">
        <f t="shared" si="57"/>
        <v>5768.174451</v>
      </c>
      <c r="CR18" s="79">
        <f t="shared" si="58"/>
        <v>1203.128931</v>
      </c>
      <c r="CS18" s="77">
        <f t="shared" si="59"/>
        <v>58.874595</v>
      </c>
      <c r="CT18" s="79"/>
      <c r="CU18" s="78"/>
      <c r="CV18" s="78">
        <f t="shared" si="60"/>
        <v>38749.6793463</v>
      </c>
      <c r="CW18" s="78">
        <f t="shared" si="61"/>
        <v>38749.6793463</v>
      </c>
      <c r="CX18" s="79">
        <f t="shared" si="62"/>
        <v>8082.4289703</v>
      </c>
      <c r="CY18" s="77">
        <f t="shared" si="63"/>
        <v>395.5101735</v>
      </c>
      <c r="CZ18" s="79"/>
      <c r="DA18" s="78"/>
      <c r="DB18" s="78">
        <f t="shared" si="64"/>
        <v>5590.739481599999</v>
      </c>
      <c r="DC18" s="78">
        <f t="shared" si="65"/>
        <v>5590.739481599999</v>
      </c>
      <c r="DD18" s="79">
        <f t="shared" si="66"/>
        <v>1166.1194496</v>
      </c>
      <c r="DE18" s="77">
        <f t="shared" si="67"/>
        <v>57.063552</v>
      </c>
      <c r="DF18" s="79"/>
      <c r="DG18" s="78"/>
      <c r="DH18" s="78">
        <f t="shared" si="68"/>
        <v>11423.5076436</v>
      </c>
      <c r="DI18" s="78">
        <f t="shared" si="69"/>
        <v>11423.5076436</v>
      </c>
      <c r="DJ18" s="79">
        <f t="shared" si="70"/>
        <v>2382.7213716</v>
      </c>
      <c r="DK18" s="77">
        <f t="shared" si="71"/>
        <v>116.597442</v>
      </c>
      <c r="DL18" s="79"/>
      <c r="DM18" s="78"/>
      <c r="DN18" s="78">
        <f t="shared" si="72"/>
        <v>1852.6530906</v>
      </c>
      <c r="DO18" s="78">
        <f t="shared" si="73"/>
        <v>1852.6530906</v>
      </c>
      <c r="DP18" s="79">
        <f t="shared" si="74"/>
        <v>386.4273786</v>
      </c>
      <c r="DQ18" s="77">
        <f t="shared" si="75"/>
        <v>18.909657</v>
      </c>
      <c r="DR18" s="79"/>
      <c r="DS18" s="78"/>
      <c r="DT18" s="78">
        <f t="shared" si="76"/>
        <v>9503.7122466</v>
      </c>
      <c r="DU18" s="78">
        <f t="shared" si="77"/>
        <v>9503.7122466</v>
      </c>
      <c r="DV18" s="79">
        <f t="shared" si="78"/>
        <v>1982.2894146</v>
      </c>
      <c r="DW18" s="77">
        <f t="shared" si="79"/>
        <v>97.002477</v>
      </c>
      <c r="DX18" s="79"/>
      <c r="DY18" s="78"/>
      <c r="DZ18" s="78">
        <f t="shared" si="80"/>
        <v>84.93853289999998</v>
      </c>
      <c r="EA18" s="78">
        <f t="shared" si="81"/>
        <v>84.93853289999998</v>
      </c>
      <c r="EB18" s="79">
        <f t="shared" si="82"/>
        <v>17.7165249</v>
      </c>
      <c r="EC18" s="77">
        <f t="shared" si="83"/>
        <v>0.8669505000000001</v>
      </c>
      <c r="ED18" s="79"/>
      <c r="EE18" s="78"/>
      <c r="EF18" s="78">
        <f t="shared" si="84"/>
        <v>111.78666720000001</v>
      </c>
      <c r="EG18" s="78">
        <f t="shared" si="85"/>
        <v>111.78666720000001</v>
      </c>
      <c r="EH18" s="79">
        <f t="shared" si="86"/>
        <v>23.3165232</v>
      </c>
      <c r="EI18" s="77">
        <f t="shared" si="87"/>
        <v>1.140984</v>
      </c>
      <c r="EJ18" s="79"/>
      <c r="EK18" s="78"/>
      <c r="EL18" s="78">
        <f t="shared" si="88"/>
        <v>5632.7034231</v>
      </c>
      <c r="EM18" s="78">
        <f t="shared" si="89"/>
        <v>5632.7034231</v>
      </c>
      <c r="EN18" s="79">
        <f t="shared" si="90"/>
        <v>1174.8723111000002</v>
      </c>
      <c r="EO18" s="77">
        <f t="shared" si="91"/>
        <v>57.4918695</v>
      </c>
      <c r="EP18" s="79"/>
      <c r="EQ18" s="78"/>
      <c r="ER18" s="78">
        <f t="shared" si="92"/>
        <v>107.216772</v>
      </c>
      <c r="ES18" s="78">
        <f t="shared" si="93"/>
        <v>107.216772</v>
      </c>
      <c r="ET18" s="79">
        <f t="shared" si="94"/>
        <v>22.363332</v>
      </c>
      <c r="EU18" s="77">
        <f t="shared" si="95"/>
        <v>1.0943399999999999</v>
      </c>
      <c r="EV18" s="79"/>
      <c r="EW18" s="78"/>
      <c r="EX18" s="78">
        <f t="shared" si="96"/>
        <v>1602.0558567</v>
      </c>
      <c r="EY18" s="78">
        <f t="shared" si="97"/>
        <v>1602.0558567</v>
      </c>
      <c r="EZ18" s="79">
        <f t="shared" si="98"/>
        <v>334.15767270000003</v>
      </c>
      <c r="FA18" s="77">
        <f t="shared" si="99"/>
        <v>16.351861500000002</v>
      </c>
      <c r="FB18" s="79"/>
      <c r="FC18" s="78"/>
      <c r="FD18" s="78">
        <f t="shared" si="100"/>
        <v>1112.9013051</v>
      </c>
      <c r="FE18" s="78">
        <f t="shared" si="101"/>
        <v>1112.9013051</v>
      </c>
      <c r="FF18" s="79">
        <f t="shared" si="102"/>
        <v>232.1295531</v>
      </c>
      <c r="FG18" s="77">
        <f t="shared" si="103"/>
        <v>11.3591595</v>
      </c>
      <c r="FH18" s="79"/>
      <c r="FI18" s="78"/>
      <c r="FJ18" s="78">
        <f t="shared" si="104"/>
        <v>434.4476331</v>
      </c>
      <c r="FK18" s="78">
        <f t="shared" si="105"/>
        <v>434.4476331</v>
      </c>
      <c r="FL18" s="79">
        <f t="shared" si="106"/>
        <v>90.6173211</v>
      </c>
      <c r="FM18" s="77">
        <f t="shared" si="107"/>
        <v>4.4343195</v>
      </c>
      <c r="FN18" s="79"/>
      <c r="FO18" s="78"/>
      <c r="FP18" s="78">
        <f t="shared" si="108"/>
        <v>4882.3617843</v>
      </c>
      <c r="FQ18" s="78">
        <f t="shared" si="109"/>
        <v>4882.3617843</v>
      </c>
      <c r="FR18" s="79">
        <f t="shared" si="110"/>
        <v>1018.3656483000001</v>
      </c>
      <c r="FS18" s="77">
        <f t="shared" si="111"/>
        <v>49.8332835</v>
      </c>
      <c r="FT18" s="79"/>
      <c r="FU18" s="78"/>
      <c r="FV18" s="78">
        <f t="shared" si="112"/>
        <v>11003.8682286</v>
      </c>
      <c r="FW18" s="78">
        <f t="shared" si="113"/>
        <v>11003.8682286</v>
      </c>
      <c r="FX18" s="79">
        <f t="shared" si="114"/>
        <v>2295.1927566</v>
      </c>
      <c r="FY18" s="77">
        <f t="shared" si="115"/>
        <v>112.314267</v>
      </c>
      <c r="FZ18" s="79"/>
      <c r="GA18" s="78"/>
      <c r="GB18" s="78">
        <f t="shared" si="116"/>
        <v>1404.2321241</v>
      </c>
      <c r="GC18" s="78">
        <f t="shared" si="117"/>
        <v>1404.2321241</v>
      </c>
      <c r="GD18" s="79">
        <f t="shared" si="118"/>
        <v>292.8954921</v>
      </c>
      <c r="GE18" s="77">
        <f t="shared" si="119"/>
        <v>14.3327145</v>
      </c>
      <c r="GF18" s="79"/>
      <c r="GG18" s="78"/>
      <c r="GH18" s="78">
        <f t="shared" si="120"/>
        <v>2229.9330924000005</v>
      </c>
      <c r="GI18" s="78">
        <f t="shared" si="121"/>
        <v>2229.9330924000005</v>
      </c>
      <c r="GJ18" s="79">
        <f t="shared" si="122"/>
        <v>465.1206444</v>
      </c>
      <c r="GK18" s="77">
        <f t="shared" si="123"/>
        <v>22.760478</v>
      </c>
      <c r="GL18" s="79"/>
      <c r="GM18" s="78"/>
      <c r="GN18" s="78">
        <f t="shared" si="124"/>
        <v>10334.5104057</v>
      </c>
      <c r="GO18" s="78">
        <f t="shared" si="125"/>
        <v>10334.5104057</v>
      </c>
      <c r="GP18" s="79">
        <f t="shared" si="126"/>
        <v>2155.5777417</v>
      </c>
      <c r="GQ18" s="77">
        <f t="shared" si="127"/>
        <v>105.4822665</v>
      </c>
      <c r="GR18" s="79"/>
      <c r="GS18" s="78"/>
      <c r="GT18" s="78">
        <f t="shared" si="128"/>
        <v>548.4753066</v>
      </c>
      <c r="GU18" s="78">
        <f t="shared" si="129"/>
        <v>548.4753066</v>
      </c>
      <c r="GV18" s="79">
        <f t="shared" si="130"/>
        <v>114.40127460000001</v>
      </c>
      <c r="GW18" s="77">
        <f t="shared" si="131"/>
        <v>5.598177000000001</v>
      </c>
      <c r="GX18" s="79"/>
      <c r="GY18" s="78"/>
      <c r="GZ18" s="78">
        <f t="shared" si="132"/>
        <v>3144.6151932000002</v>
      </c>
      <c r="HA18" s="78">
        <f t="shared" si="133"/>
        <v>3144.6151932000002</v>
      </c>
      <c r="HB18" s="79">
        <f t="shared" si="134"/>
        <v>655.9055292</v>
      </c>
      <c r="HC18" s="77">
        <f t="shared" si="135"/>
        <v>32.096454</v>
      </c>
      <c r="HD18" s="79"/>
      <c r="HE18" s="79"/>
      <c r="HF18" s="79"/>
      <c r="HG18" s="79"/>
      <c r="HH18" s="79"/>
      <c r="HI18" s="79"/>
    </row>
    <row r="19" spans="1:217" s="52" customFormat="1" ht="12">
      <c r="A19" s="51">
        <v>43922</v>
      </c>
      <c r="C19" s="42">
        <v>5000</v>
      </c>
      <c r="D19" s="42">
        <v>439413</v>
      </c>
      <c r="E19" s="77">
        <f t="shared" si="0"/>
        <v>444413</v>
      </c>
      <c r="F19" s="77">
        <v>91653</v>
      </c>
      <c r="G19" s="77">
        <v>4485</v>
      </c>
      <c r="H19" s="79"/>
      <c r="I19" s="79">
        <f>O19+U19+AA19+AG19+AM19+AS19+AY19+BE19+BK19+BQ19+BW19+CC19+CI19+CO19+CU19+DA19+DG19+DM19+DS19+DY19+EE19+EK19+EQ19+EW19+FC19+FI19+FO19+FU19+GA19+GG19+GM19+GS19+GY19</f>
        <v>2714.1295</v>
      </c>
      <c r="J19" s="79">
        <f t="shared" si="1"/>
        <v>238524.7571967001</v>
      </c>
      <c r="K19" s="79">
        <f t="shared" si="2"/>
        <v>241238.88669670012</v>
      </c>
      <c r="L19" s="79">
        <f t="shared" si="3"/>
        <v>49751.6222127</v>
      </c>
      <c r="M19" s="79">
        <f t="shared" si="3"/>
        <v>2434.5741615</v>
      </c>
      <c r="N19" s="79"/>
      <c r="O19" s="78">
        <f t="shared" si="136"/>
        <v>330.726</v>
      </c>
      <c r="P19" s="78">
        <f t="shared" si="4"/>
        <v>29065.0607676</v>
      </c>
      <c r="Q19" s="79">
        <f t="shared" si="5"/>
        <v>29395.7867676</v>
      </c>
      <c r="R19" s="79">
        <f t="shared" si="6"/>
        <v>6062.4060156000005</v>
      </c>
      <c r="S19" s="77">
        <f t="shared" si="7"/>
        <v>296.661222</v>
      </c>
      <c r="T19" s="79"/>
      <c r="U19" s="78">
        <f t="shared" si="137"/>
        <v>5.648000000000001</v>
      </c>
      <c r="V19" s="78">
        <f t="shared" si="8"/>
        <v>496.3609248</v>
      </c>
      <c r="W19" s="78">
        <f t="shared" si="9"/>
        <v>502.00892480000005</v>
      </c>
      <c r="X19" s="79">
        <f t="shared" si="10"/>
        <v>103.5312288</v>
      </c>
      <c r="Y19" s="77">
        <f t="shared" si="11"/>
        <v>5.066255999999999</v>
      </c>
      <c r="Z19" s="79"/>
      <c r="AA19" s="79">
        <f t="shared" si="138"/>
        <v>25.497</v>
      </c>
      <c r="AB19" s="78">
        <f t="shared" si="12"/>
        <v>2240.7426521999996</v>
      </c>
      <c r="AC19" s="78">
        <f t="shared" si="13"/>
        <v>2266.2396521999995</v>
      </c>
      <c r="AD19" s="79">
        <f t="shared" si="14"/>
        <v>467.37530819999995</v>
      </c>
      <c r="AE19" s="77">
        <f t="shared" si="15"/>
        <v>22.870808999999998</v>
      </c>
      <c r="AF19" s="79"/>
      <c r="AG19" s="78">
        <f t="shared" si="139"/>
        <v>443.3985</v>
      </c>
      <c r="AH19" s="78">
        <f t="shared" si="16"/>
        <v>38967.0130161</v>
      </c>
      <c r="AI19" s="78">
        <f t="shared" si="17"/>
        <v>39410.4115161</v>
      </c>
      <c r="AJ19" s="79">
        <f t="shared" si="18"/>
        <v>8127.7605441</v>
      </c>
      <c r="AK19" s="77">
        <f t="shared" si="19"/>
        <v>397.7284545</v>
      </c>
      <c r="AL19" s="79"/>
      <c r="AM19" s="78">
        <f t="shared" si="140"/>
        <v>5.371</v>
      </c>
      <c r="AN19" s="78">
        <f t="shared" si="20"/>
        <v>472.01744460000003</v>
      </c>
      <c r="AO19" s="78">
        <f t="shared" si="21"/>
        <v>477.3884446</v>
      </c>
      <c r="AP19" s="79">
        <f t="shared" si="22"/>
        <v>98.4536526</v>
      </c>
      <c r="AQ19" s="77">
        <f t="shared" si="23"/>
        <v>4.817787</v>
      </c>
      <c r="AR19" s="78"/>
      <c r="AS19" s="78">
        <f t="shared" si="141"/>
        <v>4.5295000000000005</v>
      </c>
      <c r="AT19" s="78">
        <f t="shared" si="24"/>
        <v>398.06423670000004</v>
      </c>
      <c r="AU19" s="78">
        <f t="shared" si="25"/>
        <v>402.5937367</v>
      </c>
      <c r="AV19" s="79">
        <f t="shared" si="26"/>
        <v>83.0284527</v>
      </c>
      <c r="AW19" s="77">
        <f t="shared" si="27"/>
        <v>4.0629615</v>
      </c>
      <c r="AX19" s="79"/>
      <c r="AY19" s="78">
        <f t="shared" si="142"/>
        <v>185.834</v>
      </c>
      <c r="AZ19" s="78">
        <f t="shared" si="28"/>
        <v>16331.5750884</v>
      </c>
      <c r="BA19" s="78">
        <f t="shared" si="29"/>
        <v>16517.4090884</v>
      </c>
      <c r="BB19" s="79">
        <f t="shared" si="30"/>
        <v>3406.4487204</v>
      </c>
      <c r="BC19" s="77">
        <f t="shared" si="31"/>
        <v>166.693098</v>
      </c>
      <c r="BD19" s="79"/>
      <c r="BE19" s="78">
        <f t="shared" si="143"/>
        <v>381.3115</v>
      </c>
      <c r="BF19" s="78">
        <f t="shared" si="32"/>
        <v>33510.6460299</v>
      </c>
      <c r="BG19" s="78">
        <f t="shared" si="33"/>
        <v>33891.957529900006</v>
      </c>
      <c r="BH19" s="79">
        <f t="shared" si="34"/>
        <v>6989.6685819</v>
      </c>
      <c r="BI19" s="77">
        <f t="shared" si="35"/>
        <v>342.03641550000003</v>
      </c>
      <c r="BJ19" s="79"/>
      <c r="BK19" s="78">
        <f t="shared" si="144"/>
        <v>4.402</v>
      </c>
      <c r="BL19" s="78">
        <f t="shared" si="36"/>
        <v>386.8592052</v>
      </c>
      <c r="BM19" s="78">
        <f t="shared" si="37"/>
        <v>391.2612052</v>
      </c>
      <c r="BN19" s="79">
        <f t="shared" si="38"/>
        <v>80.6913012</v>
      </c>
      <c r="BO19" s="77">
        <f t="shared" si="39"/>
        <v>3.9485940000000004</v>
      </c>
      <c r="BP19" s="79"/>
      <c r="BQ19" s="78">
        <f t="shared" si="145"/>
        <v>2.957</v>
      </c>
      <c r="BR19" s="78">
        <f t="shared" si="40"/>
        <v>259.8688482</v>
      </c>
      <c r="BS19" s="78">
        <f t="shared" si="41"/>
        <v>262.8258482</v>
      </c>
      <c r="BT19" s="79">
        <f t="shared" si="42"/>
        <v>54.203584199999995</v>
      </c>
      <c r="BU19" s="77">
        <f t="shared" si="43"/>
        <v>2.6524289999999997</v>
      </c>
      <c r="BV19" s="79"/>
      <c r="BW19" s="78">
        <f t="shared" si="146"/>
        <v>-0.44049999999999995</v>
      </c>
      <c r="BX19" s="78">
        <f t="shared" si="44"/>
        <v>-38.7122853</v>
      </c>
      <c r="BY19" s="78">
        <f t="shared" si="45"/>
        <v>-39.1527853</v>
      </c>
      <c r="BZ19" s="79">
        <f t="shared" si="46"/>
        <v>-8.0746293</v>
      </c>
      <c r="CA19" s="77">
        <f t="shared" si="47"/>
        <v>-0.3951285</v>
      </c>
      <c r="CB19" s="78"/>
      <c r="CC19" s="78">
        <f t="shared" si="147"/>
        <v>-0.28700000000000003</v>
      </c>
      <c r="CD19" s="78">
        <f t="shared" si="48"/>
        <v>-25.222306200000002</v>
      </c>
      <c r="CE19" s="78">
        <f t="shared" si="49"/>
        <v>-25.5093062</v>
      </c>
      <c r="CF19" s="79">
        <f t="shared" si="50"/>
        <v>-5.2608822</v>
      </c>
      <c r="CG19" s="77">
        <f t="shared" si="51"/>
        <v>-0.257439</v>
      </c>
      <c r="CH19" s="79"/>
      <c r="CI19" s="78">
        <f t="shared" si="148"/>
        <v>10.673</v>
      </c>
      <c r="CJ19" s="78">
        <f t="shared" si="52"/>
        <v>937.9709898000001</v>
      </c>
      <c r="CK19" s="78">
        <f t="shared" si="53"/>
        <v>948.6439898000001</v>
      </c>
      <c r="CL19" s="79">
        <f t="shared" si="54"/>
        <v>195.64249379999998</v>
      </c>
      <c r="CM19" s="77">
        <f t="shared" si="55"/>
        <v>9.573681</v>
      </c>
      <c r="CN19" s="79"/>
      <c r="CO19" s="78">
        <f t="shared" si="149"/>
        <v>65.635</v>
      </c>
      <c r="CP19" s="78">
        <f t="shared" si="56"/>
        <v>5768.174451</v>
      </c>
      <c r="CQ19" s="78">
        <f t="shared" si="57"/>
        <v>5833.809451</v>
      </c>
      <c r="CR19" s="79">
        <f t="shared" si="58"/>
        <v>1203.128931</v>
      </c>
      <c r="CS19" s="77">
        <f t="shared" si="59"/>
        <v>58.874595</v>
      </c>
      <c r="CT19" s="79"/>
      <c r="CU19" s="78">
        <f t="shared" si="150"/>
        <v>440.92549999999994</v>
      </c>
      <c r="CV19" s="78">
        <f t="shared" si="60"/>
        <v>38749.6793463</v>
      </c>
      <c r="CW19" s="78">
        <f t="shared" si="61"/>
        <v>39190.6048463</v>
      </c>
      <c r="CX19" s="79">
        <f t="shared" si="62"/>
        <v>8082.4289703</v>
      </c>
      <c r="CY19" s="77">
        <f t="shared" si="63"/>
        <v>395.5101735</v>
      </c>
      <c r="CZ19" s="79"/>
      <c r="DA19" s="78">
        <f t="shared" si="151"/>
        <v>63.61599999999999</v>
      </c>
      <c r="DB19" s="78">
        <f t="shared" si="64"/>
        <v>5590.739481599999</v>
      </c>
      <c r="DC19" s="78">
        <f t="shared" si="65"/>
        <v>5654.355481599999</v>
      </c>
      <c r="DD19" s="79">
        <f t="shared" si="66"/>
        <v>1166.1194496</v>
      </c>
      <c r="DE19" s="77">
        <f t="shared" si="67"/>
        <v>57.063552</v>
      </c>
      <c r="DF19" s="79"/>
      <c r="DG19" s="78">
        <f t="shared" si="152"/>
        <v>129.986</v>
      </c>
      <c r="DH19" s="78">
        <f t="shared" si="68"/>
        <v>11423.5076436</v>
      </c>
      <c r="DI19" s="78">
        <f t="shared" si="69"/>
        <v>11553.4936436</v>
      </c>
      <c r="DJ19" s="79">
        <f t="shared" si="70"/>
        <v>2382.7213716</v>
      </c>
      <c r="DK19" s="77">
        <f t="shared" si="71"/>
        <v>116.597442</v>
      </c>
      <c r="DL19" s="79"/>
      <c r="DM19" s="78">
        <f t="shared" si="153"/>
        <v>21.081</v>
      </c>
      <c r="DN19" s="78">
        <f t="shared" si="72"/>
        <v>1852.6530906</v>
      </c>
      <c r="DO19" s="78">
        <f t="shared" si="73"/>
        <v>1873.7340906</v>
      </c>
      <c r="DP19" s="79">
        <f t="shared" si="74"/>
        <v>386.4273786</v>
      </c>
      <c r="DQ19" s="77">
        <f t="shared" si="75"/>
        <v>18.909657</v>
      </c>
      <c r="DR19" s="79"/>
      <c r="DS19" s="78">
        <f t="shared" si="154"/>
        <v>108.141</v>
      </c>
      <c r="DT19" s="78">
        <f t="shared" si="76"/>
        <v>9503.7122466</v>
      </c>
      <c r="DU19" s="78">
        <f t="shared" si="77"/>
        <v>9611.8532466</v>
      </c>
      <c r="DV19" s="79">
        <f t="shared" si="78"/>
        <v>1982.2894146</v>
      </c>
      <c r="DW19" s="77">
        <f t="shared" si="79"/>
        <v>97.002477</v>
      </c>
      <c r="DX19" s="79"/>
      <c r="DY19" s="78">
        <f t="shared" si="155"/>
        <v>0.9665</v>
      </c>
      <c r="DZ19" s="78">
        <f t="shared" si="80"/>
        <v>84.93853289999998</v>
      </c>
      <c r="EA19" s="78">
        <f t="shared" si="81"/>
        <v>85.90503289999998</v>
      </c>
      <c r="EB19" s="79">
        <f t="shared" si="82"/>
        <v>17.7165249</v>
      </c>
      <c r="EC19" s="77">
        <f t="shared" si="83"/>
        <v>0.8669505000000001</v>
      </c>
      <c r="ED19" s="79"/>
      <c r="EE19" s="78">
        <f t="shared" si="156"/>
        <v>1.272</v>
      </c>
      <c r="EF19" s="78">
        <f t="shared" si="84"/>
        <v>111.78666720000001</v>
      </c>
      <c r="EG19" s="78">
        <f t="shared" si="85"/>
        <v>113.05866720000002</v>
      </c>
      <c r="EH19" s="79">
        <f t="shared" si="86"/>
        <v>23.3165232</v>
      </c>
      <c r="EI19" s="77">
        <f t="shared" si="87"/>
        <v>1.140984</v>
      </c>
      <c r="EJ19" s="79"/>
      <c r="EK19" s="78">
        <f t="shared" si="157"/>
        <v>64.0935</v>
      </c>
      <c r="EL19" s="78">
        <f t="shared" si="88"/>
        <v>5632.7034231</v>
      </c>
      <c r="EM19" s="78">
        <f t="shared" si="89"/>
        <v>5696.7969231</v>
      </c>
      <c r="EN19" s="79">
        <f t="shared" si="90"/>
        <v>1174.8723111000002</v>
      </c>
      <c r="EO19" s="77">
        <f t="shared" si="91"/>
        <v>57.4918695</v>
      </c>
      <c r="EP19" s="79"/>
      <c r="EQ19" s="78">
        <f t="shared" si="158"/>
        <v>1.2200000000000002</v>
      </c>
      <c r="ER19" s="78">
        <f t="shared" si="92"/>
        <v>107.216772</v>
      </c>
      <c r="ES19" s="78">
        <f t="shared" si="93"/>
        <v>108.436772</v>
      </c>
      <c r="ET19" s="79">
        <f t="shared" si="94"/>
        <v>22.363332</v>
      </c>
      <c r="EU19" s="77">
        <f t="shared" si="95"/>
        <v>1.0943399999999999</v>
      </c>
      <c r="EV19" s="79"/>
      <c r="EW19" s="78">
        <f t="shared" si="159"/>
        <v>18.2295</v>
      </c>
      <c r="EX19" s="78">
        <f t="shared" si="96"/>
        <v>1602.0558567</v>
      </c>
      <c r="EY19" s="78">
        <f t="shared" si="97"/>
        <v>1620.2853567</v>
      </c>
      <c r="EZ19" s="79">
        <f t="shared" si="98"/>
        <v>334.15767270000003</v>
      </c>
      <c r="FA19" s="77">
        <f t="shared" si="99"/>
        <v>16.351861500000002</v>
      </c>
      <c r="FB19" s="79"/>
      <c r="FC19" s="78">
        <f t="shared" si="160"/>
        <v>12.663499999999999</v>
      </c>
      <c r="FD19" s="78">
        <f t="shared" si="100"/>
        <v>1112.9013051</v>
      </c>
      <c r="FE19" s="78">
        <f t="shared" si="101"/>
        <v>1125.5648050999998</v>
      </c>
      <c r="FF19" s="79">
        <f t="shared" si="102"/>
        <v>232.1295531</v>
      </c>
      <c r="FG19" s="77">
        <f t="shared" si="103"/>
        <v>11.3591595</v>
      </c>
      <c r="FH19" s="79"/>
      <c r="FI19" s="78">
        <f t="shared" si="161"/>
        <v>4.9435</v>
      </c>
      <c r="FJ19" s="78">
        <f t="shared" si="104"/>
        <v>434.4476331</v>
      </c>
      <c r="FK19" s="78">
        <f t="shared" si="105"/>
        <v>439.39113310000005</v>
      </c>
      <c r="FL19" s="79">
        <f t="shared" si="106"/>
        <v>90.6173211</v>
      </c>
      <c r="FM19" s="77">
        <f t="shared" si="107"/>
        <v>4.4343195</v>
      </c>
      <c r="FN19" s="79"/>
      <c r="FO19" s="78">
        <f t="shared" si="162"/>
        <v>55.5555</v>
      </c>
      <c r="FP19" s="78">
        <f t="shared" si="108"/>
        <v>4882.3617843</v>
      </c>
      <c r="FQ19" s="78">
        <f t="shared" si="109"/>
        <v>4937.917284300001</v>
      </c>
      <c r="FR19" s="79">
        <f t="shared" si="110"/>
        <v>1018.3656483000001</v>
      </c>
      <c r="FS19" s="77">
        <f t="shared" si="111"/>
        <v>49.8332835</v>
      </c>
      <c r="FT19" s="79"/>
      <c r="FU19" s="78">
        <f t="shared" si="163"/>
        <v>125.211</v>
      </c>
      <c r="FV19" s="78">
        <f t="shared" si="112"/>
        <v>11003.8682286</v>
      </c>
      <c r="FW19" s="78">
        <f t="shared" si="113"/>
        <v>11129.0792286</v>
      </c>
      <c r="FX19" s="79">
        <f t="shared" si="114"/>
        <v>2295.1927566</v>
      </c>
      <c r="FY19" s="77">
        <f t="shared" si="115"/>
        <v>112.314267</v>
      </c>
      <c r="FZ19" s="79"/>
      <c r="GA19" s="78">
        <f t="shared" si="164"/>
        <v>15.978500000000002</v>
      </c>
      <c r="GB19" s="78">
        <f t="shared" si="116"/>
        <v>1404.2321241</v>
      </c>
      <c r="GC19" s="78">
        <f t="shared" si="117"/>
        <v>1420.2106241</v>
      </c>
      <c r="GD19" s="79">
        <f t="shared" si="118"/>
        <v>292.8954921</v>
      </c>
      <c r="GE19" s="77">
        <f t="shared" si="119"/>
        <v>14.3327145</v>
      </c>
      <c r="GF19" s="79"/>
      <c r="GG19" s="78">
        <f t="shared" si="165"/>
        <v>25.374000000000002</v>
      </c>
      <c r="GH19" s="78">
        <f t="shared" si="120"/>
        <v>2229.9330924000005</v>
      </c>
      <c r="GI19" s="78">
        <f t="shared" si="121"/>
        <v>2255.3070924000003</v>
      </c>
      <c r="GJ19" s="79">
        <f t="shared" si="122"/>
        <v>465.1206444</v>
      </c>
      <c r="GK19" s="77">
        <f t="shared" si="123"/>
        <v>22.760478</v>
      </c>
      <c r="GL19" s="79"/>
      <c r="GM19" s="78">
        <f t="shared" si="166"/>
        <v>117.59450000000001</v>
      </c>
      <c r="GN19" s="78">
        <f t="shared" si="124"/>
        <v>10334.5104057</v>
      </c>
      <c r="GO19" s="78">
        <f t="shared" si="125"/>
        <v>10452.1049057</v>
      </c>
      <c r="GP19" s="79">
        <f t="shared" si="126"/>
        <v>2155.5777417</v>
      </c>
      <c r="GQ19" s="77">
        <f t="shared" si="127"/>
        <v>105.4822665</v>
      </c>
      <c r="GR19" s="79"/>
      <c r="GS19" s="78">
        <f t="shared" si="167"/>
        <v>6.2410000000000005</v>
      </c>
      <c r="GT19" s="78">
        <f t="shared" si="128"/>
        <v>548.4753066</v>
      </c>
      <c r="GU19" s="78">
        <f t="shared" si="129"/>
        <v>554.7163065999999</v>
      </c>
      <c r="GV19" s="79">
        <f t="shared" si="130"/>
        <v>114.40127460000001</v>
      </c>
      <c r="GW19" s="77">
        <f t="shared" si="131"/>
        <v>5.598177000000001</v>
      </c>
      <c r="GX19" s="79"/>
      <c r="GY19" s="78">
        <f t="shared" si="168"/>
        <v>35.782000000000004</v>
      </c>
      <c r="GZ19" s="78">
        <f t="shared" si="132"/>
        <v>3144.6151932000002</v>
      </c>
      <c r="HA19" s="78">
        <f t="shared" si="133"/>
        <v>3180.3971932000004</v>
      </c>
      <c r="HB19" s="79">
        <f t="shared" si="134"/>
        <v>655.9055292</v>
      </c>
      <c r="HC19" s="77">
        <f t="shared" si="135"/>
        <v>32.096454</v>
      </c>
      <c r="HD19" s="79"/>
      <c r="HE19" s="79"/>
      <c r="HF19" s="79"/>
      <c r="HG19" s="79"/>
      <c r="HH19" s="79"/>
      <c r="HI19" s="79"/>
    </row>
    <row r="20" spans="1:217" s="52" customFormat="1" ht="12">
      <c r="A20" s="51">
        <v>44105</v>
      </c>
      <c r="C20" s="42"/>
      <c r="D20" s="42">
        <v>439338</v>
      </c>
      <c r="E20" s="77">
        <f t="shared" si="0"/>
        <v>439338</v>
      </c>
      <c r="F20" s="77">
        <v>91653</v>
      </c>
      <c r="G20" s="77">
        <v>4485</v>
      </c>
      <c r="H20" s="79"/>
      <c r="I20" s="79"/>
      <c r="J20" s="79">
        <f t="shared" si="1"/>
        <v>238484.04525420006</v>
      </c>
      <c r="K20" s="79">
        <f t="shared" si="2"/>
        <v>238484.04525420006</v>
      </c>
      <c r="L20" s="79">
        <f t="shared" si="3"/>
        <v>49751.6222127</v>
      </c>
      <c r="M20" s="79">
        <f t="shared" si="3"/>
        <v>2434.5741615</v>
      </c>
      <c r="N20" s="79"/>
      <c r="O20" s="78"/>
      <c r="P20" s="78">
        <f t="shared" si="4"/>
        <v>29060.099877599998</v>
      </c>
      <c r="Q20" s="79">
        <f t="shared" si="5"/>
        <v>29060.099877599998</v>
      </c>
      <c r="R20" s="79">
        <f t="shared" si="6"/>
        <v>6062.4060156000005</v>
      </c>
      <c r="S20" s="77">
        <f t="shared" si="7"/>
        <v>296.661222</v>
      </c>
      <c r="T20" s="79"/>
      <c r="U20" s="78"/>
      <c r="V20" s="78">
        <f t="shared" si="8"/>
        <v>496.2762048000001</v>
      </c>
      <c r="W20" s="78">
        <f t="shared" si="9"/>
        <v>496.2762048000001</v>
      </c>
      <c r="X20" s="79">
        <f t="shared" si="10"/>
        <v>103.5312288</v>
      </c>
      <c r="Y20" s="77">
        <f t="shared" si="11"/>
        <v>5.066255999999999</v>
      </c>
      <c r="Z20" s="79"/>
      <c r="AA20" s="79"/>
      <c r="AB20" s="78">
        <f t="shared" si="12"/>
        <v>2240.3601971999997</v>
      </c>
      <c r="AC20" s="78">
        <f t="shared" si="13"/>
        <v>2240.3601971999997</v>
      </c>
      <c r="AD20" s="79">
        <f t="shared" si="14"/>
        <v>467.37530819999995</v>
      </c>
      <c r="AE20" s="77">
        <f t="shared" si="15"/>
        <v>22.870808999999998</v>
      </c>
      <c r="AF20" s="79"/>
      <c r="AG20" s="78"/>
      <c r="AH20" s="78">
        <f t="shared" si="16"/>
        <v>38960.3620386</v>
      </c>
      <c r="AI20" s="78">
        <f t="shared" si="17"/>
        <v>38960.3620386</v>
      </c>
      <c r="AJ20" s="79">
        <f t="shared" si="18"/>
        <v>8127.7605441</v>
      </c>
      <c r="AK20" s="77">
        <f t="shared" si="19"/>
        <v>397.7284545</v>
      </c>
      <c r="AL20" s="79"/>
      <c r="AM20" s="78"/>
      <c r="AN20" s="78">
        <f t="shared" si="20"/>
        <v>471.93687960000005</v>
      </c>
      <c r="AO20" s="78">
        <f t="shared" si="21"/>
        <v>471.93687960000005</v>
      </c>
      <c r="AP20" s="79">
        <f t="shared" si="22"/>
        <v>98.4536526</v>
      </c>
      <c r="AQ20" s="77">
        <f t="shared" si="23"/>
        <v>4.817787</v>
      </c>
      <c r="AR20" s="78"/>
      <c r="AS20" s="78"/>
      <c r="AT20" s="78">
        <f t="shared" si="24"/>
        <v>397.9962942</v>
      </c>
      <c r="AU20" s="78">
        <f t="shared" si="25"/>
        <v>397.9962942</v>
      </c>
      <c r="AV20" s="79">
        <f t="shared" si="26"/>
        <v>83.0284527</v>
      </c>
      <c r="AW20" s="77">
        <f t="shared" si="27"/>
        <v>4.0629615</v>
      </c>
      <c r="AX20" s="79"/>
      <c r="AY20" s="78"/>
      <c r="AZ20" s="78">
        <f t="shared" si="28"/>
        <v>16328.7875784</v>
      </c>
      <c r="BA20" s="78">
        <f t="shared" si="29"/>
        <v>16328.7875784</v>
      </c>
      <c r="BB20" s="79">
        <f t="shared" si="30"/>
        <v>3406.4487204</v>
      </c>
      <c r="BC20" s="77">
        <f t="shared" si="31"/>
        <v>166.693098</v>
      </c>
      <c r="BD20" s="79"/>
      <c r="BE20" s="78"/>
      <c r="BF20" s="78">
        <f t="shared" si="32"/>
        <v>33504.9263574</v>
      </c>
      <c r="BG20" s="78">
        <f t="shared" si="33"/>
        <v>33504.9263574</v>
      </c>
      <c r="BH20" s="79">
        <f t="shared" si="34"/>
        <v>6989.6685819</v>
      </c>
      <c r="BI20" s="77">
        <f t="shared" si="35"/>
        <v>342.03641550000003</v>
      </c>
      <c r="BJ20" s="79"/>
      <c r="BK20" s="78"/>
      <c r="BL20" s="78">
        <f t="shared" si="36"/>
        <v>386.79317519999995</v>
      </c>
      <c r="BM20" s="78">
        <f t="shared" si="37"/>
        <v>386.79317519999995</v>
      </c>
      <c r="BN20" s="79">
        <f t="shared" si="38"/>
        <v>80.6913012</v>
      </c>
      <c r="BO20" s="77">
        <f t="shared" si="39"/>
        <v>3.9485940000000004</v>
      </c>
      <c r="BP20" s="79"/>
      <c r="BQ20" s="78"/>
      <c r="BR20" s="78">
        <f t="shared" si="40"/>
        <v>259.8244932</v>
      </c>
      <c r="BS20" s="78">
        <f t="shared" si="41"/>
        <v>259.8244932</v>
      </c>
      <c r="BT20" s="79">
        <f t="shared" si="42"/>
        <v>54.203584199999995</v>
      </c>
      <c r="BU20" s="77">
        <f t="shared" si="43"/>
        <v>2.6524289999999997</v>
      </c>
      <c r="BV20" s="79"/>
      <c r="BW20" s="78"/>
      <c r="BX20" s="78">
        <f t="shared" si="44"/>
        <v>-38.7056778</v>
      </c>
      <c r="BY20" s="78">
        <f t="shared" si="45"/>
        <v>-38.7056778</v>
      </c>
      <c r="BZ20" s="79">
        <f t="shared" si="46"/>
        <v>-8.0746293</v>
      </c>
      <c r="CA20" s="77">
        <f t="shared" si="47"/>
        <v>-0.3951285</v>
      </c>
      <c r="CB20" s="78"/>
      <c r="CC20" s="78"/>
      <c r="CD20" s="78">
        <f t="shared" si="48"/>
        <v>-25.218001200000003</v>
      </c>
      <c r="CE20" s="78">
        <f t="shared" si="49"/>
        <v>-25.218001200000003</v>
      </c>
      <c r="CF20" s="79">
        <f t="shared" si="50"/>
        <v>-5.2608822</v>
      </c>
      <c r="CG20" s="77">
        <f t="shared" si="51"/>
        <v>-0.257439</v>
      </c>
      <c r="CH20" s="79"/>
      <c r="CI20" s="78"/>
      <c r="CJ20" s="78">
        <f t="shared" si="52"/>
        <v>937.8108948000001</v>
      </c>
      <c r="CK20" s="78">
        <f t="shared" si="53"/>
        <v>937.8108948000001</v>
      </c>
      <c r="CL20" s="79">
        <f t="shared" si="54"/>
        <v>195.64249379999998</v>
      </c>
      <c r="CM20" s="77">
        <f t="shared" si="55"/>
        <v>9.573681</v>
      </c>
      <c r="CN20" s="79"/>
      <c r="CO20" s="78"/>
      <c r="CP20" s="78">
        <f t="shared" si="56"/>
        <v>5767.189926</v>
      </c>
      <c r="CQ20" s="78">
        <f t="shared" si="57"/>
        <v>5767.189926</v>
      </c>
      <c r="CR20" s="79">
        <f t="shared" si="58"/>
        <v>1203.128931</v>
      </c>
      <c r="CS20" s="77">
        <f t="shared" si="59"/>
        <v>58.874595</v>
      </c>
      <c r="CT20" s="79"/>
      <c r="CU20" s="78"/>
      <c r="CV20" s="78">
        <f t="shared" si="60"/>
        <v>38743.0654638</v>
      </c>
      <c r="CW20" s="78">
        <f t="shared" si="61"/>
        <v>38743.0654638</v>
      </c>
      <c r="CX20" s="79">
        <f t="shared" si="62"/>
        <v>8082.4289703</v>
      </c>
      <c r="CY20" s="77">
        <f t="shared" si="63"/>
        <v>395.5101735</v>
      </c>
      <c r="CZ20" s="79"/>
      <c r="DA20" s="78"/>
      <c r="DB20" s="78">
        <f t="shared" si="64"/>
        <v>5589.785241599999</v>
      </c>
      <c r="DC20" s="78">
        <f t="shared" si="65"/>
        <v>5589.785241599999</v>
      </c>
      <c r="DD20" s="79">
        <f t="shared" si="66"/>
        <v>1166.1194496</v>
      </c>
      <c r="DE20" s="77">
        <f t="shared" si="67"/>
        <v>57.063552</v>
      </c>
      <c r="DF20" s="79"/>
      <c r="DG20" s="78"/>
      <c r="DH20" s="78">
        <f t="shared" si="68"/>
        <v>11421.557853600001</v>
      </c>
      <c r="DI20" s="78">
        <f t="shared" si="69"/>
        <v>11421.557853600001</v>
      </c>
      <c r="DJ20" s="79">
        <f t="shared" si="70"/>
        <v>2382.7213716</v>
      </c>
      <c r="DK20" s="77">
        <f t="shared" si="71"/>
        <v>116.597442</v>
      </c>
      <c r="DL20" s="79"/>
      <c r="DM20" s="78"/>
      <c r="DN20" s="78">
        <f t="shared" si="72"/>
        <v>1852.3368756</v>
      </c>
      <c r="DO20" s="78">
        <f t="shared" si="73"/>
        <v>1852.3368756</v>
      </c>
      <c r="DP20" s="79">
        <f t="shared" si="74"/>
        <v>386.4273786</v>
      </c>
      <c r="DQ20" s="77">
        <f t="shared" si="75"/>
        <v>18.909657</v>
      </c>
      <c r="DR20" s="79"/>
      <c r="DS20" s="78"/>
      <c r="DT20" s="78">
        <f t="shared" si="76"/>
        <v>9502.0901316</v>
      </c>
      <c r="DU20" s="78">
        <f t="shared" si="77"/>
        <v>9502.0901316</v>
      </c>
      <c r="DV20" s="79">
        <f t="shared" si="78"/>
        <v>1982.2894146</v>
      </c>
      <c r="DW20" s="77">
        <f t="shared" si="79"/>
        <v>97.002477</v>
      </c>
      <c r="DX20" s="79"/>
      <c r="DY20" s="78"/>
      <c r="DZ20" s="78">
        <f t="shared" si="80"/>
        <v>84.9240354</v>
      </c>
      <c r="EA20" s="78">
        <f t="shared" si="81"/>
        <v>84.9240354</v>
      </c>
      <c r="EB20" s="79">
        <f t="shared" si="82"/>
        <v>17.7165249</v>
      </c>
      <c r="EC20" s="77">
        <f t="shared" si="83"/>
        <v>0.8669505000000001</v>
      </c>
      <c r="ED20" s="79"/>
      <c r="EE20" s="78"/>
      <c r="EF20" s="78">
        <f t="shared" si="84"/>
        <v>111.7675872</v>
      </c>
      <c r="EG20" s="78">
        <f t="shared" si="85"/>
        <v>111.7675872</v>
      </c>
      <c r="EH20" s="79">
        <f t="shared" si="86"/>
        <v>23.3165232</v>
      </c>
      <c r="EI20" s="77">
        <f t="shared" si="87"/>
        <v>1.140984</v>
      </c>
      <c r="EJ20" s="79"/>
      <c r="EK20" s="78"/>
      <c r="EL20" s="78">
        <f t="shared" si="88"/>
        <v>5631.742020600001</v>
      </c>
      <c r="EM20" s="78">
        <f t="shared" si="89"/>
        <v>5631.742020600001</v>
      </c>
      <c r="EN20" s="79">
        <f t="shared" si="90"/>
        <v>1174.8723111000002</v>
      </c>
      <c r="EO20" s="77">
        <f t="shared" si="91"/>
        <v>57.4918695</v>
      </c>
      <c r="EP20" s="79"/>
      <c r="EQ20" s="78"/>
      <c r="ER20" s="78">
        <f t="shared" si="92"/>
        <v>107.198472</v>
      </c>
      <c r="ES20" s="78">
        <f t="shared" si="93"/>
        <v>107.198472</v>
      </c>
      <c r="ET20" s="79">
        <f t="shared" si="94"/>
        <v>22.363332</v>
      </c>
      <c r="EU20" s="77">
        <f t="shared" si="95"/>
        <v>1.0943399999999999</v>
      </c>
      <c r="EV20" s="79"/>
      <c r="EW20" s="78"/>
      <c r="EX20" s="78">
        <f t="shared" si="96"/>
        <v>1601.7824142</v>
      </c>
      <c r="EY20" s="78">
        <f t="shared" si="97"/>
        <v>1601.7824142</v>
      </c>
      <c r="EZ20" s="79">
        <f t="shared" si="98"/>
        <v>334.15767270000003</v>
      </c>
      <c r="FA20" s="77">
        <f t="shared" si="99"/>
        <v>16.351861500000002</v>
      </c>
      <c r="FB20" s="79"/>
      <c r="FC20" s="78"/>
      <c r="FD20" s="78">
        <f t="shared" si="100"/>
        <v>1112.7113526</v>
      </c>
      <c r="FE20" s="78">
        <f t="shared" si="101"/>
        <v>1112.7113526</v>
      </c>
      <c r="FF20" s="79">
        <f t="shared" si="102"/>
        <v>232.1295531</v>
      </c>
      <c r="FG20" s="77">
        <f t="shared" si="103"/>
        <v>11.3591595</v>
      </c>
      <c r="FH20" s="79"/>
      <c r="FI20" s="78"/>
      <c r="FJ20" s="78">
        <f t="shared" si="104"/>
        <v>434.3734806</v>
      </c>
      <c r="FK20" s="78">
        <f t="shared" si="105"/>
        <v>434.3734806</v>
      </c>
      <c r="FL20" s="79">
        <f t="shared" si="106"/>
        <v>90.6173211</v>
      </c>
      <c r="FM20" s="77">
        <f t="shared" si="107"/>
        <v>4.4343195</v>
      </c>
      <c r="FN20" s="79"/>
      <c r="FO20" s="78"/>
      <c r="FP20" s="78">
        <f t="shared" si="108"/>
        <v>4881.5284518</v>
      </c>
      <c r="FQ20" s="78">
        <f t="shared" si="109"/>
        <v>4881.5284518</v>
      </c>
      <c r="FR20" s="79">
        <f t="shared" si="110"/>
        <v>1018.3656483000001</v>
      </c>
      <c r="FS20" s="77">
        <f t="shared" si="111"/>
        <v>49.8332835</v>
      </c>
      <c r="FT20" s="79"/>
      <c r="FU20" s="78"/>
      <c r="FV20" s="78">
        <f t="shared" si="112"/>
        <v>11001.9900636</v>
      </c>
      <c r="FW20" s="78">
        <f t="shared" si="113"/>
        <v>11001.9900636</v>
      </c>
      <c r="FX20" s="79">
        <f t="shared" si="114"/>
        <v>2295.1927566</v>
      </c>
      <c r="FY20" s="77">
        <f t="shared" si="115"/>
        <v>112.314267</v>
      </c>
      <c r="FZ20" s="79"/>
      <c r="GA20" s="78"/>
      <c r="GB20" s="78">
        <f t="shared" si="116"/>
        <v>1403.9924466</v>
      </c>
      <c r="GC20" s="78">
        <f t="shared" si="117"/>
        <v>1403.9924466</v>
      </c>
      <c r="GD20" s="79">
        <f t="shared" si="118"/>
        <v>292.8954921</v>
      </c>
      <c r="GE20" s="77">
        <f t="shared" si="119"/>
        <v>14.3327145</v>
      </c>
      <c r="GF20" s="79"/>
      <c r="GG20" s="78"/>
      <c r="GH20" s="78">
        <f t="shared" si="120"/>
        <v>2229.5524824000004</v>
      </c>
      <c r="GI20" s="78">
        <f t="shared" si="121"/>
        <v>2229.5524824000004</v>
      </c>
      <c r="GJ20" s="79">
        <f t="shared" si="122"/>
        <v>465.1206444</v>
      </c>
      <c r="GK20" s="77">
        <f t="shared" si="123"/>
        <v>22.760478</v>
      </c>
      <c r="GL20" s="79"/>
      <c r="GM20" s="78"/>
      <c r="GN20" s="78">
        <f t="shared" si="124"/>
        <v>10332.7464882</v>
      </c>
      <c r="GO20" s="78">
        <f t="shared" si="125"/>
        <v>10332.7464882</v>
      </c>
      <c r="GP20" s="79">
        <f t="shared" si="126"/>
        <v>2155.5777417</v>
      </c>
      <c r="GQ20" s="77">
        <f t="shared" si="127"/>
        <v>105.4822665</v>
      </c>
      <c r="GR20" s="79"/>
      <c r="GS20" s="78"/>
      <c r="GT20" s="78">
        <f t="shared" si="128"/>
        <v>548.3816916</v>
      </c>
      <c r="GU20" s="78">
        <f t="shared" si="129"/>
        <v>548.3816916</v>
      </c>
      <c r="GV20" s="79">
        <f t="shared" si="130"/>
        <v>114.40127460000001</v>
      </c>
      <c r="GW20" s="77">
        <f t="shared" si="131"/>
        <v>5.598177000000001</v>
      </c>
      <c r="GX20" s="79"/>
      <c r="GY20" s="78"/>
      <c r="GZ20" s="78">
        <f t="shared" si="132"/>
        <v>3144.0784632</v>
      </c>
      <c r="HA20" s="78">
        <f t="shared" si="133"/>
        <v>3144.0784632</v>
      </c>
      <c r="HB20" s="79">
        <f t="shared" si="134"/>
        <v>655.9055292</v>
      </c>
      <c r="HC20" s="77">
        <f t="shared" si="135"/>
        <v>32.096454</v>
      </c>
      <c r="HD20" s="79"/>
      <c r="HE20" s="79"/>
      <c r="HF20" s="79"/>
      <c r="HG20" s="79"/>
      <c r="HH20" s="79"/>
      <c r="HI20" s="79"/>
    </row>
    <row r="21" spans="1:217" s="52" customFormat="1" ht="12">
      <c r="A21" s="51">
        <v>44287</v>
      </c>
      <c r="C21" s="42">
        <v>5000</v>
      </c>
      <c r="D21" s="42">
        <v>439338</v>
      </c>
      <c r="E21" s="77">
        <f t="shared" si="0"/>
        <v>444338</v>
      </c>
      <c r="F21" s="77">
        <v>91653</v>
      </c>
      <c r="G21" s="77">
        <v>4485</v>
      </c>
      <c r="H21" s="79"/>
      <c r="I21" s="79">
        <f>O21+U21+AA21+AG21+AM21+AS21+AY21+BE21+BK21+BQ21+BW21+CC21+CI21+CO21+CU21+DA21+DG21+DM21+DS21+DY21+EE21+EK21+EQ21+EW21+FC21+FI21+FO21+FU21+GA21+GG21+GM21+GS21+GY21</f>
        <v>2714.1295</v>
      </c>
      <c r="J21" s="79">
        <f t="shared" si="1"/>
        <v>238484.04525420006</v>
      </c>
      <c r="K21" s="79">
        <f t="shared" si="2"/>
        <v>241198.17475420007</v>
      </c>
      <c r="L21" s="79">
        <f t="shared" si="3"/>
        <v>49751.6222127</v>
      </c>
      <c r="M21" s="79">
        <f t="shared" si="3"/>
        <v>2434.5741615</v>
      </c>
      <c r="N21" s="79"/>
      <c r="O21" s="78">
        <f t="shared" si="136"/>
        <v>330.726</v>
      </c>
      <c r="P21" s="78">
        <f t="shared" si="4"/>
        <v>29060.099877599998</v>
      </c>
      <c r="Q21" s="79">
        <f t="shared" si="5"/>
        <v>29390.825877599997</v>
      </c>
      <c r="R21" s="79">
        <f t="shared" si="6"/>
        <v>6062.4060156000005</v>
      </c>
      <c r="S21" s="77">
        <f t="shared" si="7"/>
        <v>296.661222</v>
      </c>
      <c r="T21" s="79"/>
      <c r="U21" s="78">
        <f t="shared" si="137"/>
        <v>5.648000000000001</v>
      </c>
      <c r="V21" s="78">
        <f t="shared" si="8"/>
        <v>496.2762048000001</v>
      </c>
      <c r="W21" s="78">
        <f t="shared" si="9"/>
        <v>501.9242048000001</v>
      </c>
      <c r="X21" s="79">
        <f t="shared" si="10"/>
        <v>103.5312288</v>
      </c>
      <c r="Y21" s="77">
        <f t="shared" si="11"/>
        <v>5.066255999999999</v>
      </c>
      <c r="Z21" s="79"/>
      <c r="AA21" s="79">
        <f t="shared" si="138"/>
        <v>25.497</v>
      </c>
      <c r="AB21" s="78">
        <f t="shared" si="12"/>
        <v>2240.3601971999997</v>
      </c>
      <c r="AC21" s="78">
        <f t="shared" si="13"/>
        <v>2265.8571971999995</v>
      </c>
      <c r="AD21" s="79">
        <f t="shared" si="14"/>
        <v>467.37530819999995</v>
      </c>
      <c r="AE21" s="77">
        <f t="shared" si="15"/>
        <v>22.870808999999998</v>
      </c>
      <c r="AF21" s="79"/>
      <c r="AG21" s="78">
        <f t="shared" si="139"/>
        <v>443.3985</v>
      </c>
      <c r="AH21" s="78">
        <f t="shared" si="16"/>
        <v>38960.3620386</v>
      </c>
      <c r="AI21" s="78">
        <f t="shared" si="17"/>
        <v>39403.7605386</v>
      </c>
      <c r="AJ21" s="79">
        <f t="shared" si="18"/>
        <v>8127.7605441</v>
      </c>
      <c r="AK21" s="77">
        <f t="shared" si="19"/>
        <v>397.7284545</v>
      </c>
      <c r="AL21" s="79"/>
      <c r="AM21" s="78">
        <f t="shared" si="140"/>
        <v>5.371</v>
      </c>
      <c r="AN21" s="78">
        <f t="shared" si="20"/>
        <v>471.93687960000005</v>
      </c>
      <c r="AO21" s="78">
        <f t="shared" si="21"/>
        <v>477.30787960000004</v>
      </c>
      <c r="AP21" s="79">
        <f t="shared" si="22"/>
        <v>98.4536526</v>
      </c>
      <c r="AQ21" s="77">
        <f t="shared" si="23"/>
        <v>4.817787</v>
      </c>
      <c r="AR21" s="78"/>
      <c r="AS21" s="78">
        <f t="shared" si="141"/>
        <v>4.5295000000000005</v>
      </c>
      <c r="AT21" s="78">
        <f t="shared" si="24"/>
        <v>397.9962942</v>
      </c>
      <c r="AU21" s="78">
        <f t="shared" si="25"/>
        <v>402.5257942</v>
      </c>
      <c r="AV21" s="79">
        <f t="shared" si="26"/>
        <v>83.0284527</v>
      </c>
      <c r="AW21" s="77">
        <f t="shared" si="27"/>
        <v>4.0629615</v>
      </c>
      <c r="AX21" s="79"/>
      <c r="AY21" s="78">
        <f t="shared" si="142"/>
        <v>185.834</v>
      </c>
      <c r="AZ21" s="78">
        <f t="shared" si="28"/>
        <v>16328.7875784</v>
      </c>
      <c r="BA21" s="78">
        <f t="shared" si="29"/>
        <v>16514.6215784</v>
      </c>
      <c r="BB21" s="79">
        <f t="shared" si="30"/>
        <v>3406.4487204</v>
      </c>
      <c r="BC21" s="77">
        <f t="shared" si="31"/>
        <v>166.693098</v>
      </c>
      <c r="BD21" s="79"/>
      <c r="BE21" s="78">
        <f t="shared" si="143"/>
        <v>381.3115</v>
      </c>
      <c r="BF21" s="78">
        <f t="shared" si="32"/>
        <v>33504.9263574</v>
      </c>
      <c r="BG21" s="78">
        <f t="shared" si="33"/>
        <v>33886.2378574</v>
      </c>
      <c r="BH21" s="79">
        <f t="shared" si="34"/>
        <v>6989.6685819</v>
      </c>
      <c r="BI21" s="77">
        <f t="shared" si="35"/>
        <v>342.03641550000003</v>
      </c>
      <c r="BJ21" s="79"/>
      <c r="BK21" s="78">
        <f t="shared" si="144"/>
        <v>4.402</v>
      </c>
      <c r="BL21" s="78">
        <f t="shared" si="36"/>
        <v>386.79317519999995</v>
      </c>
      <c r="BM21" s="78">
        <f t="shared" si="37"/>
        <v>391.19517519999994</v>
      </c>
      <c r="BN21" s="79">
        <f t="shared" si="38"/>
        <v>80.6913012</v>
      </c>
      <c r="BO21" s="77">
        <f t="shared" si="39"/>
        <v>3.9485940000000004</v>
      </c>
      <c r="BP21" s="79"/>
      <c r="BQ21" s="78">
        <f t="shared" si="145"/>
        <v>2.957</v>
      </c>
      <c r="BR21" s="78">
        <f t="shared" si="40"/>
        <v>259.8244932</v>
      </c>
      <c r="BS21" s="78">
        <f t="shared" si="41"/>
        <v>262.7814932</v>
      </c>
      <c r="BT21" s="79">
        <f t="shared" si="42"/>
        <v>54.203584199999995</v>
      </c>
      <c r="BU21" s="77">
        <f t="shared" si="43"/>
        <v>2.6524289999999997</v>
      </c>
      <c r="BV21" s="79"/>
      <c r="BW21" s="78">
        <f t="shared" si="146"/>
        <v>-0.44049999999999995</v>
      </c>
      <c r="BX21" s="78">
        <f t="shared" si="44"/>
        <v>-38.7056778</v>
      </c>
      <c r="BY21" s="78">
        <f t="shared" si="45"/>
        <v>-39.1461778</v>
      </c>
      <c r="BZ21" s="79">
        <f t="shared" si="46"/>
        <v>-8.0746293</v>
      </c>
      <c r="CA21" s="77">
        <f t="shared" si="47"/>
        <v>-0.3951285</v>
      </c>
      <c r="CB21" s="78"/>
      <c r="CC21" s="78">
        <f t="shared" si="147"/>
        <v>-0.28700000000000003</v>
      </c>
      <c r="CD21" s="78">
        <f t="shared" si="48"/>
        <v>-25.218001200000003</v>
      </c>
      <c r="CE21" s="78">
        <f t="shared" si="49"/>
        <v>-25.505001200000002</v>
      </c>
      <c r="CF21" s="79">
        <f t="shared" si="50"/>
        <v>-5.2608822</v>
      </c>
      <c r="CG21" s="77">
        <f t="shared" si="51"/>
        <v>-0.257439</v>
      </c>
      <c r="CH21" s="79"/>
      <c r="CI21" s="78">
        <f t="shared" si="148"/>
        <v>10.673</v>
      </c>
      <c r="CJ21" s="78">
        <f t="shared" si="52"/>
        <v>937.8108948000001</v>
      </c>
      <c r="CK21" s="78">
        <f t="shared" si="53"/>
        <v>948.4838948000001</v>
      </c>
      <c r="CL21" s="79">
        <f t="shared" si="54"/>
        <v>195.64249379999998</v>
      </c>
      <c r="CM21" s="77">
        <f t="shared" si="55"/>
        <v>9.573681</v>
      </c>
      <c r="CN21" s="79"/>
      <c r="CO21" s="78">
        <f t="shared" si="149"/>
        <v>65.635</v>
      </c>
      <c r="CP21" s="78">
        <f t="shared" si="56"/>
        <v>5767.189926</v>
      </c>
      <c r="CQ21" s="78">
        <f t="shared" si="57"/>
        <v>5832.824926</v>
      </c>
      <c r="CR21" s="79">
        <f t="shared" si="58"/>
        <v>1203.128931</v>
      </c>
      <c r="CS21" s="77">
        <f t="shared" si="59"/>
        <v>58.874595</v>
      </c>
      <c r="CT21" s="79"/>
      <c r="CU21" s="78">
        <f t="shared" si="150"/>
        <v>440.92549999999994</v>
      </c>
      <c r="CV21" s="78">
        <f t="shared" si="60"/>
        <v>38743.0654638</v>
      </c>
      <c r="CW21" s="78">
        <f t="shared" si="61"/>
        <v>39183.990963799995</v>
      </c>
      <c r="CX21" s="79">
        <f t="shared" si="62"/>
        <v>8082.4289703</v>
      </c>
      <c r="CY21" s="77">
        <f t="shared" si="63"/>
        <v>395.5101735</v>
      </c>
      <c r="CZ21" s="79"/>
      <c r="DA21" s="78">
        <f t="shared" si="151"/>
        <v>63.61599999999999</v>
      </c>
      <c r="DB21" s="78">
        <f t="shared" si="64"/>
        <v>5589.785241599999</v>
      </c>
      <c r="DC21" s="78">
        <f t="shared" si="65"/>
        <v>5653.401241599999</v>
      </c>
      <c r="DD21" s="79">
        <f t="shared" si="66"/>
        <v>1166.1194496</v>
      </c>
      <c r="DE21" s="77">
        <f t="shared" si="67"/>
        <v>57.063552</v>
      </c>
      <c r="DF21" s="79"/>
      <c r="DG21" s="78">
        <f t="shared" si="152"/>
        <v>129.986</v>
      </c>
      <c r="DH21" s="78">
        <f t="shared" si="68"/>
        <v>11421.557853600001</v>
      </c>
      <c r="DI21" s="78">
        <f t="shared" si="69"/>
        <v>11551.543853600002</v>
      </c>
      <c r="DJ21" s="79">
        <f t="shared" si="70"/>
        <v>2382.7213716</v>
      </c>
      <c r="DK21" s="77">
        <f t="shared" si="71"/>
        <v>116.597442</v>
      </c>
      <c r="DL21" s="79"/>
      <c r="DM21" s="78">
        <f t="shared" si="153"/>
        <v>21.081</v>
      </c>
      <c r="DN21" s="78">
        <f t="shared" si="72"/>
        <v>1852.3368756</v>
      </c>
      <c r="DO21" s="78">
        <f t="shared" si="73"/>
        <v>1873.4178756</v>
      </c>
      <c r="DP21" s="79">
        <f t="shared" si="74"/>
        <v>386.4273786</v>
      </c>
      <c r="DQ21" s="77">
        <f t="shared" si="75"/>
        <v>18.909657</v>
      </c>
      <c r="DR21" s="79"/>
      <c r="DS21" s="78">
        <f t="shared" si="154"/>
        <v>108.141</v>
      </c>
      <c r="DT21" s="78">
        <f t="shared" si="76"/>
        <v>9502.0901316</v>
      </c>
      <c r="DU21" s="78">
        <f t="shared" si="77"/>
        <v>9610.2311316</v>
      </c>
      <c r="DV21" s="79">
        <f t="shared" si="78"/>
        <v>1982.2894146</v>
      </c>
      <c r="DW21" s="77">
        <f t="shared" si="79"/>
        <v>97.002477</v>
      </c>
      <c r="DX21" s="79"/>
      <c r="DY21" s="78">
        <f t="shared" si="155"/>
        <v>0.9665</v>
      </c>
      <c r="DZ21" s="78">
        <f t="shared" si="80"/>
        <v>84.9240354</v>
      </c>
      <c r="EA21" s="78">
        <f t="shared" si="81"/>
        <v>85.89053539999999</v>
      </c>
      <c r="EB21" s="79">
        <f t="shared" si="82"/>
        <v>17.7165249</v>
      </c>
      <c r="EC21" s="77">
        <f t="shared" si="83"/>
        <v>0.8669505000000001</v>
      </c>
      <c r="ED21" s="79"/>
      <c r="EE21" s="78">
        <f t="shared" si="156"/>
        <v>1.272</v>
      </c>
      <c r="EF21" s="78">
        <f t="shared" si="84"/>
        <v>111.7675872</v>
      </c>
      <c r="EG21" s="78">
        <f t="shared" si="85"/>
        <v>113.0395872</v>
      </c>
      <c r="EH21" s="79">
        <f t="shared" si="86"/>
        <v>23.3165232</v>
      </c>
      <c r="EI21" s="77">
        <f t="shared" si="87"/>
        <v>1.140984</v>
      </c>
      <c r="EJ21" s="79"/>
      <c r="EK21" s="78">
        <f t="shared" si="157"/>
        <v>64.0935</v>
      </c>
      <c r="EL21" s="78">
        <f t="shared" si="88"/>
        <v>5631.742020600001</v>
      </c>
      <c r="EM21" s="78">
        <f t="shared" si="89"/>
        <v>5695.835520600001</v>
      </c>
      <c r="EN21" s="79">
        <f t="shared" si="90"/>
        <v>1174.8723111000002</v>
      </c>
      <c r="EO21" s="77">
        <f t="shared" si="91"/>
        <v>57.4918695</v>
      </c>
      <c r="EP21" s="79"/>
      <c r="EQ21" s="78">
        <f t="shared" si="158"/>
        <v>1.2200000000000002</v>
      </c>
      <c r="ER21" s="78">
        <f t="shared" si="92"/>
        <v>107.198472</v>
      </c>
      <c r="ES21" s="78">
        <f t="shared" si="93"/>
        <v>108.418472</v>
      </c>
      <c r="ET21" s="79">
        <f t="shared" si="94"/>
        <v>22.363332</v>
      </c>
      <c r="EU21" s="77">
        <f t="shared" si="95"/>
        <v>1.0943399999999999</v>
      </c>
      <c r="EV21" s="79"/>
      <c r="EW21" s="78">
        <f t="shared" si="159"/>
        <v>18.2295</v>
      </c>
      <c r="EX21" s="78">
        <f t="shared" si="96"/>
        <v>1601.7824142</v>
      </c>
      <c r="EY21" s="78">
        <f t="shared" si="97"/>
        <v>1620.0119141999999</v>
      </c>
      <c r="EZ21" s="79">
        <f t="shared" si="98"/>
        <v>334.15767270000003</v>
      </c>
      <c r="FA21" s="77">
        <f t="shared" si="99"/>
        <v>16.351861500000002</v>
      </c>
      <c r="FB21" s="79"/>
      <c r="FC21" s="78">
        <f t="shared" si="160"/>
        <v>12.663499999999999</v>
      </c>
      <c r="FD21" s="78">
        <f t="shared" si="100"/>
        <v>1112.7113526</v>
      </c>
      <c r="FE21" s="78">
        <f t="shared" si="101"/>
        <v>1125.3748526</v>
      </c>
      <c r="FF21" s="79">
        <f t="shared" si="102"/>
        <v>232.1295531</v>
      </c>
      <c r="FG21" s="77">
        <f t="shared" si="103"/>
        <v>11.3591595</v>
      </c>
      <c r="FH21" s="79"/>
      <c r="FI21" s="78">
        <f t="shared" si="161"/>
        <v>4.9435</v>
      </c>
      <c r="FJ21" s="78">
        <f t="shared" si="104"/>
        <v>434.3734806</v>
      </c>
      <c r="FK21" s="78">
        <f t="shared" si="105"/>
        <v>439.31698059999997</v>
      </c>
      <c r="FL21" s="79">
        <f t="shared" si="106"/>
        <v>90.6173211</v>
      </c>
      <c r="FM21" s="77">
        <f t="shared" si="107"/>
        <v>4.4343195</v>
      </c>
      <c r="FN21" s="79"/>
      <c r="FO21" s="78">
        <f t="shared" si="162"/>
        <v>55.5555</v>
      </c>
      <c r="FP21" s="78">
        <f t="shared" si="108"/>
        <v>4881.5284518</v>
      </c>
      <c r="FQ21" s="78">
        <f t="shared" si="109"/>
        <v>4937.0839518</v>
      </c>
      <c r="FR21" s="79">
        <f t="shared" si="110"/>
        <v>1018.3656483000001</v>
      </c>
      <c r="FS21" s="77">
        <f t="shared" si="111"/>
        <v>49.8332835</v>
      </c>
      <c r="FT21" s="79"/>
      <c r="FU21" s="78">
        <f t="shared" si="163"/>
        <v>125.211</v>
      </c>
      <c r="FV21" s="78">
        <f t="shared" si="112"/>
        <v>11001.9900636</v>
      </c>
      <c r="FW21" s="78">
        <f t="shared" si="113"/>
        <v>11127.2010636</v>
      </c>
      <c r="FX21" s="79">
        <f t="shared" si="114"/>
        <v>2295.1927566</v>
      </c>
      <c r="FY21" s="77">
        <f t="shared" si="115"/>
        <v>112.314267</v>
      </c>
      <c r="FZ21" s="79"/>
      <c r="GA21" s="78">
        <f t="shared" si="164"/>
        <v>15.978500000000002</v>
      </c>
      <c r="GB21" s="78">
        <f t="shared" si="116"/>
        <v>1403.9924466</v>
      </c>
      <c r="GC21" s="78">
        <f t="shared" si="117"/>
        <v>1419.9709466</v>
      </c>
      <c r="GD21" s="79">
        <f t="shared" si="118"/>
        <v>292.8954921</v>
      </c>
      <c r="GE21" s="77">
        <f t="shared" si="119"/>
        <v>14.3327145</v>
      </c>
      <c r="GF21" s="79"/>
      <c r="GG21" s="78">
        <f t="shared" si="165"/>
        <v>25.374000000000002</v>
      </c>
      <c r="GH21" s="78">
        <f t="shared" si="120"/>
        <v>2229.5524824000004</v>
      </c>
      <c r="GI21" s="78">
        <f t="shared" si="121"/>
        <v>2254.9264824</v>
      </c>
      <c r="GJ21" s="79">
        <f t="shared" si="122"/>
        <v>465.1206444</v>
      </c>
      <c r="GK21" s="77">
        <f t="shared" si="123"/>
        <v>22.760478</v>
      </c>
      <c r="GL21" s="79"/>
      <c r="GM21" s="78">
        <f t="shared" si="166"/>
        <v>117.59450000000001</v>
      </c>
      <c r="GN21" s="78">
        <f t="shared" si="124"/>
        <v>10332.7464882</v>
      </c>
      <c r="GO21" s="78">
        <f t="shared" si="125"/>
        <v>10450.3409882</v>
      </c>
      <c r="GP21" s="79">
        <f t="shared" si="126"/>
        <v>2155.5777417</v>
      </c>
      <c r="GQ21" s="77">
        <f t="shared" si="127"/>
        <v>105.4822665</v>
      </c>
      <c r="GR21" s="79"/>
      <c r="GS21" s="78">
        <f t="shared" si="167"/>
        <v>6.2410000000000005</v>
      </c>
      <c r="GT21" s="78">
        <f t="shared" si="128"/>
        <v>548.3816916</v>
      </c>
      <c r="GU21" s="78">
        <f t="shared" si="129"/>
        <v>554.6226915999999</v>
      </c>
      <c r="GV21" s="79">
        <f t="shared" si="130"/>
        <v>114.40127460000001</v>
      </c>
      <c r="GW21" s="77">
        <f t="shared" si="131"/>
        <v>5.598177000000001</v>
      </c>
      <c r="GX21" s="79"/>
      <c r="GY21" s="78">
        <f t="shared" si="168"/>
        <v>35.782000000000004</v>
      </c>
      <c r="GZ21" s="78">
        <f t="shared" si="132"/>
        <v>3144.0784632</v>
      </c>
      <c r="HA21" s="78">
        <f t="shared" si="133"/>
        <v>3179.8604632</v>
      </c>
      <c r="HB21" s="79">
        <f t="shared" si="134"/>
        <v>655.9055292</v>
      </c>
      <c r="HC21" s="77">
        <f t="shared" si="135"/>
        <v>32.096454</v>
      </c>
      <c r="HD21" s="79"/>
      <c r="HE21" s="79"/>
      <c r="HF21" s="79"/>
      <c r="HG21" s="79"/>
      <c r="HH21" s="79"/>
      <c r="HI21" s="79"/>
    </row>
    <row r="22" spans="1:217" s="52" customFormat="1" ht="12">
      <c r="A22" s="51">
        <v>44470</v>
      </c>
      <c r="C22" s="42"/>
      <c r="D22" s="42">
        <v>439263</v>
      </c>
      <c r="E22" s="77">
        <f t="shared" si="0"/>
        <v>439263</v>
      </c>
      <c r="F22" s="77">
        <v>91653</v>
      </c>
      <c r="G22" s="77">
        <v>4485</v>
      </c>
      <c r="H22" s="79"/>
      <c r="I22" s="79"/>
      <c r="J22" s="79">
        <f t="shared" si="1"/>
        <v>238443.33331170003</v>
      </c>
      <c r="K22" s="79">
        <f t="shared" si="2"/>
        <v>238443.33331170003</v>
      </c>
      <c r="L22" s="79">
        <f t="shared" si="3"/>
        <v>49751.6222127</v>
      </c>
      <c r="M22" s="79">
        <f t="shared" si="3"/>
        <v>2434.5741615</v>
      </c>
      <c r="N22" s="79"/>
      <c r="O22" s="78"/>
      <c r="P22" s="78">
        <f t="shared" si="4"/>
        <v>29055.1389876</v>
      </c>
      <c r="Q22" s="79">
        <f t="shared" si="5"/>
        <v>29055.1389876</v>
      </c>
      <c r="R22" s="79">
        <f t="shared" si="6"/>
        <v>6062.4060156000005</v>
      </c>
      <c r="S22" s="77">
        <f t="shared" si="7"/>
        <v>296.661222</v>
      </c>
      <c r="T22" s="79"/>
      <c r="U22" s="78"/>
      <c r="V22" s="78">
        <f t="shared" si="8"/>
        <v>496.1914848</v>
      </c>
      <c r="W22" s="78">
        <f t="shared" si="9"/>
        <v>496.1914848</v>
      </c>
      <c r="X22" s="79">
        <f t="shared" si="10"/>
        <v>103.5312288</v>
      </c>
      <c r="Y22" s="77">
        <f t="shared" si="11"/>
        <v>5.066255999999999</v>
      </c>
      <c r="Z22" s="79"/>
      <c r="AA22" s="79"/>
      <c r="AB22" s="78">
        <f t="shared" si="12"/>
        <v>2239.9777421999997</v>
      </c>
      <c r="AC22" s="78">
        <f t="shared" si="13"/>
        <v>2239.9777421999997</v>
      </c>
      <c r="AD22" s="79">
        <f t="shared" si="14"/>
        <v>467.37530819999995</v>
      </c>
      <c r="AE22" s="77">
        <f t="shared" si="15"/>
        <v>22.870808999999998</v>
      </c>
      <c r="AF22" s="79"/>
      <c r="AG22" s="78"/>
      <c r="AH22" s="78">
        <f t="shared" si="16"/>
        <v>38953.7110611</v>
      </c>
      <c r="AI22" s="78">
        <f t="shared" si="17"/>
        <v>38953.7110611</v>
      </c>
      <c r="AJ22" s="79">
        <f t="shared" si="18"/>
        <v>8127.7605441</v>
      </c>
      <c r="AK22" s="77">
        <f t="shared" si="19"/>
        <v>397.7284545</v>
      </c>
      <c r="AL22" s="79"/>
      <c r="AM22" s="78"/>
      <c r="AN22" s="78">
        <f t="shared" si="20"/>
        <v>471.8563146</v>
      </c>
      <c r="AO22" s="78">
        <f t="shared" si="21"/>
        <v>471.8563146</v>
      </c>
      <c r="AP22" s="79">
        <f t="shared" si="22"/>
        <v>98.4536526</v>
      </c>
      <c r="AQ22" s="77">
        <f t="shared" si="23"/>
        <v>4.817787</v>
      </c>
      <c r="AR22" s="78"/>
      <c r="AS22" s="78"/>
      <c r="AT22" s="78">
        <f t="shared" si="24"/>
        <v>397.9283517</v>
      </c>
      <c r="AU22" s="78">
        <f t="shared" si="25"/>
        <v>397.9283517</v>
      </c>
      <c r="AV22" s="79">
        <f t="shared" si="26"/>
        <v>83.0284527</v>
      </c>
      <c r="AW22" s="77">
        <f t="shared" si="27"/>
        <v>4.0629615</v>
      </c>
      <c r="AX22" s="79"/>
      <c r="AY22" s="78"/>
      <c r="AZ22" s="78">
        <f t="shared" si="28"/>
        <v>16326.000068400002</v>
      </c>
      <c r="BA22" s="78">
        <f t="shared" si="29"/>
        <v>16326.000068400002</v>
      </c>
      <c r="BB22" s="79">
        <f t="shared" si="30"/>
        <v>3406.4487204</v>
      </c>
      <c r="BC22" s="77">
        <f t="shared" si="31"/>
        <v>166.693098</v>
      </c>
      <c r="BD22" s="79"/>
      <c r="BE22" s="78"/>
      <c r="BF22" s="78">
        <f t="shared" si="32"/>
        <v>33499.2066849</v>
      </c>
      <c r="BG22" s="78">
        <f t="shared" si="33"/>
        <v>33499.2066849</v>
      </c>
      <c r="BH22" s="79">
        <f t="shared" si="34"/>
        <v>6989.6685819</v>
      </c>
      <c r="BI22" s="77">
        <f t="shared" si="35"/>
        <v>342.03641550000003</v>
      </c>
      <c r="BJ22" s="79"/>
      <c r="BK22" s="78"/>
      <c r="BL22" s="78">
        <f t="shared" si="36"/>
        <v>386.72714519999994</v>
      </c>
      <c r="BM22" s="78">
        <f t="shared" si="37"/>
        <v>386.72714519999994</v>
      </c>
      <c r="BN22" s="79">
        <f t="shared" si="38"/>
        <v>80.6913012</v>
      </c>
      <c r="BO22" s="77">
        <f t="shared" si="39"/>
        <v>3.9485940000000004</v>
      </c>
      <c r="BP22" s="79"/>
      <c r="BQ22" s="78"/>
      <c r="BR22" s="78">
        <f t="shared" si="40"/>
        <v>259.7801382</v>
      </c>
      <c r="BS22" s="78">
        <f t="shared" si="41"/>
        <v>259.7801382</v>
      </c>
      <c r="BT22" s="79">
        <f t="shared" si="42"/>
        <v>54.203584199999995</v>
      </c>
      <c r="BU22" s="77">
        <f t="shared" si="43"/>
        <v>2.6524289999999997</v>
      </c>
      <c r="BV22" s="79"/>
      <c r="BW22" s="78"/>
      <c r="BX22" s="78">
        <f t="shared" si="44"/>
        <v>-38.699070299999995</v>
      </c>
      <c r="BY22" s="78">
        <f t="shared" si="45"/>
        <v>-38.699070299999995</v>
      </c>
      <c r="BZ22" s="79">
        <f t="shared" si="46"/>
        <v>-8.0746293</v>
      </c>
      <c r="CA22" s="77">
        <f t="shared" si="47"/>
        <v>-0.3951285</v>
      </c>
      <c r="CB22" s="78"/>
      <c r="CC22" s="78"/>
      <c r="CD22" s="78">
        <f t="shared" si="48"/>
        <v>-25.2136962</v>
      </c>
      <c r="CE22" s="78">
        <f t="shared" si="49"/>
        <v>-25.2136962</v>
      </c>
      <c r="CF22" s="79">
        <f t="shared" si="50"/>
        <v>-5.2608822</v>
      </c>
      <c r="CG22" s="77">
        <f t="shared" si="51"/>
        <v>-0.257439</v>
      </c>
      <c r="CH22" s="79"/>
      <c r="CI22" s="78"/>
      <c r="CJ22" s="78">
        <f t="shared" si="52"/>
        <v>937.6507998000001</v>
      </c>
      <c r="CK22" s="78">
        <f t="shared" si="53"/>
        <v>937.6507998000001</v>
      </c>
      <c r="CL22" s="79">
        <f t="shared" si="54"/>
        <v>195.64249379999998</v>
      </c>
      <c r="CM22" s="77">
        <f t="shared" si="55"/>
        <v>9.573681</v>
      </c>
      <c r="CN22" s="79"/>
      <c r="CO22" s="78"/>
      <c r="CP22" s="78">
        <f t="shared" si="56"/>
        <v>5766.205401</v>
      </c>
      <c r="CQ22" s="78">
        <f t="shared" si="57"/>
        <v>5766.205401</v>
      </c>
      <c r="CR22" s="79">
        <f t="shared" si="58"/>
        <v>1203.128931</v>
      </c>
      <c r="CS22" s="77">
        <f t="shared" si="59"/>
        <v>58.874595</v>
      </c>
      <c r="CT22" s="79"/>
      <c r="CU22" s="78"/>
      <c r="CV22" s="78">
        <f t="shared" si="60"/>
        <v>38736.451581299996</v>
      </c>
      <c r="CW22" s="78">
        <f t="shared" si="61"/>
        <v>38736.451581299996</v>
      </c>
      <c r="CX22" s="79">
        <f t="shared" si="62"/>
        <v>8082.4289703</v>
      </c>
      <c r="CY22" s="77">
        <f t="shared" si="63"/>
        <v>395.5101735</v>
      </c>
      <c r="CZ22" s="79"/>
      <c r="DA22" s="78"/>
      <c r="DB22" s="78">
        <f t="shared" si="64"/>
        <v>5588.8310016</v>
      </c>
      <c r="DC22" s="78">
        <f t="shared" si="65"/>
        <v>5588.8310016</v>
      </c>
      <c r="DD22" s="79">
        <f t="shared" si="66"/>
        <v>1166.1194496</v>
      </c>
      <c r="DE22" s="77">
        <f t="shared" si="67"/>
        <v>57.063552</v>
      </c>
      <c r="DF22" s="79"/>
      <c r="DG22" s="78"/>
      <c r="DH22" s="78">
        <f t="shared" si="68"/>
        <v>11419.6080636</v>
      </c>
      <c r="DI22" s="78">
        <f t="shared" si="69"/>
        <v>11419.6080636</v>
      </c>
      <c r="DJ22" s="79">
        <f t="shared" si="70"/>
        <v>2382.7213716</v>
      </c>
      <c r="DK22" s="77">
        <f t="shared" si="71"/>
        <v>116.597442</v>
      </c>
      <c r="DL22" s="79"/>
      <c r="DM22" s="78"/>
      <c r="DN22" s="78">
        <f t="shared" si="72"/>
        <v>1852.0206606000002</v>
      </c>
      <c r="DO22" s="78">
        <f t="shared" si="73"/>
        <v>1852.0206606000002</v>
      </c>
      <c r="DP22" s="79">
        <f t="shared" si="74"/>
        <v>386.4273786</v>
      </c>
      <c r="DQ22" s="77">
        <f t="shared" si="75"/>
        <v>18.909657</v>
      </c>
      <c r="DR22" s="79"/>
      <c r="DS22" s="78"/>
      <c r="DT22" s="78">
        <f t="shared" si="76"/>
        <v>9500.4680166</v>
      </c>
      <c r="DU22" s="78">
        <f t="shared" si="77"/>
        <v>9500.4680166</v>
      </c>
      <c r="DV22" s="79">
        <f t="shared" si="78"/>
        <v>1982.2894146</v>
      </c>
      <c r="DW22" s="77">
        <f t="shared" si="79"/>
        <v>97.002477</v>
      </c>
      <c r="DX22" s="79"/>
      <c r="DY22" s="78"/>
      <c r="DZ22" s="78">
        <f t="shared" si="80"/>
        <v>84.90953789999999</v>
      </c>
      <c r="EA22" s="78">
        <f t="shared" si="81"/>
        <v>84.90953789999999</v>
      </c>
      <c r="EB22" s="79">
        <f t="shared" si="82"/>
        <v>17.7165249</v>
      </c>
      <c r="EC22" s="77">
        <f t="shared" si="83"/>
        <v>0.8669505000000001</v>
      </c>
      <c r="ED22" s="79"/>
      <c r="EE22" s="78"/>
      <c r="EF22" s="78">
        <f t="shared" si="84"/>
        <v>111.7485072</v>
      </c>
      <c r="EG22" s="78">
        <f t="shared" si="85"/>
        <v>111.7485072</v>
      </c>
      <c r="EH22" s="79">
        <f t="shared" si="86"/>
        <v>23.3165232</v>
      </c>
      <c r="EI22" s="77">
        <f t="shared" si="87"/>
        <v>1.140984</v>
      </c>
      <c r="EJ22" s="79"/>
      <c r="EK22" s="78"/>
      <c r="EL22" s="78">
        <f t="shared" si="88"/>
        <v>5630.7806181</v>
      </c>
      <c r="EM22" s="78">
        <f t="shared" si="89"/>
        <v>5630.7806181</v>
      </c>
      <c r="EN22" s="79">
        <f t="shared" si="90"/>
        <v>1174.8723111000002</v>
      </c>
      <c r="EO22" s="77">
        <f t="shared" si="91"/>
        <v>57.4918695</v>
      </c>
      <c r="EP22" s="79"/>
      <c r="EQ22" s="78"/>
      <c r="ER22" s="78">
        <f t="shared" si="92"/>
        <v>107.180172</v>
      </c>
      <c r="ES22" s="78">
        <f t="shared" si="93"/>
        <v>107.180172</v>
      </c>
      <c r="ET22" s="79">
        <f t="shared" si="94"/>
        <v>22.363332</v>
      </c>
      <c r="EU22" s="77">
        <f t="shared" si="95"/>
        <v>1.0943399999999999</v>
      </c>
      <c r="EV22" s="79"/>
      <c r="EW22" s="78"/>
      <c r="EX22" s="78">
        <f t="shared" si="96"/>
        <v>1601.5089717</v>
      </c>
      <c r="EY22" s="78">
        <f t="shared" si="97"/>
        <v>1601.5089717</v>
      </c>
      <c r="EZ22" s="79">
        <f t="shared" si="98"/>
        <v>334.15767270000003</v>
      </c>
      <c r="FA22" s="77">
        <f t="shared" si="99"/>
        <v>16.351861500000002</v>
      </c>
      <c r="FB22" s="79"/>
      <c r="FC22" s="78"/>
      <c r="FD22" s="78">
        <f t="shared" si="100"/>
        <v>1112.5214001</v>
      </c>
      <c r="FE22" s="78">
        <f t="shared" si="101"/>
        <v>1112.5214001</v>
      </c>
      <c r="FF22" s="79">
        <f t="shared" si="102"/>
        <v>232.1295531</v>
      </c>
      <c r="FG22" s="77">
        <f t="shared" si="103"/>
        <v>11.3591595</v>
      </c>
      <c r="FH22" s="79"/>
      <c r="FI22" s="78"/>
      <c r="FJ22" s="78">
        <f t="shared" si="104"/>
        <v>434.29932809999997</v>
      </c>
      <c r="FK22" s="78">
        <f t="shared" si="105"/>
        <v>434.29932809999997</v>
      </c>
      <c r="FL22" s="79">
        <f t="shared" si="106"/>
        <v>90.6173211</v>
      </c>
      <c r="FM22" s="77">
        <f t="shared" si="107"/>
        <v>4.4343195</v>
      </c>
      <c r="FN22" s="79"/>
      <c r="FO22" s="78"/>
      <c r="FP22" s="78">
        <f t="shared" si="108"/>
        <v>4880.6951193</v>
      </c>
      <c r="FQ22" s="78">
        <f t="shared" si="109"/>
        <v>4880.6951193</v>
      </c>
      <c r="FR22" s="79">
        <f t="shared" si="110"/>
        <v>1018.3656483000001</v>
      </c>
      <c r="FS22" s="77">
        <f t="shared" si="111"/>
        <v>49.8332835</v>
      </c>
      <c r="FT22" s="79"/>
      <c r="FU22" s="78"/>
      <c r="FV22" s="78">
        <f t="shared" si="112"/>
        <v>11000.1118986</v>
      </c>
      <c r="FW22" s="78">
        <f t="shared" si="113"/>
        <v>11000.1118986</v>
      </c>
      <c r="FX22" s="79">
        <f t="shared" si="114"/>
        <v>2295.1927566</v>
      </c>
      <c r="FY22" s="77">
        <f t="shared" si="115"/>
        <v>112.314267</v>
      </c>
      <c r="FZ22" s="79"/>
      <c r="GA22" s="78"/>
      <c r="GB22" s="78">
        <f t="shared" si="116"/>
        <v>1403.7527691000003</v>
      </c>
      <c r="GC22" s="78">
        <f t="shared" si="117"/>
        <v>1403.7527691000003</v>
      </c>
      <c r="GD22" s="79">
        <f t="shared" si="118"/>
        <v>292.8954921</v>
      </c>
      <c r="GE22" s="77">
        <f t="shared" si="119"/>
        <v>14.3327145</v>
      </c>
      <c r="GF22" s="79"/>
      <c r="GG22" s="78"/>
      <c r="GH22" s="78">
        <f t="shared" si="120"/>
        <v>2229.1718724</v>
      </c>
      <c r="GI22" s="78">
        <f t="shared" si="121"/>
        <v>2229.1718724</v>
      </c>
      <c r="GJ22" s="79">
        <f t="shared" si="122"/>
        <v>465.1206444</v>
      </c>
      <c r="GK22" s="77">
        <f t="shared" si="123"/>
        <v>22.760478</v>
      </c>
      <c r="GL22" s="79"/>
      <c r="GM22" s="78"/>
      <c r="GN22" s="78">
        <f t="shared" si="124"/>
        <v>10330.9825707</v>
      </c>
      <c r="GO22" s="78">
        <f t="shared" si="125"/>
        <v>10330.9825707</v>
      </c>
      <c r="GP22" s="79">
        <f t="shared" si="126"/>
        <v>2155.5777417</v>
      </c>
      <c r="GQ22" s="77">
        <f t="shared" si="127"/>
        <v>105.4822665</v>
      </c>
      <c r="GR22" s="79"/>
      <c r="GS22" s="78"/>
      <c r="GT22" s="78">
        <f t="shared" si="128"/>
        <v>548.2880766</v>
      </c>
      <c r="GU22" s="78">
        <f t="shared" si="129"/>
        <v>548.2880766</v>
      </c>
      <c r="GV22" s="79">
        <f t="shared" si="130"/>
        <v>114.40127460000001</v>
      </c>
      <c r="GW22" s="77">
        <f t="shared" si="131"/>
        <v>5.598177000000001</v>
      </c>
      <c r="GX22" s="79"/>
      <c r="GY22" s="78"/>
      <c r="GZ22" s="78">
        <f t="shared" si="132"/>
        <v>3143.5417332</v>
      </c>
      <c r="HA22" s="78">
        <f t="shared" si="133"/>
        <v>3143.5417332</v>
      </c>
      <c r="HB22" s="79">
        <f t="shared" si="134"/>
        <v>655.9055292</v>
      </c>
      <c r="HC22" s="77">
        <f t="shared" si="135"/>
        <v>32.096454</v>
      </c>
      <c r="HD22" s="79"/>
      <c r="HE22" s="79"/>
      <c r="HF22" s="79"/>
      <c r="HG22" s="79"/>
      <c r="HH22" s="79"/>
      <c r="HI22" s="79"/>
    </row>
    <row r="23" spans="1:217" s="52" customFormat="1" ht="12">
      <c r="A23" s="51">
        <v>44652</v>
      </c>
      <c r="C23" s="42">
        <v>6225000</v>
      </c>
      <c r="D23" s="42">
        <v>439263</v>
      </c>
      <c r="E23" s="77">
        <f t="shared" si="0"/>
        <v>6664263</v>
      </c>
      <c r="F23" s="77">
        <v>91653</v>
      </c>
      <c r="G23" s="77">
        <v>4485</v>
      </c>
      <c r="H23" s="79"/>
      <c r="I23" s="79">
        <f>O23+U23+AA23+AG23+AM23+AS23+AY23+BE23+BK23+BQ23+BW23+CC23+CI23+CO23+CU23+DA23+DG23+DM23+DS23+DY23+EE23+EK23+EQ23+EW23+FC23+FI23+FO23+FU23+GA23+GG23+GM23+GS23+GY23</f>
        <v>3379091.2275</v>
      </c>
      <c r="J23" s="79">
        <f t="shared" si="1"/>
        <v>238443.33331170003</v>
      </c>
      <c r="K23" s="79">
        <f t="shared" si="2"/>
        <v>3617534.5608117003</v>
      </c>
      <c r="L23" s="79">
        <f t="shared" si="3"/>
        <v>49751.6222127</v>
      </c>
      <c r="M23" s="79">
        <f t="shared" si="3"/>
        <v>2434.5741615</v>
      </c>
      <c r="N23" s="79"/>
      <c r="O23" s="78">
        <f t="shared" si="136"/>
        <v>411753.87</v>
      </c>
      <c r="P23" s="78">
        <f t="shared" si="4"/>
        <v>29055.1389876</v>
      </c>
      <c r="Q23" s="79">
        <f t="shared" si="5"/>
        <v>440809.0089876</v>
      </c>
      <c r="R23" s="79">
        <f t="shared" si="6"/>
        <v>6062.4060156000005</v>
      </c>
      <c r="S23" s="77">
        <f t="shared" si="7"/>
        <v>296.661222</v>
      </c>
      <c r="T23" s="79"/>
      <c r="U23" s="78">
        <f t="shared" si="137"/>
        <v>7031.76</v>
      </c>
      <c r="V23" s="78">
        <f t="shared" si="8"/>
        <v>496.1914848</v>
      </c>
      <c r="W23" s="78">
        <f t="shared" si="9"/>
        <v>7527.9514848</v>
      </c>
      <c r="X23" s="79">
        <f t="shared" si="10"/>
        <v>103.5312288</v>
      </c>
      <c r="Y23" s="77">
        <f t="shared" si="11"/>
        <v>5.066255999999999</v>
      </c>
      <c r="Z23" s="79"/>
      <c r="AA23" s="79">
        <f t="shared" si="138"/>
        <v>31743.764999999996</v>
      </c>
      <c r="AB23" s="78">
        <f t="shared" si="12"/>
        <v>2239.9777421999997</v>
      </c>
      <c r="AC23" s="78">
        <f t="shared" si="13"/>
        <v>33983.7427422</v>
      </c>
      <c r="AD23" s="79">
        <f t="shared" si="14"/>
        <v>467.37530819999995</v>
      </c>
      <c r="AE23" s="77">
        <f t="shared" si="15"/>
        <v>22.870808999999998</v>
      </c>
      <c r="AF23" s="79"/>
      <c r="AG23" s="78">
        <f t="shared" si="139"/>
        <v>552031.1325</v>
      </c>
      <c r="AH23" s="78">
        <f t="shared" si="16"/>
        <v>38953.7110611</v>
      </c>
      <c r="AI23" s="78">
        <f t="shared" si="17"/>
        <v>590984.8435611</v>
      </c>
      <c r="AJ23" s="79">
        <f t="shared" si="18"/>
        <v>8127.7605441</v>
      </c>
      <c r="AK23" s="77">
        <f t="shared" si="19"/>
        <v>397.7284545</v>
      </c>
      <c r="AL23" s="79"/>
      <c r="AM23" s="78">
        <f t="shared" si="140"/>
        <v>6686.895</v>
      </c>
      <c r="AN23" s="78">
        <f t="shared" si="20"/>
        <v>471.8563146</v>
      </c>
      <c r="AO23" s="78">
        <f t="shared" si="21"/>
        <v>7158.7513146</v>
      </c>
      <c r="AP23" s="79">
        <f t="shared" si="22"/>
        <v>98.4536526</v>
      </c>
      <c r="AQ23" s="77">
        <f t="shared" si="23"/>
        <v>4.817787</v>
      </c>
      <c r="AR23" s="78"/>
      <c r="AS23" s="78">
        <f t="shared" si="141"/>
        <v>5639.2275</v>
      </c>
      <c r="AT23" s="78">
        <f t="shared" si="24"/>
        <v>397.9283517</v>
      </c>
      <c r="AU23" s="78">
        <f t="shared" si="25"/>
        <v>6037.1558517</v>
      </c>
      <c r="AV23" s="79">
        <f t="shared" si="26"/>
        <v>83.0284527</v>
      </c>
      <c r="AW23" s="77">
        <f t="shared" si="27"/>
        <v>4.0629615</v>
      </c>
      <c r="AX23" s="79"/>
      <c r="AY23" s="78">
        <f t="shared" si="142"/>
        <v>231363.33</v>
      </c>
      <c r="AZ23" s="78">
        <f t="shared" si="28"/>
        <v>16326.000068400002</v>
      </c>
      <c r="BA23" s="78">
        <f t="shared" si="29"/>
        <v>247689.33006839998</v>
      </c>
      <c r="BB23" s="79">
        <f t="shared" si="30"/>
        <v>3406.4487204</v>
      </c>
      <c r="BC23" s="77">
        <f t="shared" si="31"/>
        <v>166.693098</v>
      </c>
      <c r="BD23" s="79"/>
      <c r="BE23" s="78">
        <f t="shared" si="143"/>
        <v>474732.8175</v>
      </c>
      <c r="BF23" s="78">
        <f t="shared" si="32"/>
        <v>33499.2066849</v>
      </c>
      <c r="BG23" s="78">
        <f t="shared" si="33"/>
        <v>508232.0241849</v>
      </c>
      <c r="BH23" s="79">
        <f t="shared" si="34"/>
        <v>6989.6685819</v>
      </c>
      <c r="BI23" s="77">
        <f t="shared" si="35"/>
        <v>342.03641550000003</v>
      </c>
      <c r="BJ23" s="79"/>
      <c r="BK23" s="78">
        <f t="shared" si="144"/>
        <v>5480.49</v>
      </c>
      <c r="BL23" s="78">
        <f t="shared" si="36"/>
        <v>386.72714519999994</v>
      </c>
      <c r="BM23" s="78">
        <f t="shared" si="37"/>
        <v>5867.217145199999</v>
      </c>
      <c r="BN23" s="79">
        <f t="shared" si="38"/>
        <v>80.6913012</v>
      </c>
      <c r="BO23" s="77">
        <f t="shared" si="39"/>
        <v>3.9485940000000004</v>
      </c>
      <c r="BP23" s="79"/>
      <c r="BQ23" s="78">
        <f t="shared" si="145"/>
        <v>3681.465</v>
      </c>
      <c r="BR23" s="78">
        <f t="shared" si="40"/>
        <v>259.7801382</v>
      </c>
      <c r="BS23" s="78">
        <f t="shared" si="41"/>
        <v>3941.2451382</v>
      </c>
      <c r="BT23" s="79">
        <f t="shared" si="42"/>
        <v>54.203584199999995</v>
      </c>
      <c r="BU23" s="77">
        <f t="shared" si="43"/>
        <v>2.6524289999999997</v>
      </c>
      <c r="BV23" s="79"/>
      <c r="BW23" s="78">
        <f t="shared" si="146"/>
        <v>-548.4225</v>
      </c>
      <c r="BX23" s="78">
        <f t="shared" si="44"/>
        <v>-38.699070299999995</v>
      </c>
      <c r="BY23" s="78">
        <f t="shared" si="45"/>
        <v>-587.1215703</v>
      </c>
      <c r="BZ23" s="79">
        <f t="shared" si="46"/>
        <v>-8.0746293</v>
      </c>
      <c r="CA23" s="77">
        <f t="shared" si="47"/>
        <v>-0.3951285</v>
      </c>
      <c r="CB23" s="78"/>
      <c r="CC23" s="78">
        <f t="shared" si="147"/>
        <v>-357.315</v>
      </c>
      <c r="CD23" s="78">
        <f t="shared" si="48"/>
        <v>-25.2136962</v>
      </c>
      <c r="CE23" s="78">
        <f t="shared" si="49"/>
        <v>-382.5286962</v>
      </c>
      <c r="CF23" s="79">
        <f t="shared" si="50"/>
        <v>-5.2608822</v>
      </c>
      <c r="CG23" s="77">
        <f t="shared" si="51"/>
        <v>-0.257439</v>
      </c>
      <c r="CH23" s="79"/>
      <c r="CI23" s="78">
        <f t="shared" si="148"/>
        <v>13287.885</v>
      </c>
      <c r="CJ23" s="78">
        <f t="shared" si="52"/>
        <v>937.6507998000001</v>
      </c>
      <c r="CK23" s="78">
        <f t="shared" si="53"/>
        <v>14225.5357998</v>
      </c>
      <c r="CL23" s="79">
        <f t="shared" si="54"/>
        <v>195.64249379999998</v>
      </c>
      <c r="CM23" s="77">
        <f t="shared" si="55"/>
        <v>9.573681</v>
      </c>
      <c r="CN23" s="79"/>
      <c r="CO23" s="78">
        <f t="shared" si="149"/>
        <v>81715.575</v>
      </c>
      <c r="CP23" s="78">
        <f t="shared" si="56"/>
        <v>5766.205401</v>
      </c>
      <c r="CQ23" s="78">
        <f t="shared" si="57"/>
        <v>87481.780401</v>
      </c>
      <c r="CR23" s="79">
        <f t="shared" si="58"/>
        <v>1203.128931</v>
      </c>
      <c r="CS23" s="77">
        <f t="shared" si="59"/>
        <v>58.874595</v>
      </c>
      <c r="CT23" s="79"/>
      <c r="CU23" s="78">
        <f t="shared" si="150"/>
        <v>548952.2475</v>
      </c>
      <c r="CV23" s="78">
        <f t="shared" si="60"/>
        <v>38736.451581299996</v>
      </c>
      <c r="CW23" s="78">
        <f t="shared" si="61"/>
        <v>587688.6990813001</v>
      </c>
      <c r="CX23" s="79">
        <f t="shared" si="62"/>
        <v>8082.4289703</v>
      </c>
      <c r="CY23" s="77">
        <f t="shared" si="63"/>
        <v>395.5101735</v>
      </c>
      <c r="CZ23" s="79"/>
      <c r="DA23" s="78">
        <f t="shared" si="151"/>
        <v>79201.91999999998</v>
      </c>
      <c r="DB23" s="78">
        <f t="shared" si="64"/>
        <v>5588.8310016</v>
      </c>
      <c r="DC23" s="78">
        <f t="shared" si="65"/>
        <v>84790.75100159999</v>
      </c>
      <c r="DD23" s="79">
        <f t="shared" si="66"/>
        <v>1166.1194496</v>
      </c>
      <c r="DE23" s="77">
        <f t="shared" si="67"/>
        <v>57.063552</v>
      </c>
      <c r="DF23" s="79"/>
      <c r="DG23" s="78">
        <f t="shared" si="152"/>
        <v>161832.57</v>
      </c>
      <c r="DH23" s="78">
        <f t="shared" si="68"/>
        <v>11419.6080636</v>
      </c>
      <c r="DI23" s="78">
        <f t="shared" si="69"/>
        <v>173252.1780636</v>
      </c>
      <c r="DJ23" s="79">
        <f t="shared" si="70"/>
        <v>2382.7213716</v>
      </c>
      <c r="DK23" s="77">
        <f t="shared" si="71"/>
        <v>116.597442</v>
      </c>
      <c r="DL23" s="79"/>
      <c r="DM23" s="78">
        <f t="shared" si="153"/>
        <v>26245.845</v>
      </c>
      <c r="DN23" s="78">
        <f t="shared" si="72"/>
        <v>1852.0206606000002</v>
      </c>
      <c r="DO23" s="78">
        <f t="shared" si="73"/>
        <v>28097.8656606</v>
      </c>
      <c r="DP23" s="79">
        <f t="shared" si="74"/>
        <v>386.4273786</v>
      </c>
      <c r="DQ23" s="77">
        <f t="shared" si="75"/>
        <v>18.909657</v>
      </c>
      <c r="DR23" s="79"/>
      <c r="DS23" s="78">
        <f t="shared" si="154"/>
        <v>134635.545</v>
      </c>
      <c r="DT23" s="78">
        <f t="shared" si="76"/>
        <v>9500.4680166</v>
      </c>
      <c r="DU23" s="78">
        <f t="shared" si="77"/>
        <v>144136.01301660002</v>
      </c>
      <c r="DV23" s="79">
        <f t="shared" si="78"/>
        <v>1982.2894146</v>
      </c>
      <c r="DW23" s="77">
        <f t="shared" si="79"/>
        <v>97.002477</v>
      </c>
      <c r="DX23" s="79"/>
      <c r="DY23" s="78">
        <f t="shared" si="155"/>
        <v>1203.2925</v>
      </c>
      <c r="DZ23" s="78">
        <f t="shared" si="80"/>
        <v>84.90953789999999</v>
      </c>
      <c r="EA23" s="78">
        <f t="shared" si="81"/>
        <v>1288.2020379</v>
      </c>
      <c r="EB23" s="79">
        <f t="shared" si="82"/>
        <v>17.7165249</v>
      </c>
      <c r="EC23" s="77">
        <f t="shared" si="83"/>
        <v>0.8669505000000001</v>
      </c>
      <c r="ED23" s="79"/>
      <c r="EE23" s="78">
        <f t="shared" si="156"/>
        <v>1583.64</v>
      </c>
      <c r="EF23" s="78">
        <f t="shared" si="84"/>
        <v>111.7485072</v>
      </c>
      <c r="EG23" s="78">
        <f t="shared" si="85"/>
        <v>1695.3885072</v>
      </c>
      <c r="EH23" s="79">
        <f t="shared" si="86"/>
        <v>23.3165232</v>
      </c>
      <c r="EI23" s="77">
        <f t="shared" si="87"/>
        <v>1.140984</v>
      </c>
      <c r="EJ23" s="79"/>
      <c r="EK23" s="78">
        <f t="shared" si="157"/>
        <v>79796.4075</v>
      </c>
      <c r="EL23" s="78">
        <f t="shared" si="88"/>
        <v>5630.7806181</v>
      </c>
      <c r="EM23" s="78">
        <f t="shared" si="89"/>
        <v>85427.1881181</v>
      </c>
      <c r="EN23" s="79">
        <f t="shared" si="90"/>
        <v>1174.8723111000002</v>
      </c>
      <c r="EO23" s="77">
        <f t="shared" si="91"/>
        <v>57.4918695</v>
      </c>
      <c r="EP23" s="79"/>
      <c r="EQ23" s="78">
        <f t="shared" si="158"/>
        <v>1518.9</v>
      </c>
      <c r="ER23" s="78">
        <f t="shared" si="92"/>
        <v>107.180172</v>
      </c>
      <c r="ES23" s="78">
        <f t="shared" si="93"/>
        <v>1626.0801720000002</v>
      </c>
      <c r="ET23" s="79">
        <f t="shared" si="94"/>
        <v>22.363332</v>
      </c>
      <c r="EU23" s="77">
        <f t="shared" si="95"/>
        <v>1.0943399999999999</v>
      </c>
      <c r="EV23" s="79"/>
      <c r="EW23" s="78">
        <f t="shared" si="159"/>
        <v>22695.7275</v>
      </c>
      <c r="EX23" s="78">
        <f t="shared" si="96"/>
        <v>1601.5089717</v>
      </c>
      <c r="EY23" s="78">
        <f t="shared" si="97"/>
        <v>24297.236471700002</v>
      </c>
      <c r="EZ23" s="79">
        <f t="shared" si="98"/>
        <v>334.15767270000003</v>
      </c>
      <c r="FA23" s="77">
        <f t="shared" si="99"/>
        <v>16.351861500000002</v>
      </c>
      <c r="FB23" s="79"/>
      <c r="FC23" s="78">
        <f t="shared" si="160"/>
        <v>15766.0575</v>
      </c>
      <c r="FD23" s="78">
        <f t="shared" si="100"/>
        <v>1112.5214001</v>
      </c>
      <c r="FE23" s="78">
        <f t="shared" si="101"/>
        <v>16878.5789001</v>
      </c>
      <c r="FF23" s="79">
        <f t="shared" si="102"/>
        <v>232.1295531</v>
      </c>
      <c r="FG23" s="77">
        <f t="shared" si="103"/>
        <v>11.3591595</v>
      </c>
      <c r="FH23" s="79"/>
      <c r="FI23" s="78">
        <f t="shared" si="161"/>
        <v>6154.6575</v>
      </c>
      <c r="FJ23" s="78">
        <f t="shared" si="104"/>
        <v>434.29932809999997</v>
      </c>
      <c r="FK23" s="78">
        <f t="shared" si="105"/>
        <v>6588.9568281</v>
      </c>
      <c r="FL23" s="79">
        <f t="shared" si="106"/>
        <v>90.6173211</v>
      </c>
      <c r="FM23" s="77">
        <f t="shared" si="107"/>
        <v>4.4343195</v>
      </c>
      <c r="FN23" s="79"/>
      <c r="FO23" s="78">
        <f t="shared" si="162"/>
        <v>69166.5975</v>
      </c>
      <c r="FP23" s="78">
        <f t="shared" si="108"/>
        <v>4880.6951193</v>
      </c>
      <c r="FQ23" s="78">
        <f t="shared" si="109"/>
        <v>74047.2926193</v>
      </c>
      <c r="FR23" s="79">
        <f t="shared" si="110"/>
        <v>1018.3656483000001</v>
      </c>
      <c r="FS23" s="77">
        <f t="shared" si="111"/>
        <v>49.8332835</v>
      </c>
      <c r="FT23" s="79"/>
      <c r="FU23" s="78">
        <f t="shared" si="163"/>
        <v>155887.695</v>
      </c>
      <c r="FV23" s="78">
        <f t="shared" si="112"/>
        <v>11000.1118986</v>
      </c>
      <c r="FW23" s="78">
        <f t="shared" si="113"/>
        <v>166887.8068986</v>
      </c>
      <c r="FX23" s="79">
        <f t="shared" si="114"/>
        <v>2295.1927566</v>
      </c>
      <c r="FY23" s="77">
        <f t="shared" si="115"/>
        <v>112.314267</v>
      </c>
      <c r="FZ23" s="79"/>
      <c r="GA23" s="78">
        <f t="shared" si="164"/>
        <v>19893.232500000002</v>
      </c>
      <c r="GB23" s="78">
        <f t="shared" si="116"/>
        <v>1403.7527691000003</v>
      </c>
      <c r="GC23" s="78">
        <f t="shared" si="117"/>
        <v>21296.9852691</v>
      </c>
      <c r="GD23" s="79">
        <f t="shared" si="118"/>
        <v>292.8954921</v>
      </c>
      <c r="GE23" s="77">
        <f t="shared" si="119"/>
        <v>14.3327145</v>
      </c>
      <c r="GF23" s="79"/>
      <c r="GG23" s="78">
        <f t="shared" si="165"/>
        <v>31590.630000000005</v>
      </c>
      <c r="GH23" s="78">
        <f t="shared" si="120"/>
        <v>2229.1718724</v>
      </c>
      <c r="GI23" s="78">
        <f t="shared" si="121"/>
        <v>33819.80187240001</v>
      </c>
      <c r="GJ23" s="79">
        <f t="shared" si="122"/>
        <v>465.1206444</v>
      </c>
      <c r="GK23" s="77">
        <f t="shared" si="123"/>
        <v>22.760478</v>
      </c>
      <c r="GL23" s="79"/>
      <c r="GM23" s="78">
        <f t="shared" si="166"/>
        <v>146405.1525</v>
      </c>
      <c r="GN23" s="78">
        <f t="shared" si="124"/>
        <v>10330.9825707</v>
      </c>
      <c r="GO23" s="78">
        <f t="shared" si="125"/>
        <v>156736.1350707</v>
      </c>
      <c r="GP23" s="79">
        <f t="shared" si="126"/>
        <v>2155.5777417</v>
      </c>
      <c r="GQ23" s="77">
        <f t="shared" si="127"/>
        <v>105.4822665</v>
      </c>
      <c r="GR23" s="79"/>
      <c r="GS23" s="78">
        <f t="shared" si="167"/>
        <v>7770.045</v>
      </c>
      <c r="GT23" s="78">
        <f t="shared" si="128"/>
        <v>548.2880766</v>
      </c>
      <c r="GU23" s="78">
        <f t="shared" si="129"/>
        <v>8318.3330766</v>
      </c>
      <c r="GV23" s="79">
        <f t="shared" si="130"/>
        <v>114.40127460000001</v>
      </c>
      <c r="GW23" s="77">
        <f t="shared" si="131"/>
        <v>5.598177000000001</v>
      </c>
      <c r="GX23" s="79"/>
      <c r="GY23" s="78">
        <f t="shared" si="168"/>
        <v>44548.59</v>
      </c>
      <c r="GZ23" s="78">
        <f t="shared" si="132"/>
        <v>3143.5417332</v>
      </c>
      <c r="HA23" s="78">
        <f t="shared" si="133"/>
        <v>47692.131733199996</v>
      </c>
      <c r="HB23" s="79">
        <f t="shared" si="134"/>
        <v>655.9055292</v>
      </c>
      <c r="HC23" s="77">
        <f t="shared" si="135"/>
        <v>32.096454</v>
      </c>
      <c r="HD23" s="79"/>
      <c r="HE23" s="79"/>
      <c r="HF23" s="79"/>
      <c r="HG23" s="79"/>
      <c r="HH23" s="79"/>
      <c r="HI23" s="79"/>
    </row>
    <row r="24" spans="1:217" s="52" customFormat="1" ht="12">
      <c r="A24" s="51">
        <v>44835</v>
      </c>
      <c r="C24" s="42"/>
      <c r="D24" s="42">
        <v>283638</v>
      </c>
      <c r="E24" s="77">
        <f t="shared" si="0"/>
        <v>283638</v>
      </c>
      <c r="F24" s="77">
        <v>91653</v>
      </c>
      <c r="G24" s="77">
        <v>4485</v>
      </c>
      <c r="H24" s="79"/>
      <c r="I24" s="79"/>
      <c r="J24" s="79">
        <f t="shared" si="1"/>
        <v>153966.0526242</v>
      </c>
      <c r="K24" s="79">
        <f t="shared" si="2"/>
        <v>153966.0526242</v>
      </c>
      <c r="L24" s="79">
        <f t="shared" si="3"/>
        <v>49751.6222127</v>
      </c>
      <c r="M24" s="79">
        <f t="shared" si="3"/>
        <v>2434.5741615</v>
      </c>
      <c r="N24" s="79"/>
      <c r="O24" s="78"/>
      <c r="P24" s="78">
        <f t="shared" si="4"/>
        <v>18761.2922376</v>
      </c>
      <c r="Q24" s="79">
        <f t="shared" si="5"/>
        <v>18761.2922376</v>
      </c>
      <c r="R24" s="79">
        <f t="shared" si="6"/>
        <v>6062.4060156000005</v>
      </c>
      <c r="S24" s="77">
        <f t="shared" si="7"/>
        <v>296.661222</v>
      </c>
      <c r="T24" s="79"/>
      <c r="U24" s="78"/>
      <c r="V24" s="78">
        <f t="shared" si="8"/>
        <v>320.39748480000003</v>
      </c>
      <c r="W24" s="78">
        <f t="shared" si="9"/>
        <v>320.39748480000003</v>
      </c>
      <c r="X24" s="79">
        <f t="shared" si="10"/>
        <v>103.5312288</v>
      </c>
      <c r="Y24" s="77">
        <f t="shared" si="11"/>
        <v>5.066255999999999</v>
      </c>
      <c r="Z24" s="79"/>
      <c r="AA24" s="79"/>
      <c r="AB24" s="78">
        <f t="shared" si="12"/>
        <v>1446.3836172</v>
      </c>
      <c r="AC24" s="78">
        <f t="shared" si="13"/>
        <v>1446.3836172</v>
      </c>
      <c r="AD24" s="79">
        <f t="shared" si="14"/>
        <v>467.37530819999995</v>
      </c>
      <c r="AE24" s="77">
        <f t="shared" si="15"/>
        <v>22.870808999999998</v>
      </c>
      <c r="AF24" s="79"/>
      <c r="AG24" s="78"/>
      <c r="AH24" s="78">
        <f t="shared" si="16"/>
        <v>25152.932748599997</v>
      </c>
      <c r="AI24" s="78">
        <f t="shared" si="17"/>
        <v>25152.932748599997</v>
      </c>
      <c r="AJ24" s="79">
        <f t="shared" si="18"/>
        <v>8127.7605441</v>
      </c>
      <c r="AK24" s="77">
        <f t="shared" si="19"/>
        <v>397.7284545</v>
      </c>
      <c r="AL24" s="79"/>
      <c r="AM24" s="78"/>
      <c r="AN24" s="78">
        <f t="shared" si="20"/>
        <v>304.68393960000003</v>
      </c>
      <c r="AO24" s="78">
        <f t="shared" si="21"/>
        <v>304.68393960000003</v>
      </c>
      <c r="AP24" s="79">
        <f t="shared" si="22"/>
        <v>98.4536526</v>
      </c>
      <c r="AQ24" s="77">
        <f t="shared" si="23"/>
        <v>4.817787</v>
      </c>
      <c r="AR24" s="78"/>
      <c r="AS24" s="78"/>
      <c r="AT24" s="78">
        <f t="shared" si="24"/>
        <v>256.9476642</v>
      </c>
      <c r="AU24" s="78">
        <f t="shared" si="25"/>
        <v>256.9476642</v>
      </c>
      <c r="AV24" s="79">
        <f t="shared" si="26"/>
        <v>83.0284527</v>
      </c>
      <c r="AW24" s="77">
        <f t="shared" si="27"/>
        <v>4.0629615</v>
      </c>
      <c r="AX24" s="79"/>
      <c r="AY24" s="78"/>
      <c r="AZ24" s="78">
        <f t="shared" si="28"/>
        <v>10541.9168184</v>
      </c>
      <c r="BA24" s="78">
        <f t="shared" si="29"/>
        <v>10541.9168184</v>
      </c>
      <c r="BB24" s="79">
        <f t="shared" si="30"/>
        <v>3406.4487204</v>
      </c>
      <c r="BC24" s="77">
        <f t="shared" si="31"/>
        <v>166.693098</v>
      </c>
      <c r="BD24" s="79"/>
      <c r="BE24" s="78"/>
      <c r="BF24" s="78">
        <f t="shared" si="32"/>
        <v>21630.886247399998</v>
      </c>
      <c r="BG24" s="78">
        <f t="shared" si="33"/>
        <v>21630.886247399998</v>
      </c>
      <c r="BH24" s="79">
        <f t="shared" si="34"/>
        <v>6989.6685819</v>
      </c>
      <c r="BI24" s="77">
        <f t="shared" si="35"/>
        <v>342.03641550000003</v>
      </c>
      <c r="BJ24" s="79"/>
      <c r="BK24" s="78"/>
      <c r="BL24" s="78">
        <f t="shared" si="36"/>
        <v>249.7148952</v>
      </c>
      <c r="BM24" s="78">
        <f t="shared" si="37"/>
        <v>249.7148952</v>
      </c>
      <c r="BN24" s="79">
        <f t="shared" si="38"/>
        <v>80.6913012</v>
      </c>
      <c r="BO24" s="77">
        <f t="shared" si="39"/>
        <v>3.9485940000000004</v>
      </c>
      <c r="BP24" s="79"/>
      <c r="BQ24" s="78"/>
      <c r="BR24" s="78">
        <f t="shared" si="40"/>
        <v>167.74351319999997</v>
      </c>
      <c r="BS24" s="78">
        <f t="shared" si="41"/>
        <v>167.74351319999997</v>
      </c>
      <c r="BT24" s="79">
        <f t="shared" si="42"/>
        <v>54.203584199999995</v>
      </c>
      <c r="BU24" s="77">
        <f t="shared" si="43"/>
        <v>2.6524289999999997</v>
      </c>
      <c r="BV24" s="79"/>
      <c r="BW24" s="78"/>
      <c r="BX24" s="78">
        <f t="shared" si="44"/>
        <v>-24.9885078</v>
      </c>
      <c r="BY24" s="78">
        <f t="shared" si="45"/>
        <v>-24.9885078</v>
      </c>
      <c r="BZ24" s="79">
        <f t="shared" si="46"/>
        <v>-8.0746293</v>
      </c>
      <c r="CA24" s="77">
        <f t="shared" si="47"/>
        <v>-0.3951285</v>
      </c>
      <c r="CB24" s="78"/>
      <c r="CC24" s="78"/>
      <c r="CD24" s="78">
        <f t="shared" si="48"/>
        <v>-16.280821200000002</v>
      </c>
      <c r="CE24" s="78">
        <f t="shared" si="49"/>
        <v>-16.280821200000002</v>
      </c>
      <c r="CF24" s="79">
        <f t="shared" si="50"/>
        <v>-5.2608822</v>
      </c>
      <c r="CG24" s="77">
        <f t="shared" si="51"/>
        <v>-0.257439</v>
      </c>
      <c r="CH24" s="79"/>
      <c r="CI24" s="78"/>
      <c r="CJ24" s="78">
        <f t="shared" si="52"/>
        <v>605.4536748</v>
      </c>
      <c r="CK24" s="78">
        <f t="shared" si="53"/>
        <v>605.4536748</v>
      </c>
      <c r="CL24" s="79">
        <f t="shared" si="54"/>
        <v>195.64249379999998</v>
      </c>
      <c r="CM24" s="77">
        <f t="shared" si="55"/>
        <v>9.573681</v>
      </c>
      <c r="CN24" s="79"/>
      <c r="CO24" s="78"/>
      <c r="CP24" s="78">
        <f t="shared" si="56"/>
        <v>3723.316026</v>
      </c>
      <c r="CQ24" s="78">
        <f t="shared" si="57"/>
        <v>3723.316026</v>
      </c>
      <c r="CR24" s="79">
        <f t="shared" si="58"/>
        <v>1203.128931</v>
      </c>
      <c r="CS24" s="77">
        <f t="shared" si="59"/>
        <v>58.874595</v>
      </c>
      <c r="CT24" s="79"/>
      <c r="CU24" s="78"/>
      <c r="CV24" s="78">
        <f t="shared" si="60"/>
        <v>25012.6453938</v>
      </c>
      <c r="CW24" s="78">
        <f t="shared" si="61"/>
        <v>25012.6453938</v>
      </c>
      <c r="CX24" s="79">
        <f t="shared" si="62"/>
        <v>8082.4289703</v>
      </c>
      <c r="CY24" s="77">
        <f t="shared" si="63"/>
        <v>395.5101735</v>
      </c>
      <c r="CZ24" s="79"/>
      <c r="DA24" s="78"/>
      <c r="DB24" s="78">
        <f t="shared" si="64"/>
        <v>3608.7830016</v>
      </c>
      <c r="DC24" s="78">
        <f t="shared" si="65"/>
        <v>3608.7830016</v>
      </c>
      <c r="DD24" s="79">
        <f t="shared" si="66"/>
        <v>1166.1194496</v>
      </c>
      <c r="DE24" s="77">
        <f t="shared" si="67"/>
        <v>57.063552</v>
      </c>
      <c r="DF24" s="79"/>
      <c r="DG24" s="78"/>
      <c r="DH24" s="78">
        <f t="shared" si="68"/>
        <v>7373.7938136</v>
      </c>
      <c r="DI24" s="78">
        <f t="shared" si="69"/>
        <v>7373.7938136</v>
      </c>
      <c r="DJ24" s="79">
        <f t="shared" si="70"/>
        <v>2382.7213716</v>
      </c>
      <c r="DK24" s="77">
        <f t="shared" si="71"/>
        <v>116.597442</v>
      </c>
      <c r="DL24" s="79"/>
      <c r="DM24" s="78"/>
      <c r="DN24" s="78">
        <f t="shared" si="72"/>
        <v>1195.8745356</v>
      </c>
      <c r="DO24" s="78">
        <f t="shared" si="73"/>
        <v>1195.8745356</v>
      </c>
      <c r="DP24" s="79">
        <f t="shared" si="74"/>
        <v>386.4273786</v>
      </c>
      <c r="DQ24" s="77">
        <f t="shared" si="75"/>
        <v>18.909657</v>
      </c>
      <c r="DR24" s="79"/>
      <c r="DS24" s="78"/>
      <c r="DT24" s="78">
        <f t="shared" si="76"/>
        <v>6134.579391599999</v>
      </c>
      <c r="DU24" s="78">
        <f t="shared" si="77"/>
        <v>6134.579391599999</v>
      </c>
      <c r="DV24" s="79">
        <f t="shared" si="78"/>
        <v>1982.2894146</v>
      </c>
      <c r="DW24" s="77">
        <f t="shared" si="79"/>
        <v>97.002477</v>
      </c>
      <c r="DX24" s="79"/>
      <c r="DY24" s="78"/>
      <c r="DZ24" s="78">
        <f t="shared" si="80"/>
        <v>54.827225399999996</v>
      </c>
      <c r="EA24" s="78">
        <f t="shared" si="81"/>
        <v>54.827225399999996</v>
      </c>
      <c r="EB24" s="79">
        <f t="shared" si="82"/>
        <v>17.7165249</v>
      </c>
      <c r="EC24" s="77">
        <f t="shared" si="83"/>
        <v>0.8669505000000001</v>
      </c>
      <c r="ED24" s="79"/>
      <c r="EE24" s="78"/>
      <c r="EF24" s="78">
        <f t="shared" si="84"/>
        <v>72.1575072</v>
      </c>
      <c r="EG24" s="78">
        <f t="shared" si="85"/>
        <v>72.1575072</v>
      </c>
      <c r="EH24" s="79">
        <f t="shared" si="86"/>
        <v>23.3165232</v>
      </c>
      <c r="EI24" s="77">
        <f t="shared" si="87"/>
        <v>1.140984</v>
      </c>
      <c r="EJ24" s="79"/>
      <c r="EK24" s="78"/>
      <c r="EL24" s="78">
        <f t="shared" si="88"/>
        <v>3635.8704306</v>
      </c>
      <c r="EM24" s="78">
        <f t="shared" si="89"/>
        <v>3635.8704306</v>
      </c>
      <c r="EN24" s="79">
        <f t="shared" si="90"/>
        <v>1174.8723111000002</v>
      </c>
      <c r="EO24" s="77">
        <f t="shared" si="91"/>
        <v>57.4918695</v>
      </c>
      <c r="EP24" s="79"/>
      <c r="EQ24" s="78"/>
      <c r="ER24" s="78">
        <f t="shared" si="92"/>
        <v>69.207672</v>
      </c>
      <c r="ES24" s="78">
        <f t="shared" si="93"/>
        <v>69.207672</v>
      </c>
      <c r="ET24" s="79">
        <f t="shared" si="94"/>
        <v>22.363332</v>
      </c>
      <c r="EU24" s="77">
        <f t="shared" si="95"/>
        <v>1.0943399999999999</v>
      </c>
      <c r="EV24" s="79"/>
      <c r="EW24" s="78"/>
      <c r="EX24" s="78">
        <f t="shared" si="96"/>
        <v>1034.1157842</v>
      </c>
      <c r="EY24" s="78">
        <f t="shared" si="97"/>
        <v>1034.1157842</v>
      </c>
      <c r="EZ24" s="79">
        <f t="shared" si="98"/>
        <v>334.15767270000003</v>
      </c>
      <c r="FA24" s="77">
        <f t="shared" si="99"/>
        <v>16.351861500000002</v>
      </c>
      <c r="FB24" s="79"/>
      <c r="FC24" s="78"/>
      <c r="FD24" s="78">
        <f t="shared" si="100"/>
        <v>718.3699626</v>
      </c>
      <c r="FE24" s="78">
        <f t="shared" si="101"/>
        <v>718.3699626</v>
      </c>
      <c r="FF24" s="79">
        <f t="shared" si="102"/>
        <v>232.1295531</v>
      </c>
      <c r="FG24" s="77">
        <f t="shared" si="103"/>
        <v>11.3591595</v>
      </c>
      <c r="FH24" s="79"/>
      <c r="FI24" s="78"/>
      <c r="FJ24" s="78">
        <f t="shared" si="104"/>
        <v>280.4328906</v>
      </c>
      <c r="FK24" s="78">
        <f t="shared" si="105"/>
        <v>280.4328906</v>
      </c>
      <c r="FL24" s="79">
        <f t="shared" si="106"/>
        <v>90.6173211</v>
      </c>
      <c r="FM24" s="77">
        <f t="shared" si="107"/>
        <v>4.4343195</v>
      </c>
      <c r="FN24" s="79"/>
      <c r="FO24" s="78"/>
      <c r="FP24" s="78">
        <f t="shared" si="108"/>
        <v>3151.5301818000003</v>
      </c>
      <c r="FQ24" s="78">
        <f t="shared" si="109"/>
        <v>3151.5301818000003</v>
      </c>
      <c r="FR24" s="79">
        <f t="shared" si="110"/>
        <v>1018.3656483000001</v>
      </c>
      <c r="FS24" s="77">
        <f t="shared" si="111"/>
        <v>49.8332835</v>
      </c>
      <c r="FT24" s="79"/>
      <c r="FU24" s="78"/>
      <c r="FV24" s="78">
        <f t="shared" si="112"/>
        <v>7102.9195236</v>
      </c>
      <c r="FW24" s="78">
        <f t="shared" si="113"/>
        <v>7102.9195236</v>
      </c>
      <c r="FX24" s="79">
        <f t="shared" si="114"/>
        <v>2295.1927566</v>
      </c>
      <c r="FY24" s="77">
        <f t="shared" si="115"/>
        <v>112.314267</v>
      </c>
      <c r="FZ24" s="79"/>
      <c r="GA24" s="78"/>
      <c r="GB24" s="78">
        <f t="shared" si="116"/>
        <v>906.4219566000002</v>
      </c>
      <c r="GC24" s="78">
        <f t="shared" si="117"/>
        <v>906.4219566000002</v>
      </c>
      <c r="GD24" s="79">
        <f t="shared" si="118"/>
        <v>292.8954921</v>
      </c>
      <c r="GE24" s="77">
        <f t="shared" si="119"/>
        <v>14.3327145</v>
      </c>
      <c r="GF24" s="79"/>
      <c r="GG24" s="78"/>
      <c r="GH24" s="78">
        <f t="shared" si="120"/>
        <v>1439.4061224000002</v>
      </c>
      <c r="GI24" s="78">
        <f t="shared" si="121"/>
        <v>1439.4061224000002</v>
      </c>
      <c r="GJ24" s="79">
        <f t="shared" si="122"/>
        <v>465.1206444</v>
      </c>
      <c r="GK24" s="77">
        <f t="shared" si="123"/>
        <v>22.760478</v>
      </c>
      <c r="GL24" s="79"/>
      <c r="GM24" s="78"/>
      <c r="GN24" s="78">
        <f t="shared" si="124"/>
        <v>6670.8537582</v>
      </c>
      <c r="GO24" s="78">
        <f t="shared" si="125"/>
        <v>6670.8537582</v>
      </c>
      <c r="GP24" s="79">
        <f t="shared" si="126"/>
        <v>2155.5777417</v>
      </c>
      <c r="GQ24" s="77">
        <f t="shared" si="127"/>
        <v>105.4822665</v>
      </c>
      <c r="GR24" s="79"/>
      <c r="GS24" s="78"/>
      <c r="GT24" s="78">
        <f t="shared" si="128"/>
        <v>354.0369516</v>
      </c>
      <c r="GU24" s="78">
        <f t="shared" si="129"/>
        <v>354.0369516</v>
      </c>
      <c r="GV24" s="79">
        <f t="shared" si="130"/>
        <v>114.40127460000001</v>
      </c>
      <c r="GW24" s="77">
        <f t="shared" si="131"/>
        <v>5.598177000000001</v>
      </c>
      <c r="GX24" s="79"/>
      <c r="GY24" s="78"/>
      <c r="GZ24" s="78">
        <f t="shared" si="132"/>
        <v>2029.8269832000003</v>
      </c>
      <c r="HA24" s="78">
        <f t="shared" si="133"/>
        <v>2029.8269832000003</v>
      </c>
      <c r="HB24" s="79">
        <f t="shared" si="134"/>
        <v>655.9055292</v>
      </c>
      <c r="HC24" s="77">
        <f t="shared" si="135"/>
        <v>32.096454</v>
      </c>
      <c r="HD24" s="79"/>
      <c r="HE24" s="79"/>
      <c r="HF24" s="79"/>
      <c r="HG24" s="79"/>
      <c r="HH24" s="79"/>
      <c r="HI24" s="79"/>
    </row>
    <row r="25" spans="1:217" s="52" customFormat="1" ht="12">
      <c r="A25" s="51">
        <v>45017</v>
      </c>
      <c r="C25" s="42">
        <v>6540000</v>
      </c>
      <c r="D25" s="42">
        <v>283638</v>
      </c>
      <c r="E25" s="77">
        <f t="shared" si="0"/>
        <v>6823638</v>
      </c>
      <c r="F25" s="77">
        <v>91653</v>
      </c>
      <c r="G25" s="77">
        <v>4485</v>
      </c>
      <c r="H25" s="79"/>
      <c r="I25" s="79">
        <f>O25+U25+AA25+AG25+AM25+AS25+AY25+BE25+BK25+BQ25+BW25+CC25+CI25+CO25+CU25+DA25+DG25+DM25+DS25+DY25+EE25+EK25+EQ25+EW25+FC25+FI25+FO25+FU25+GA25+GG25+GM25+GS25+GY25</f>
        <v>3550081.3860000004</v>
      </c>
      <c r="J25" s="79">
        <f t="shared" si="1"/>
        <v>153966.0526242</v>
      </c>
      <c r="K25" s="79">
        <f t="shared" si="2"/>
        <v>3704047.4386242004</v>
      </c>
      <c r="L25" s="79">
        <f t="shared" si="3"/>
        <v>49751.6222127</v>
      </c>
      <c r="M25" s="79">
        <f t="shared" si="3"/>
        <v>2434.5741615</v>
      </c>
      <c r="N25" s="79"/>
      <c r="O25" s="78">
        <f t="shared" si="136"/>
        <v>432589.60799999995</v>
      </c>
      <c r="P25" s="78">
        <f t="shared" si="4"/>
        <v>18761.2922376</v>
      </c>
      <c r="Q25" s="79">
        <f t="shared" si="5"/>
        <v>451350.90023759997</v>
      </c>
      <c r="R25" s="79">
        <f t="shared" si="6"/>
        <v>6062.4060156000005</v>
      </c>
      <c r="S25" s="77">
        <f t="shared" si="7"/>
        <v>296.661222</v>
      </c>
      <c r="T25" s="79"/>
      <c r="U25" s="78">
        <f t="shared" si="137"/>
        <v>7387.584</v>
      </c>
      <c r="V25" s="78">
        <f t="shared" si="8"/>
        <v>320.39748480000003</v>
      </c>
      <c r="W25" s="78">
        <f t="shared" si="9"/>
        <v>7707.9814848</v>
      </c>
      <c r="X25" s="79">
        <f t="shared" si="10"/>
        <v>103.5312288</v>
      </c>
      <c r="Y25" s="77">
        <f t="shared" si="11"/>
        <v>5.066255999999999</v>
      </c>
      <c r="Z25" s="79"/>
      <c r="AA25" s="79">
        <f t="shared" si="138"/>
        <v>33350.075999999994</v>
      </c>
      <c r="AB25" s="78">
        <f t="shared" si="12"/>
        <v>1446.3836172</v>
      </c>
      <c r="AC25" s="78">
        <f t="shared" si="13"/>
        <v>34796.459617199995</v>
      </c>
      <c r="AD25" s="79">
        <f t="shared" si="14"/>
        <v>467.37530819999995</v>
      </c>
      <c r="AE25" s="77">
        <f t="shared" si="15"/>
        <v>22.870808999999998</v>
      </c>
      <c r="AF25" s="79"/>
      <c r="AG25" s="78">
        <f t="shared" si="139"/>
        <v>579965.238</v>
      </c>
      <c r="AH25" s="78">
        <f t="shared" si="16"/>
        <v>25152.932748599997</v>
      </c>
      <c r="AI25" s="78">
        <f t="shared" si="17"/>
        <v>605118.1707486</v>
      </c>
      <c r="AJ25" s="79">
        <f t="shared" si="18"/>
        <v>8127.7605441</v>
      </c>
      <c r="AK25" s="77">
        <f t="shared" si="19"/>
        <v>397.7284545</v>
      </c>
      <c r="AL25" s="79"/>
      <c r="AM25" s="78">
        <f t="shared" si="140"/>
        <v>7025.268</v>
      </c>
      <c r="AN25" s="78">
        <f t="shared" si="20"/>
        <v>304.68393960000003</v>
      </c>
      <c r="AO25" s="78">
        <f t="shared" si="21"/>
        <v>7329.9519396</v>
      </c>
      <c r="AP25" s="79">
        <f t="shared" si="22"/>
        <v>98.4536526</v>
      </c>
      <c r="AQ25" s="77">
        <f t="shared" si="23"/>
        <v>4.817787</v>
      </c>
      <c r="AR25" s="78"/>
      <c r="AS25" s="78">
        <f t="shared" si="141"/>
        <v>5924.585999999999</v>
      </c>
      <c r="AT25" s="78">
        <f t="shared" si="24"/>
        <v>256.9476642</v>
      </c>
      <c r="AU25" s="78">
        <f t="shared" si="25"/>
        <v>6181.533664199999</v>
      </c>
      <c r="AV25" s="79">
        <f t="shared" si="26"/>
        <v>83.0284527</v>
      </c>
      <c r="AW25" s="77">
        <f t="shared" si="27"/>
        <v>4.0629615</v>
      </c>
      <c r="AX25" s="79"/>
      <c r="AY25" s="78">
        <f t="shared" si="142"/>
        <v>243070.87200000003</v>
      </c>
      <c r="AZ25" s="78">
        <f t="shared" si="28"/>
        <v>10541.9168184</v>
      </c>
      <c r="BA25" s="78">
        <f t="shared" si="29"/>
        <v>253612.78881840003</v>
      </c>
      <c r="BB25" s="79">
        <f t="shared" si="30"/>
        <v>3406.4487204</v>
      </c>
      <c r="BC25" s="77">
        <f t="shared" si="31"/>
        <v>166.693098</v>
      </c>
      <c r="BD25" s="79"/>
      <c r="BE25" s="78">
        <f t="shared" si="143"/>
        <v>498755.442</v>
      </c>
      <c r="BF25" s="78">
        <f t="shared" si="32"/>
        <v>21630.886247399998</v>
      </c>
      <c r="BG25" s="78">
        <f t="shared" si="33"/>
        <v>520386.3282474</v>
      </c>
      <c r="BH25" s="79">
        <f t="shared" si="34"/>
        <v>6989.6685819</v>
      </c>
      <c r="BI25" s="77">
        <f t="shared" si="35"/>
        <v>342.03641550000003</v>
      </c>
      <c r="BJ25" s="79"/>
      <c r="BK25" s="78">
        <f t="shared" si="144"/>
        <v>5757.816</v>
      </c>
      <c r="BL25" s="78">
        <f t="shared" si="36"/>
        <v>249.7148952</v>
      </c>
      <c r="BM25" s="78">
        <f t="shared" si="37"/>
        <v>6007.5308952</v>
      </c>
      <c r="BN25" s="79">
        <f t="shared" si="38"/>
        <v>80.6913012</v>
      </c>
      <c r="BO25" s="77">
        <f t="shared" si="39"/>
        <v>3.9485940000000004</v>
      </c>
      <c r="BP25" s="79"/>
      <c r="BQ25" s="78">
        <f t="shared" si="145"/>
        <v>3867.756</v>
      </c>
      <c r="BR25" s="78">
        <f t="shared" si="40"/>
        <v>167.74351319999997</v>
      </c>
      <c r="BS25" s="78">
        <f t="shared" si="41"/>
        <v>4035.4995132</v>
      </c>
      <c r="BT25" s="79">
        <f t="shared" si="42"/>
        <v>54.203584199999995</v>
      </c>
      <c r="BU25" s="77">
        <f t="shared" si="43"/>
        <v>2.6524289999999997</v>
      </c>
      <c r="BV25" s="79"/>
      <c r="BW25" s="78">
        <f t="shared" si="146"/>
        <v>-576.174</v>
      </c>
      <c r="BX25" s="78">
        <f t="shared" si="44"/>
        <v>-24.9885078</v>
      </c>
      <c r="BY25" s="78">
        <f t="shared" si="45"/>
        <v>-601.1625078</v>
      </c>
      <c r="BZ25" s="79">
        <f t="shared" si="46"/>
        <v>-8.0746293</v>
      </c>
      <c r="CA25" s="77">
        <f t="shared" si="47"/>
        <v>-0.3951285</v>
      </c>
      <c r="CB25" s="78"/>
      <c r="CC25" s="78">
        <f t="shared" si="147"/>
        <v>-375.39599999999996</v>
      </c>
      <c r="CD25" s="78">
        <f t="shared" si="48"/>
        <v>-16.280821200000002</v>
      </c>
      <c r="CE25" s="78">
        <f t="shared" si="49"/>
        <v>-391.67682119999995</v>
      </c>
      <c r="CF25" s="79">
        <f t="shared" si="50"/>
        <v>-5.2608822</v>
      </c>
      <c r="CG25" s="77">
        <f t="shared" si="51"/>
        <v>-0.257439</v>
      </c>
      <c r="CH25" s="79"/>
      <c r="CI25" s="78">
        <f t="shared" si="148"/>
        <v>13960.284000000001</v>
      </c>
      <c r="CJ25" s="78">
        <f t="shared" si="52"/>
        <v>605.4536748</v>
      </c>
      <c r="CK25" s="78">
        <f t="shared" si="53"/>
        <v>14565.737674800002</v>
      </c>
      <c r="CL25" s="79">
        <f t="shared" si="54"/>
        <v>195.64249379999998</v>
      </c>
      <c r="CM25" s="77">
        <f t="shared" si="55"/>
        <v>9.573681</v>
      </c>
      <c r="CN25" s="79"/>
      <c r="CO25" s="78">
        <f t="shared" si="149"/>
        <v>85850.58</v>
      </c>
      <c r="CP25" s="78">
        <f t="shared" si="56"/>
        <v>3723.316026</v>
      </c>
      <c r="CQ25" s="78">
        <f t="shared" si="57"/>
        <v>89573.896026</v>
      </c>
      <c r="CR25" s="79">
        <f t="shared" si="58"/>
        <v>1203.128931</v>
      </c>
      <c r="CS25" s="77">
        <f t="shared" si="59"/>
        <v>58.874595</v>
      </c>
      <c r="CT25" s="79"/>
      <c r="CU25" s="78">
        <f t="shared" si="150"/>
        <v>576730.554</v>
      </c>
      <c r="CV25" s="78">
        <f t="shared" si="60"/>
        <v>25012.6453938</v>
      </c>
      <c r="CW25" s="78">
        <f t="shared" si="61"/>
        <v>601743.1993938</v>
      </c>
      <c r="CX25" s="79">
        <f t="shared" si="62"/>
        <v>8082.4289703</v>
      </c>
      <c r="CY25" s="77">
        <f t="shared" si="63"/>
        <v>395.5101735</v>
      </c>
      <c r="CZ25" s="79"/>
      <c r="DA25" s="78">
        <f t="shared" si="151"/>
        <v>83209.72799999999</v>
      </c>
      <c r="DB25" s="78">
        <f t="shared" si="64"/>
        <v>3608.7830016</v>
      </c>
      <c r="DC25" s="78">
        <f t="shared" si="65"/>
        <v>86818.51100159998</v>
      </c>
      <c r="DD25" s="79">
        <f t="shared" si="66"/>
        <v>1166.1194496</v>
      </c>
      <c r="DE25" s="77">
        <f t="shared" si="67"/>
        <v>57.063552</v>
      </c>
      <c r="DF25" s="79"/>
      <c r="DG25" s="78">
        <f t="shared" si="152"/>
        <v>170021.688</v>
      </c>
      <c r="DH25" s="78">
        <f t="shared" si="68"/>
        <v>7373.7938136</v>
      </c>
      <c r="DI25" s="78">
        <f t="shared" si="69"/>
        <v>177395.4818136</v>
      </c>
      <c r="DJ25" s="79">
        <f t="shared" si="70"/>
        <v>2382.7213716</v>
      </c>
      <c r="DK25" s="77">
        <f t="shared" si="71"/>
        <v>116.597442</v>
      </c>
      <c r="DL25" s="79"/>
      <c r="DM25" s="78">
        <f t="shared" si="153"/>
        <v>27573.947999999997</v>
      </c>
      <c r="DN25" s="78">
        <f t="shared" si="72"/>
        <v>1195.8745356</v>
      </c>
      <c r="DO25" s="78">
        <f t="shared" si="73"/>
        <v>28769.822535599997</v>
      </c>
      <c r="DP25" s="79">
        <f t="shared" si="74"/>
        <v>386.4273786</v>
      </c>
      <c r="DQ25" s="77">
        <f t="shared" si="75"/>
        <v>18.909657</v>
      </c>
      <c r="DR25" s="79"/>
      <c r="DS25" s="78">
        <f t="shared" si="154"/>
        <v>141448.42799999999</v>
      </c>
      <c r="DT25" s="78">
        <f t="shared" si="76"/>
        <v>6134.579391599999</v>
      </c>
      <c r="DU25" s="78">
        <f t="shared" si="77"/>
        <v>147583.0073916</v>
      </c>
      <c r="DV25" s="79">
        <f t="shared" si="78"/>
        <v>1982.2894146</v>
      </c>
      <c r="DW25" s="77">
        <f t="shared" si="79"/>
        <v>97.002477</v>
      </c>
      <c r="DX25" s="79"/>
      <c r="DY25" s="78">
        <f t="shared" si="155"/>
        <v>1264.182</v>
      </c>
      <c r="DZ25" s="78">
        <f t="shared" si="80"/>
        <v>54.827225399999996</v>
      </c>
      <c r="EA25" s="78">
        <f t="shared" si="81"/>
        <v>1319.0092254</v>
      </c>
      <c r="EB25" s="79">
        <f t="shared" si="82"/>
        <v>17.7165249</v>
      </c>
      <c r="EC25" s="77">
        <f t="shared" si="83"/>
        <v>0.8669505000000001</v>
      </c>
      <c r="ED25" s="79"/>
      <c r="EE25" s="78">
        <f t="shared" si="156"/>
        <v>1663.776</v>
      </c>
      <c r="EF25" s="78">
        <f t="shared" si="84"/>
        <v>72.1575072</v>
      </c>
      <c r="EG25" s="78">
        <f t="shared" si="85"/>
        <v>1735.9335072000001</v>
      </c>
      <c r="EH25" s="79">
        <f t="shared" si="86"/>
        <v>23.3165232</v>
      </c>
      <c r="EI25" s="77">
        <f t="shared" si="87"/>
        <v>1.140984</v>
      </c>
      <c r="EJ25" s="79"/>
      <c r="EK25" s="78">
        <f t="shared" si="157"/>
        <v>83834.29800000001</v>
      </c>
      <c r="EL25" s="78">
        <f t="shared" si="88"/>
        <v>3635.8704306</v>
      </c>
      <c r="EM25" s="78">
        <f t="shared" si="89"/>
        <v>87470.16843060001</v>
      </c>
      <c r="EN25" s="79">
        <f t="shared" si="90"/>
        <v>1174.8723111000002</v>
      </c>
      <c r="EO25" s="77">
        <f t="shared" si="91"/>
        <v>57.4918695</v>
      </c>
      <c r="EP25" s="79"/>
      <c r="EQ25" s="78">
        <f t="shared" si="158"/>
        <v>1595.76</v>
      </c>
      <c r="ER25" s="78">
        <f t="shared" si="92"/>
        <v>69.207672</v>
      </c>
      <c r="ES25" s="78">
        <f t="shared" si="93"/>
        <v>1664.967672</v>
      </c>
      <c r="ET25" s="79">
        <f t="shared" si="94"/>
        <v>22.363332</v>
      </c>
      <c r="EU25" s="77">
        <f t="shared" si="95"/>
        <v>1.0943399999999999</v>
      </c>
      <c r="EV25" s="79"/>
      <c r="EW25" s="78">
        <f t="shared" si="159"/>
        <v>23844.186</v>
      </c>
      <c r="EX25" s="78">
        <f t="shared" si="96"/>
        <v>1034.1157842</v>
      </c>
      <c r="EY25" s="78">
        <f t="shared" si="97"/>
        <v>24878.3017842</v>
      </c>
      <c r="EZ25" s="79">
        <f t="shared" si="98"/>
        <v>334.15767270000003</v>
      </c>
      <c r="FA25" s="77">
        <f t="shared" si="99"/>
        <v>16.351861500000002</v>
      </c>
      <c r="FB25" s="79"/>
      <c r="FC25" s="78">
        <f t="shared" si="160"/>
        <v>16563.858</v>
      </c>
      <c r="FD25" s="78">
        <f t="shared" si="100"/>
        <v>718.3699626</v>
      </c>
      <c r="FE25" s="78">
        <f t="shared" si="101"/>
        <v>17282.2279626</v>
      </c>
      <c r="FF25" s="79">
        <f t="shared" si="102"/>
        <v>232.1295531</v>
      </c>
      <c r="FG25" s="77">
        <f t="shared" si="103"/>
        <v>11.3591595</v>
      </c>
      <c r="FH25" s="79"/>
      <c r="FI25" s="78">
        <f t="shared" si="161"/>
        <v>6466.098000000001</v>
      </c>
      <c r="FJ25" s="78">
        <f t="shared" si="104"/>
        <v>280.4328906</v>
      </c>
      <c r="FK25" s="78">
        <f t="shared" si="105"/>
        <v>6746.530890600001</v>
      </c>
      <c r="FL25" s="79">
        <f t="shared" si="106"/>
        <v>90.6173211</v>
      </c>
      <c r="FM25" s="77">
        <f t="shared" si="107"/>
        <v>4.4343195</v>
      </c>
      <c r="FN25" s="79"/>
      <c r="FO25" s="78">
        <f t="shared" si="162"/>
        <v>72666.594</v>
      </c>
      <c r="FP25" s="78">
        <f t="shared" si="108"/>
        <v>3151.5301818000003</v>
      </c>
      <c r="FQ25" s="78">
        <f t="shared" si="109"/>
        <v>75818.1241818</v>
      </c>
      <c r="FR25" s="79">
        <f t="shared" si="110"/>
        <v>1018.3656483000001</v>
      </c>
      <c r="FS25" s="77">
        <f t="shared" si="111"/>
        <v>49.8332835</v>
      </c>
      <c r="FT25" s="79"/>
      <c r="FU25" s="78">
        <f t="shared" si="163"/>
        <v>163775.988</v>
      </c>
      <c r="FV25" s="78">
        <f t="shared" si="112"/>
        <v>7102.9195236</v>
      </c>
      <c r="FW25" s="78">
        <f t="shared" si="113"/>
        <v>170878.9075236</v>
      </c>
      <c r="FX25" s="79">
        <f t="shared" si="114"/>
        <v>2295.1927566</v>
      </c>
      <c r="FY25" s="77">
        <f t="shared" si="115"/>
        <v>112.314267</v>
      </c>
      <c r="FZ25" s="79"/>
      <c r="GA25" s="78">
        <f t="shared" si="164"/>
        <v>20899.878</v>
      </c>
      <c r="GB25" s="78">
        <f t="shared" si="116"/>
        <v>906.4219566000002</v>
      </c>
      <c r="GC25" s="78">
        <f t="shared" si="117"/>
        <v>21806.2999566</v>
      </c>
      <c r="GD25" s="79">
        <f t="shared" si="118"/>
        <v>292.8954921</v>
      </c>
      <c r="GE25" s="77">
        <f t="shared" si="119"/>
        <v>14.3327145</v>
      </c>
      <c r="GF25" s="79"/>
      <c r="GG25" s="78">
        <f t="shared" si="165"/>
        <v>33189.192</v>
      </c>
      <c r="GH25" s="78">
        <f t="shared" si="120"/>
        <v>1439.4061224000002</v>
      </c>
      <c r="GI25" s="78">
        <f t="shared" si="121"/>
        <v>34628.598122400006</v>
      </c>
      <c r="GJ25" s="79">
        <f t="shared" si="122"/>
        <v>465.1206444</v>
      </c>
      <c r="GK25" s="77">
        <f t="shared" si="123"/>
        <v>22.760478</v>
      </c>
      <c r="GL25" s="79"/>
      <c r="GM25" s="78">
        <f t="shared" si="166"/>
        <v>153813.606</v>
      </c>
      <c r="GN25" s="78">
        <f t="shared" si="124"/>
        <v>6670.8537582</v>
      </c>
      <c r="GO25" s="78">
        <f t="shared" si="125"/>
        <v>160484.4597582</v>
      </c>
      <c r="GP25" s="79">
        <f t="shared" si="126"/>
        <v>2155.5777417</v>
      </c>
      <c r="GQ25" s="77">
        <f t="shared" si="127"/>
        <v>105.4822665</v>
      </c>
      <c r="GR25" s="79"/>
      <c r="GS25" s="78">
        <f t="shared" si="167"/>
        <v>8163.228</v>
      </c>
      <c r="GT25" s="78">
        <f t="shared" si="128"/>
        <v>354.0369516</v>
      </c>
      <c r="GU25" s="78">
        <f t="shared" si="129"/>
        <v>8517.2649516</v>
      </c>
      <c r="GV25" s="79">
        <f t="shared" si="130"/>
        <v>114.40127460000001</v>
      </c>
      <c r="GW25" s="77">
        <f t="shared" si="131"/>
        <v>5.598177000000001</v>
      </c>
      <c r="GX25" s="79"/>
      <c r="GY25" s="78">
        <f t="shared" si="168"/>
        <v>46802.85600000001</v>
      </c>
      <c r="GZ25" s="78">
        <f t="shared" si="132"/>
        <v>2029.8269832000003</v>
      </c>
      <c r="HA25" s="78">
        <f t="shared" si="133"/>
        <v>48832.68298320001</v>
      </c>
      <c r="HB25" s="79">
        <f t="shared" si="134"/>
        <v>655.9055292</v>
      </c>
      <c r="HC25" s="77">
        <f t="shared" si="135"/>
        <v>32.096454</v>
      </c>
      <c r="HD25" s="79"/>
      <c r="HE25" s="79"/>
      <c r="HF25" s="79"/>
      <c r="HG25" s="79"/>
      <c r="HH25" s="79"/>
      <c r="HI25" s="79"/>
    </row>
    <row r="26" spans="1:217" s="52" customFormat="1" ht="12">
      <c r="A26" s="51">
        <v>45200</v>
      </c>
      <c r="C26" s="42"/>
      <c r="D26" s="42">
        <v>120138</v>
      </c>
      <c r="E26" s="77">
        <f t="shared" si="0"/>
        <v>120138</v>
      </c>
      <c r="F26" s="77">
        <v>91653</v>
      </c>
      <c r="G26" s="77">
        <v>4485</v>
      </c>
      <c r="H26" s="79"/>
      <c r="I26" s="79"/>
      <c r="J26" s="79">
        <f t="shared" si="1"/>
        <v>65214.0179742</v>
      </c>
      <c r="K26" s="79">
        <f t="shared" si="2"/>
        <v>65214.0179742</v>
      </c>
      <c r="L26" s="79">
        <f t="shared" si="3"/>
        <v>49751.6222127</v>
      </c>
      <c r="M26" s="79">
        <f t="shared" si="3"/>
        <v>2434.5741615</v>
      </c>
      <c r="N26" s="79"/>
      <c r="O26" s="78"/>
      <c r="P26" s="78">
        <f t="shared" si="4"/>
        <v>7946.5520375999995</v>
      </c>
      <c r="Q26" s="79">
        <f t="shared" si="5"/>
        <v>7946.5520375999995</v>
      </c>
      <c r="R26" s="79">
        <f t="shared" si="6"/>
        <v>6062.4060156000005</v>
      </c>
      <c r="S26" s="77">
        <f t="shared" si="7"/>
        <v>296.661222</v>
      </c>
      <c r="T26" s="79"/>
      <c r="U26" s="78"/>
      <c r="V26" s="78">
        <f t="shared" si="8"/>
        <v>135.70788480000002</v>
      </c>
      <c r="W26" s="78">
        <f t="shared" si="9"/>
        <v>135.70788480000002</v>
      </c>
      <c r="X26" s="79">
        <f t="shared" si="10"/>
        <v>103.5312288</v>
      </c>
      <c r="Y26" s="77">
        <f t="shared" si="11"/>
        <v>5.066255999999999</v>
      </c>
      <c r="Z26" s="79"/>
      <c r="AA26" s="79"/>
      <c r="AB26" s="78">
        <f t="shared" si="12"/>
        <v>612.6317171999999</v>
      </c>
      <c r="AC26" s="78">
        <f t="shared" si="13"/>
        <v>612.6317171999999</v>
      </c>
      <c r="AD26" s="79">
        <f t="shared" si="14"/>
        <v>467.37530819999995</v>
      </c>
      <c r="AE26" s="77">
        <f t="shared" si="15"/>
        <v>22.870808999999998</v>
      </c>
      <c r="AF26" s="79"/>
      <c r="AG26" s="78"/>
      <c r="AH26" s="78">
        <f t="shared" si="16"/>
        <v>10653.8017986</v>
      </c>
      <c r="AI26" s="78">
        <f t="shared" si="17"/>
        <v>10653.8017986</v>
      </c>
      <c r="AJ26" s="79">
        <f t="shared" si="18"/>
        <v>8127.7605441</v>
      </c>
      <c r="AK26" s="77">
        <f t="shared" si="19"/>
        <v>397.7284545</v>
      </c>
      <c r="AL26" s="79"/>
      <c r="AM26" s="78"/>
      <c r="AN26" s="78">
        <f t="shared" si="20"/>
        <v>129.0522396</v>
      </c>
      <c r="AO26" s="78">
        <f t="shared" si="21"/>
        <v>129.0522396</v>
      </c>
      <c r="AP26" s="79">
        <f t="shared" si="22"/>
        <v>98.4536526</v>
      </c>
      <c r="AQ26" s="77">
        <f t="shared" si="23"/>
        <v>4.817787</v>
      </c>
      <c r="AR26" s="78"/>
      <c r="AS26" s="78"/>
      <c r="AT26" s="78">
        <f t="shared" si="24"/>
        <v>108.8330142</v>
      </c>
      <c r="AU26" s="78">
        <f t="shared" si="25"/>
        <v>108.8330142</v>
      </c>
      <c r="AV26" s="79">
        <f t="shared" si="26"/>
        <v>83.0284527</v>
      </c>
      <c r="AW26" s="77">
        <f t="shared" si="27"/>
        <v>4.0629615</v>
      </c>
      <c r="AX26" s="79"/>
      <c r="AY26" s="78"/>
      <c r="AZ26" s="78">
        <f t="shared" si="28"/>
        <v>4465.1450184000005</v>
      </c>
      <c r="BA26" s="78">
        <f t="shared" si="29"/>
        <v>4465.1450184000005</v>
      </c>
      <c r="BB26" s="79">
        <f t="shared" si="30"/>
        <v>3406.4487204</v>
      </c>
      <c r="BC26" s="77">
        <f t="shared" si="31"/>
        <v>166.693098</v>
      </c>
      <c r="BD26" s="79"/>
      <c r="BE26" s="78"/>
      <c r="BF26" s="78">
        <f t="shared" si="32"/>
        <v>9162.000197399999</v>
      </c>
      <c r="BG26" s="78">
        <f t="shared" si="33"/>
        <v>9162.000197399999</v>
      </c>
      <c r="BH26" s="79">
        <f t="shared" si="34"/>
        <v>6989.6685819</v>
      </c>
      <c r="BI26" s="77">
        <f t="shared" si="35"/>
        <v>342.03641550000003</v>
      </c>
      <c r="BJ26" s="79"/>
      <c r="BK26" s="78"/>
      <c r="BL26" s="78">
        <f t="shared" si="36"/>
        <v>105.76949519999998</v>
      </c>
      <c r="BM26" s="78">
        <f t="shared" si="37"/>
        <v>105.76949519999998</v>
      </c>
      <c r="BN26" s="79">
        <f t="shared" si="38"/>
        <v>80.6913012</v>
      </c>
      <c r="BO26" s="77">
        <f t="shared" si="39"/>
        <v>3.9485940000000004</v>
      </c>
      <c r="BP26" s="79"/>
      <c r="BQ26" s="78"/>
      <c r="BR26" s="78">
        <f t="shared" si="40"/>
        <v>71.0496132</v>
      </c>
      <c r="BS26" s="78">
        <f t="shared" si="41"/>
        <v>71.0496132</v>
      </c>
      <c r="BT26" s="79">
        <f t="shared" si="42"/>
        <v>54.203584199999995</v>
      </c>
      <c r="BU26" s="77">
        <f t="shared" si="43"/>
        <v>2.6524289999999997</v>
      </c>
      <c r="BV26" s="79"/>
      <c r="BW26" s="78"/>
      <c r="BX26" s="78">
        <f t="shared" si="44"/>
        <v>-10.5841578</v>
      </c>
      <c r="BY26" s="78">
        <f t="shared" si="45"/>
        <v>-10.5841578</v>
      </c>
      <c r="BZ26" s="79">
        <f t="shared" si="46"/>
        <v>-8.0746293</v>
      </c>
      <c r="CA26" s="77">
        <f t="shared" si="47"/>
        <v>-0.3951285</v>
      </c>
      <c r="CB26" s="78"/>
      <c r="CC26" s="78"/>
      <c r="CD26" s="78">
        <f t="shared" si="48"/>
        <v>-6.8959212</v>
      </c>
      <c r="CE26" s="78">
        <f t="shared" si="49"/>
        <v>-6.8959212</v>
      </c>
      <c r="CF26" s="79">
        <f t="shared" si="50"/>
        <v>-5.2608822</v>
      </c>
      <c r="CG26" s="77">
        <f t="shared" si="51"/>
        <v>-0.257439</v>
      </c>
      <c r="CH26" s="79"/>
      <c r="CI26" s="78"/>
      <c r="CJ26" s="78">
        <f t="shared" si="52"/>
        <v>256.4465748</v>
      </c>
      <c r="CK26" s="78">
        <f t="shared" si="53"/>
        <v>256.4465748</v>
      </c>
      <c r="CL26" s="79">
        <f t="shared" si="54"/>
        <v>195.64249379999998</v>
      </c>
      <c r="CM26" s="77">
        <f t="shared" si="55"/>
        <v>9.573681</v>
      </c>
      <c r="CN26" s="79"/>
      <c r="CO26" s="78"/>
      <c r="CP26" s="78">
        <f t="shared" si="56"/>
        <v>1577.051526</v>
      </c>
      <c r="CQ26" s="78">
        <f t="shared" si="57"/>
        <v>1577.051526</v>
      </c>
      <c r="CR26" s="79">
        <f t="shared" si="58"/>
        <v>1203.128931</v>
      </c>
      <c r="CS26" s="77">
        <f t="shared" si="59"/>
        <v>58.874595</v>
      </c>
      <c r="CT26" s="79"/>
      <c r="CU26" s="78"/>
      <c r="CV26" s="78">
        <f t="shared" si="60"/>
        <v>10594.3815438</v>
      </c>
      <c r="CW26" s="78">
        <f t="shared" si="61"/>
        <v>10594.3815438</v>
      </c>
      <c r="CX26" s="79">
        <f t="shared" si="62"/>
        <v>8082.4289703</v>
      </c>
      <c r="CY26" s="77">
        <f t="shared" si="63"/>
        <v>395.5101735</v>
      </c>
      <c r="CZ26" s="79"/>
      <c r="DA26" s="78"/>
      <c r="DB26" s="78">
        <f t="shared" si="64"/>
        <v>1528.5398015999997</v>
      </c>
      <c r="DC26" s="78">
        <f t="shared" si="65"/>
        <v>1528.5398015999997</v>
      </c>
      <c r="DD26" s="79">
        <f t="shared" si="66"/>
        <v>1166.1194496</v>
      </c>
      <c r="DE26" s="77">
        <f t="shared" si="67"/>
        <v>57.063552</v>
      </c>
      <c r="DF26" s="79"/>
      <c r="DG26" s="78"/>
      <c r="DH26" s="78">
        <f t="shared" si="68"/>
        <v>3123.2516136000004</v>
      </c>
      <c r="DI26" s="78">
        <f t="shared" si="69"/>
        <v>3123.2516136000004</v>
      </c>
      <c r="DJ26" s="79">
        <f t="shared" si="70"/>
        <v>2382.7213716</v>
      </c>
      <c r="DK26" s="77">
        <f t="shared" si="71"/>
        <v>116.597442</v>
      </c>
      <c r="DL26" s="79"/>
      <c r="DM26" s="78"/>
      <c r="DN26" s="78">
        <f t="shared" si="72"/>
        <v>506.5258356</v>
      </c>
      <c r="DO26" s="78">
        <f t="shared" si="73"/>
        <v>506.5258356</v>
      </c>
      <c r="DP26" s="79">
        <f t="shared" si="74"/>
        <v>386.4273786</v>
      </c>
      <c r="DQ26" s="77">
        <f t="shared" si="75"/>
        <v>18.909657</v>
      </c>
      <c r="DR26" s="79"/>
      <c r="DS26" s="78"/>
      <c r="DT26" s="78">
        <f t="shared" si="76"/>
        <v>2598.3686916</v>
      </c>
      <c r="DU26" s="78">
        <f t="shared" si="77"/>
        <v>2598.3686916</v>
      </c>
      <c r="DV26" s="79">
        <f t="shared" si="78"/>
        <v>1982.2894146</v>
      </c>
      <c r="DW26" s="77">
        <f t="shared" si="79"/>
        <v>97.002477</v>
      </c>
      <c r="DX26" s="79"/>
      <c r="DY26" s="78"/>
      <c r="DZ26" s="78">
        <f t="shared" si="80"/>
        <v>23.2226754</v>
      </c>
      <c r="EA26" s="78">
        <f t="shared" si="81"/>
        <v>23.2226754</v>
      </c>
      <c r="EB26" s="79">
        <f t="shared" si="82"/>
        <v>17.7165249</v>
      </c>
      <c r="EC26" s="77">
        <f t="shared" si="83"/>
        <v>0.8669505000000001</v>
      </c>
      <c r="ED26" s="79"/>
      <c r="EE26" s="78"/>
      <c r="EF26" s="78">
        <f t="shared" si="84"/>
        <v>30.5631072</v>
      </c>
      <c r="EG26" s="78">
        <f t="shared" si="85"/>
        <v>30.5631072</v>
      </c>
      <c r="EH26" s="79">
        <f t="shared" si="86"/>
        <v>23.3165232</v>
      </c>
      <c r="EI26" s="77">
        <f t="shared" si="87"/>
        <v>1.140984</v>
      </c>
      <c r="EJ26" s="79"/>
      <c r="EK26" s="78"/>
      <c r="EL26" s="78">
        <f t="shared" si="88"/>
        <v>1540.0129806</v>
      </c>
      <c r="EM26" s="78">
        <f t="shared" si="89"/>
        <v>1540.0129806</v>
      </c>
      <c r="EN26" s="79">
        <f t="shared" si="90"/>
        <v>1174.8723111000002</v>
      </c>
      <c r="EO26" s="77">
        <f t="shared" si="91"/>
        <v>57.4918695</v>
      </c>
      <c r="EP26" s="79"/>
      <c r="EQ26" s="78"/>
      <c r="ER26" s="78">
        <f t="shared" si="92"/>
        <v>29.313672</v>
      </c>
      <c r="ES26" s="78">
        <f t="shared" si="93"/>
        <v>29.313672</v>
      </c>
      <c r="ET26" s="79">
        <f t="shared" si="94"/>
        <v>22.363332</v>
      </c>
      <c r="EU26" s="77">
        <f t="shared" si="95"/>
        <v>1.0943399999999999</v>
      </c>
      <c r="EV26" s="79"/>
      <c r="EW26" s="78"/>
      <c r="EX26" s="78">
        <f t="shared" si="96"/>
        <v>438.0111342</v>
      </c>
      <c r="EY26" s="78">
        <f t="shared" si="97"/>
        <v>438.0111342</v>
      </c>
      <c r="EZ26" s="79">
        <f t="shared" si="98"/>
        <v>334.15767270000003</v>
      </c>
      <c r="FA26" s="77">
        <f t="shared" si="99"/>
        <v>16.351861500000002</v>
      </c>
      <c r="FB26" s="79"/>
      <c r="FC26" s="78"/>
      <c r="FD26" s="78">
        <f t="shared" si="100"/>
        <v>304.2735126</v>
      </c>
      <c r="FE26" s="78">
        <f t="shared" si="101"/>
        <v>304.2735126</v>
      </c>
      <c r="FF26" s="79">
        <f t="shared" si="102"/>
        <v>232.1295531</v>
      </c>
      <c r="FG26" s="77">
        <f t="shared" si="103"/>
        <v>11.3591595</v>
      </c>
      <c r="FH26" s="79"/>
      <c r="FI26" s="78"/>
      <c r="FJ26" s="78">
        <f t="shared" si="104"/>
        <v>118.7804406</v>
      </c>
      <c r="FK26" s="78">
        <f t="shared" si="105"/>
        <v>118.7804406</v>
      </c>
      <c r="FL26" s="79">
        <f t="shared" si="106"/>
        <v>90.6173211</v>
      </c>
      <c r="FM26" s="77">
        <f t="shared" si="107"/>
        <v>4.4343195</v>
      </c>
      <c r="FN26" s="79"/>
      <c r="FO26" s="78"/>
      <c r="FP26" s="78">
        <f t="shared" si="108"/>
        <v>1334.8653318</v>
      </c>
      <c r="FQ26" s="78">
        <f t="shared" si="109"/>
        <v>1334.8653318</v>
      </c>
      <c r="FR26" s="79">
        <f t="shared" si="110"/>
        <v>1018.3656483000001</v>
      </c>
      <c r="FS26" s="77">
        <f t="shared" si="111"/>
        <v>49.8332835</v>
      </c>
      <c r="FT26" s="79"/>
      <c r="FU26" s="78"/>
      <c r="FV26" s="78">
        <f t="shared" si="112"/>
        <v>3008.5198236</v>
      </c>
      <c r="FW26" s="78">
        <f t="shared" si="113"/>
        <v>3008.5198236</v>
      </c>
      <c r="FX26" s="79">
        <f t="shared" si="114"/>
        <v>2295.1927566</v>
      </c>
      <c r="FY26" s="77">
        <f t="shared" si="115"/>
        <v>112.314267</v>
      </c>
      <c r="FZ26" s="79"/>
      <c r="GA26" s="78"/>
      <c r="GB26" s="78">
        <f t="shared" si="116"/>
        <v>383.9250066000001</v>
      </c>
      <c r="GC26" s="78">
        <f t="shared" si="117"/>
        <v>383.9250066000001</v>
      </c>
      <c r="GD26" s="79">
        <f t="shared" si="118"/>
        <v>292.8954921</v>
      </c>
      <c r="GE26" s="77">
        <f t="shared" si="119"/>
        <v>14.3327145</v>
      </c>
      <c r="GF26" s="79"/>
      <c r="GG26" s="78"/>
      <c r="GH26" s="78">
        <f t="shared" si="120"/>
        <v>609.6763224000001</v>
      </c>
      <c r="GI26" s="78">
        <f t="shared" si="121"/>
        <v>609.6763224000001</v>
      </c>
      <c r="GJ26" s="79">
        <f t="shared" si="122"/>
        <v>465.1206444</v>
      </c>
      <c r="GK26" s="77">
        <f t="shared" si="123"/>
        <v>22.760478</v>
      </c>
      <c r="GL26" s="79"/>
      <c r="GM26" s="78"/>
      <c r="GN26" s="78">
        <f t="shared" si="124"/>
        <v>2825.5136082</v>
      </c>
      <c r="GO26" s="78">
        <f t="shared" si="125"/>
        <v>2825.5136082</v>
      </c>
      <c r="GP26" s="79">
        <f t="shared" si="126"/>
        <v>2155.5777417</v>
      </c>
      <c r="GQ26" s="77">
        <f t="shared" si="127"/>
        <v>105.4822665</v>
      </c>
      <c r="GR26" s="79"/>
      <c r="GS26" s="78"/>
      <c r="GT26" s="78">
        <f t="shared" si="128"/>
        <v>149.9562516</v>
      </c>
      <c r="GU26" s="78">
        <f t="shared" si="129"/>
        <v>149.9562516</v>
      </c>
      <c r="GV26" s="79">
        <f t="shared" si="130"/>
        <v>114.40127460000001</v>
      </c>
      <c r="GW26" s="77">
        <f t="shared" si="131"/>
        <v>5.598177000000001</v>
      </c>
      <c r="GX26" s="79"/>
      <c r="GY26" s="78"/>
      <c r="GZ26" s="78">
        <f t="shared" si="132"/>
        <v>859.7555832000002</v>
      </c>
      <c r="HA26" s="78">
        <f t="shared" si="133"/>
        <v>859.7555832000002</v>
      </c>
      <c r="HB26" s="79">
        <f t="shared" si="134"/>
        <v>655.9055292</v>
      </c>
      <c r="HC26" s="77">
        <f t="shared" si="135"/>
        <v>32.096454</v>
      </c>
      <c r="HD26" s="79"/>
      <c r="HE26" s="79"/>
      <c r="HF26" s="79"/>
      <c r="HG26" s="79"/>
      <c r="HH26" s="79"/>
      <c r="HI26" s="79"/>
    </row>
    <row r="27" spans="1:217" s="52" customFormat="1" ht="12">
      <c r="A27" s="51">
        <v>45383</v>
      </c>
      <c r="C27" s="42">
        <v>6865000</v>
      </c>
      <c r="D27" s="42">
        <v>120138</v>
      </c>
      <c r="E27" s="77">
        <f t="shared" si="0"/>
        <v>6985138</v>
      </c>
      <c r="F27" s="77">
        <v>91653</v>
      </c>
      <c r="G27" s="77">
        <v>4485</v>
      </c>
      <c r="H27" s="79"/>
      <c r="I27" s="79">
        <f>O27+U27+AA27+AG27+AM27+AS27+AY27+BE27+BK27+BQ27+BW27+CC27+CI27+CO27+CU27+DA27+DG27+DM27+DS27+DY27+EE27+EK27+EQ27+EW27+FC27+FI27+FO27+FU27+GA27+GG27+GM27+GS27+GY27</f>
        <v>3726499.8035</v>
      </c>
      <c r="J27" s="79">
        <f t="shared" si="1"/>
        <v>65214.0179742</v>
      </c>
      <c r="K27" s="79">
        <f t="shared" si="2"/>
        <v>3791713.8214742</v>
      </c>
      <c r="L27" s="79">
        <f t="shared" si="3"/>
        <v>49751.6222127</v>
      </c>
      <c r="M27" s="79">
        <f t="shared" si="3"/>
        <v>2434.5741615</v>
      </c>
      <c r="N27" s="79"/>
      <c r="O27" s="78">
        <f t="shared" si="136"/>
        <v>454086.79799999995</v>
      </c>
      <c r="P27" s="78">
        <f t="shared" si="4"/>
        <v>7946.5520375999995</v>
      </c>
      <c r="Q27" s="79">
        <f>O27+P27</f>
        <v>462033.3500376</v>
      </c>
      <c r="R27" s="79">
        <f t="shared" si="6"/>
        <v>6062.4060156000005</v>
      </c>
      <c r="S27" s="77">
        <f t="shared" si="7"/>
        <v>296.661222</v>
      </c>
      <c r="T27" s="79"/>
      <c r="U27" s="78">
        <f t="shared" si="137"/>
        <v>7754.704000000001</v>
      </c>
      <c r="V27" s="78">
        <f t="shared" si="8"/>
        <v>135.70788480000002</v>
      </c>
      <c r="W27" s="78">
        <f t="shared" si="9"/>
        <v>7890.411884800001</v>
      </c>
      <c r="X27" s="79">
        <f t="shared" si="10"/>
        <v>103.5312288</v>
      </c>
      <c r="Y27" s="77">
        <f t="shared" si="11"/>
        <v>5.066255999999999</v>
      </c>
      <c r="Z27" s="79"/>
      <c r="AA27" s="79">
        <f t="shared" si="138"/>
        <v>35007.380999999994</v>
      </c>
      <c r="AB27" s="78">
        <f t="shared" si="12"/>
        <v>612.6317171999999</v>
      </c>
      <c r="AC27" s="78">
        <f t="shared" si="13"/>
        <v>35620.01271719999</v>
      </c>
      <c r="AD27" s="79">
        <f t="shared" si="14"/>
        <v>467.37530819999995</v>
      </c>
      <c r="AE27" s="77">
        <f t="shared" si="15"/>
        <v>22.870808999999998</v>
      </c>
      <c r="AF27" s="79"/>
      <c r="AG27" s="78">
        <f t="shared" si="139"/>
        <v>608786.1405</v>
      </c>
      <c r="AH27" s="78">
        <f t="shared" si="16"/>
        <v>10653.8017986</v>
      </c>
      <c r="AI27" s="78">
        <f t="shared" si="17"/>
        <v>619439.9422986</v>
      </c>
      <c r="AJ27" s="79">
        <f t="shared" si="18"/>
        <v>8127.7605441</v>
      </c>
      <c r="AK27" s="77">
        <f t="shared" si="19"/>
        <v>397.7284545</v>
      </c>
      <c r="AL27" s="79"/>
      <c r="AM27" s="78">
        <f t="shared" si="140"/>
        <v>7374.383000000001</v>
      </c>
      <c r="AN27" s="78">
        <f t="shared" si="20"/>
        <v>129.0522396</v>
      </c>
      <c r="AO27" s="78">
        <f t="shared" si="21"/>
        <v>7503.4352396</v>
      </c>
      <c r="AP27" s="79">
        <f t="shared" si="22"/>
        <v>98.4536526</v>
      </c>
      <c r="AQ27" s="77">
        <f t="shared" si="23"/>
        <v>4.817787</v>
      </c>
      <c r="AR27" s="78"/>
      <c r="AS27" s="78">
        <f t="shared" si="141"/>
        <v>6219.0035</v>
      </c>
      <c r="AT27" s="78">
        <f t="shared" si="24"/>
        <v>108.8330142</v>
      </c>
      <c r="AU27" s="78">
        <f t="shared" si="25"/>
        <v>6327.8365142</v>
      </c>
      <c r="AV27" s="79">
        <f t="shared" si="26"/>
        <v>83.0284527</v>
      </c>
      <c r="AW27" s="77">
        <f t="shared" si="27"/>
        <v>4.0629615</v>
      </c>
      <c r="AX27" s="79"/>
      <c r="AY27" s="78">
        <f t="shared" si="142"/>
        <v>255150.08200000002</v>
      </c>
      <c r="AZ27" s="78">
        <f t="shared" si="28"/>
        <v>4465.1450184000005</v>
      </c>
      <c r="BA27" s="78">
        <f t="shared" si="29"/>
        <v>259615.22701840004</v>
      </c>
      <c r="BB27" s="79">
        <f t="shared" si="30"/>
        <v>3406.4487204</v>
      </c>
      <c r="BC27" s="77">
        <f t="shared" si="31"/>
        <v>166.693098</v>
      </c>
      <c r="BD27" s="79"/>
      <c r="BE27" s="78">
        <f t="shared" si="143"/>
        <v>523540.6895</v>
      </c>
      <c r="BF27" s="78">
        <f t="shared" si="32"/>
        <v>9162.000197399999</v>
      </c>
      <c r="BG27" s="78">
        <f t="shared" si="33"/>
        <v>532702.6896974</v>
      </c>
      <c r="BH27" s="79">
        <f t="shared" si="34"/>
        <v>6989.6685819</v>
      </c>
      <c r="BI27" s="77">
        <f t="shared" si="35"/>
        <v>342.03641550000003</v>
      </c>
      <c r="BJ27" s="79"/>
      <c r="BK27" s="78">
        <f t="shared" si="144"/>
        <v>6043.946</v>
      </c>
      <c r="BL27" s="78">
        <f t="shared" si="36"/>
        <v>105.76949519999998</v>
      </c>
      <c r="BM27" s="78">
        <f t="shared" si="37"/>
        <v>6149.7154952</v>
      </c>
      <c r="BN27" s="79">
        <f t="shared" si="38"/>
        <v>80.6913012</v>
      </c>
      <c r="BO27" s="77">
        <f t="shared" si="39"/>
        <v>3.9485940000000004</v>
      </c>
      <c r="BP27" s="79"/>
      <c r="BQ27" s="78">
        <f t="shared" si="145"/>
        <v>4059.961</v>
      </c>
      <c r="BR27" s="78">
        <f t="shared" si="40"/>
        <v>71.0496132</v>
      </c>
      <c r="BS27" s="78">
        <f t="shared" si="41"/>
        <v>4131.0106132</v>
      </c>
      <c r="BT27" s="79">
        <f t="shared" si="42"/>
        <v>54.203584199999995</v>
      </c>
      <c r="BU27" s="77">
        <f t="shared" si="43"/>
        <v>2.6524289999999997</v>
      </c>
      <c r="BV27" s="79"/>
      <c r="BW27" s="78">
        <f t="shared" si="146"/>
        <v>-604.8065</v>
      </c>
      <c r="BX27" s="78">
        <f t="shared" si="44"/>
        <v>-10.5841578</v>
      </c>
      <c r="BY27" s="78">
        <f t="shared" si="45"/>
        <v>-615.3906578</v>
      </c>
      <c r="BZ27" s="79">
        <f t="shared" si="46"/>
        <v>-8.0746293</v>
      </c>
      <c r="CA27" s="77">
        <f t="shared" si="47"/>
        <v>-0.3951285</v>
      </c>
      <c r="CB27" s="78"/>
      <c r="CC27" s="78">
        <f t="shared" si="147"/>
        <v>-394.051</v>
      </c>
      <c r="CD27" s="78">
        <f t="shared" si="48"/>
        <v>-6.8959212</v>
      </c>
      <c r="CE27" s="78">
        <f t="shared" si="49"/>
        <v>-400.94692119999996</v>
      </c>
      <c r="CF27" s="79">
        <f t="shared" si="50"/>
        <v>-5.2608822</v>
      </c>
      <c r="CG27" s="77">
        <f t="shared" si="51"/>
        <v>-0.257439</v>
      </c>
      <c r="CH27" s="79"/>
      <c r="CI27" s="78">
        <f t="shared" si="148"/>
        <v>14654.029000000002</v>
      </c>
      <c r="CJ27" s="78">
        <f t="shared" si="52"/>
        <v>256.4465748</v>
      </c>
      <c r="CK27" s="78">
        <f t="shared" si="53"/>
        <v>14910.475574800003</v>
      </c>
      <c r="CL27" s="79">
        <f t="shared" si="54"/>
        <v>195.64249379999998</v>
      </c>
      <c r="CM27" s="77">
        <f t="shared" si="55"/>
        <v>9.573681</v>
      </c>
      <c r="CN27" s="79"/>
      <c r="CO27" s="78">
        <f t="shared" si="149"/>
        <v>90116.855</v>
      </c>
      <c r="CP27" s="78">
        <f t="shared" si="56"/>
        <v>1577.051526</v>
      </c>
      <c r="CQ27" s="78">
        <f t="shared" si="57"/>
        <v>91693.90652599999</v>
      </c>
      <c r="CR27" s="79">
        <f t="shared" si="58"/>
        <v>1203.128931</v>
      </c>
      <c r="CS27" s="77">
        <f t="shared" si="59"/>
        <v>58.874595</v>
      </c>
      <c r="CT27" s="79"/>
      <c r="CU27" s="78">
        <f t="shared" si="150"/>
        <v>605390.7115</v>
      </c>
      <c r="CV27" s="78">
        <f t="shared" si="60"/>
        <v>10594.3815438</v>
      </c>
      <c r="CW27" s="78">
        <f t="shared" si="61"/>
        <v>615985.0930438</v>
      </c>
      <c r="CX27" s="79">
        <f t="shared" si="62"/>
        <v>8082.4289703</v>
      </c>
      <c r="CY27" s="77">
        <f t="shared" si="63"/>
        <v>395.5101735</v>
      </c>
      <c r="CZ27" s="79"/>
      <c r="DA27" s="78">
        <f t="shared" si="151"/>
        <v>87344.76799999998</v>
      </c>
      <c r="DB27" s="78">
        <f t="shared" si="64"/>
        <v>1528.5398015999997</v>
      </c>
      <c r="DC27" s="78">
        <f t="shared" si="65"/>
        <v>88873.30780159998</v>
      </c>
      <c r="DD27" s="79">
        <f t="shared" si="66"/>
        <v>1166.1194496</v>
      </c>
      <c r="DE27" s="77">
        <f t="shared" si="67"/>
        <v>57.063552</v>
      </c>
      <c r="DF27" s="79"/>
      <c r="DG27" s="78">
        <f t="shared" si="152"/>
        <v>178470.77800000002</v>
      </c>
      <c r="DH27" s="78">
        <f t="shared" si="68"/>
        <v>3123.2516136000004</v>
      </c>
      <c r="DI27" s="78">
        <f t="shared" si="69"/>
        <v>181594.02961360003</v>
      </c>
      <c r="DJ27" s="79">
        <f t="shared" si="70"/>
        <v>2382.7213716</v>
      </c>
      <c r="DK27" s="77">
        <f t="shared" si="71"/>
        <v>116.597442</v>
      </c>
      <c r="DL27" s="79"/>
      <c r="DM27" s="78">
        <f t="shared" si="153"/>
        <v>28944.213</v>
      </c>
      <c r="DN27" s="78">
        <f t="shared" si="72"/>
        <v>506.5258356</v>
      </c>
      <c r="DO27" s="78">
        <f t="shared" si="73"/>
        <v>29450.7388356</v>
      </c>
      <c r="DP27" s="79">
        <f t="shared" si="74"/>
        <v>386.4273786</v>
      </c>
      <c r="DQ27" s="77">
        <f t="shared" si="75"/>
        <v>18.909657</v>
      </c>
      <c r="DR27" s="79"/>
      <c r="DS27" s="78">
        <f t="shared" si="154"/>
        <v>148477.593</v>
      </c>
      <c r="DT27" s="78">
        <f t="shared" si="76"/>
        <v>2598.3686916</v>
      </c>
      <c r="DU27" s="78">
        <f t="shared" si="77"/>
        <v>151075.96169159998</v>
      </c>
      <c r="DV27" s="79">
        <f t="shared" si="78"/>
        <v>1982.2894146</v>
      </c>
      <c r="DW27" s="77">
        <f t="shared" si="79"/>
        <v>97.002477</v>
      </c>
      <c r="DX27" s="79"/>
      <c r="DY27" s="78">
        <f t="shared" si="155"/>
        <v>1327.0045</v>
      </c>
      <c r="DZ27" s="78">
        <f t="shared" si="80"/>
        <v>23.2226754</v>
      </c>
      <c r="EA27" s="78">
        <f t="shared" si="81"/>
        <v>1350.2271754</v>
      </c>
      <c r="EB27" s="79">
        <f t="shared" si="82"/>
        <v>17.7165249</v>
      </c>
      <c r="EC27" s="77">
        <f t="shared" si="83"/>
        <v>0.8669505000000001</v>
      </c>
      <c r="ED27" s="79"/>
      <c r="EE27" s="78">
        <f t="shared" si="156"/>
        <v>1746.4560000000001</v>
      </c>
      <c r="EF27" s="78">
        <f t="shared" si="84"/>
        <v>30.5631072</v>
      </c>
      <c r="EG27" s="78">
        <f t="shared" si="85"/>
        <v>1777.0191072000002</v>
      </c>
      <c r="EH27" s="79">
        <f t="shared" si="86"/>
        <v>23.3165232</v>
      </c>
      <c r="EI27" s="77">
        <f t="shared" si="87"/>
        <v>1.140984</v>
      </c>
      <c r="EJ27" s="79"/>
      <c r="EK27" s="78">
        <f t="shared" si="157"/>
        <v>88000.37550000001</v>
      </c>
      <c r="EL27" s="78">
        <f t="shared" si="88"/>
        <v>1540.0129806</v>
      </c>
      <c r="EM27" s="78">
        <f t="shared" si="89"/>
        <v>89540.38848060001</v>
      </c>
      <c r="EN27" s="79">
        <f t="shared" si="90"/>
        <v>1174.8723111000002</v>
      </c>
      <c r="EO27" s="77">
        <f t="shared" si="91"/>
        <v>57.4918695</v>
      </c>
      <c r="EP27" s="79"/>
      <c r="EQ27" s="78">
        <f t="shared" si="158"/>
        <v>1675.06</v>
      </c>
      <c r="ER27" s="78">
        <f t="shared" si="92"/>
        <v>29.313672</v>
      </c>
      <c r="ES27" s="78">
        <f t="shared" si="93"/>
        <v>1704.373672</v>
      </c>
      <c r="ET27" s="79">
        <f t="shared" si="94"/>
        <v>22.363332</v>
      </c>
      <c r="EU27" s="77">
        <f t="shared" si="95"/>
        <v>1.0943399999999999</v>
      </c>
      <c r="EV27" s="79"/>
      <c r="EW27" s="78">
        <f t="shared" si="159"/>
        <v>25029.1035</v>
      </c>
      <c r="EX27" s="78">
        <f t="shared" si="96"/>
        <v>438.0111342</v>
      </c>
      <c r="EY27" s="78">
        <f t="shared" si="97"/>
        <v>25467.1146342</v>
      </c>
      <c r="EZ27" s="79">
        <f t="shared" si="98"/>
        <v>334.15767270000003</v>
      </c>
      <c r="FA27" s="77">
        <f t="shared" si="99"/>
        <v>16.351861500000002</v>
      </c>
      <c r="FB27" s="79"/>
      <c r="FC27" s="78">
        <f t="shared" si="160"/>
        <v>17386.9855</v>
      </c>
      <c r="FD27" s="78">
        <f t="shared" si="100"/>
        <v>304.2735126</v>
      </c>
      <c r="FE27" s="78">
        <f t="shared" si="101"/>
        <v>17691.2590126</v>
      </c>
      <c r="FF27" s="79">
        <f t="shared" si="102"/>
        <v>232.1295531</v>
      </c>
      <c r="FG27" s="77">
        <f t="shared" si="103"/>
        <v>11.3591595</v>
      </c>
      <c r="FH27" s="79"/>
      <c r="FI27" s="78">
        <f t="shared" si="161"/>
        <v>6787.4255</v>
      </c>
      <c r="FJ27" s="78">
        <f t="shared" si="104"/>
        <v>118.7804406</v>
      </c>
      <c r="FK27" s="78">
        <f t="shared" si="105"/>
        <v>6906.2059406</v>
      </c>
      <c r="FL27" s="79">
        <f t="shared" si="106"/>
        <v>90.6173211</v>
      </c>
      <c r="FM27" s="77">
        <f t="shared" si="107"/>
        <v>4.4343195</v>
      </c>
      <c r="FN27" s="79"/>
      <c r="FO27" s="78">
        <f t="shared" si="162"/>
        <v>76277.70150000001</v>
      </c>
      <c r="FP27" s="78">
        <f t="shared" si="108"/>
        <v>1334.8653318</v>
      </c>
      <c r="FQ27" s="78">
        <f t="shared" si="109"/>
        <v>77612.56683180001</v>
      </c>
      <c r="FR27" s="79">
        <f t="shared" si="110"/>
        <v>1018.3656483000001</v>
      </c>
      <c r="FS27" s="77">
        <f t="shared" si="111"/>
        <v>49.8332835</v>
      </c>
      <c r="FT27" s="79"/>
      <c r="FU27" s="78">
        <f t="shared" si="163"/>
        <v>171914.703</v>
      </c>
      <c r="FV27" s="78">
        <f t="shared" si="112"/>
        <v>3008.5198236</v>
      </c>
      <c r="FW27" s="78">
        <f t="shared" si="113"/>
        <v>174923.22282360002</v>
      </c>
      <c r="FX27" s="79">
        <f t="shared" si="114"/>
        <v>2295.1927566</v>
      </c>
      <c r="FY27" s="77">
        <f t="shared" si="115"/>
        <v>112.314267</v>
      </c>
      <c r="FZ27" s="79"/>
      <c r="GA27" s="78">
        <f t="shared" si="164"/>
        <v>21938.4805</v>
      </c>
      <c r="GB27" s="78">
        <f t="shared" si="116"/>
        <v>383.9250066000001</v>
      </c>
      <c r="GC27" s="78">
        <f t="shared" si="117"/>
        <v>22322.4055066</v>
      </c>
      <c r="GD27" s="79">
        <f t="shared" si="118"/>
        <v>292.8954921</v>
      </c>
      <c r="GE27" s="77">
        <f t="shared" si="119"/>
        <v>14.3327145</v>
      </c>
      <c r="GF27" s="79"/>
      <c r="GG27" s="78">
        <f t="shared" si="165"/>
        <v>34838.502</v>
      </c>
      <c r="GH27" s="78">
        <f t="shared" si="120"/>
        <v>609.6763224000001</v>
      </c>
      <c r="GI27" s="78">
        <f t="shared" si="121"/>
        <v>35448.1783224</v>
      </c>
      <c r="GJ27" s="79">
        <f t="shared" si="122"/>
        <v>465.1206444</v>
      </c>
      <c r="GK27" s="77">
        <f t="shared" si="123"/>
        <v>22.760478</v>
      </c>
      <c r="GL27" s="79"/>
      <c r="GM27" s="78">
        <f t="shared" si="166"/>
        <v>161457.2485</v>
      </c>
      <c r="GN27" s="78">
        <f t="shared" si="124"/>
        <v>2825.5136082</v>
      </c>
      <c r="GO27" s="78">
        <f t="shared" si="125"/>
        <v>164282.7621082</v>
      </c>
      <c r="GP27" s="79">
        <f t="shared" si="126"/>
        <v>2155.5777417</v>
      </c>
      <c r="GQ27" s="77">
        <f t="shared" si="127"/>
        <v>105.4822665</v>
      </c>
      <c r="GR27" s="79"/>
      <c r="GS27" s="78">
        <f t="shared" si="167"/>
        <v>8568.893</v>
      </c>
      <c r="GT27" s="78">
        <f t="shared" si="128"/>
        <v>149.9562516</v>
      </c>
      <c r="GU27" s="78">
        <f t="shared" si="129"/>
        <v>8718.8492516</v>
      </c>
      <c r="GV27" s="79">
        <f t="shared" si="130"/>
        <v>114.40127460000001</v>
      </c>
      <c r="GW27" s="77">
        <f t="shared" si="131"/>
        <v>5.598177000000001</v>
      </c>
      <c r="GX27" s="79"/>
      <c r="GY27" s="78">
        <f t="shared" si="168"/>
        <v>49128.68600000001</v>
      </c>
      <c r="GZ27" s="78">
        <f t="shared" si="132"/>
        <v>859.7555832000002</v>
      </c>
      <c r="HA27" s="78">
        <f t="shared" si="133"/>
        <v>49988.44158320001</v>
      </c>
      <c r="HB27" s="79">
        <f t="shared" si="134"/>
        <v>655.9055292</v>
      </c>
      <c r="HC27" s="77">
        <f t="shared" si="135"/>
        <v>32.096454</v>
      </c>
      <c r="HD27" s="79"/>
      <c r="HE27" s="79"/>
      <c r="HF27" s="79"/>
      <c r="HG27" s="79"/>
      <c r="HH27" s="79"/>
      <c r="HI27" s="79"/>
    </row>
    <row r="28" spans="3:217" ht="12">
      <c r="C28" s="80"/>
      <c r="D28" s="80"/>
      <c r="E28" s="80"/>
      <c r="F28" s="80"/>
      <c r="G28" s="80"/>
      <c r="H28" s="78"/>
      <c r="I28" s="78"/>
      <c r="J28" s="79"/>
      <c r="K28" s="78"/>
      <c r="L28" s="78"/>
      <c r="M28" s="80"/>
      <c r="N28" s="78"/>
      <c r="O28" s="78"/>
      <c r="P28" s="78"/>
      <c r="Q28" s="78"/>
      <c r="R28" s="78"/>
      <c r="S28" s="80"/>
      <c r="T28" s="78"/>
      <c r="U28" s="78"/>
      <c r="V28" s="78"/>
      <c r="W28" s="78"/>
      <c r="X28" s="78"/>
      <c r="Y28" s="80"/>
      <c r="Z28" s="78"/>
      <c r="AA28" s="79"/>
      <c r="AB28" s="78"/>
      <c r="AC28" s="78"/>
      <c r="AD28" s="78"/>
      <c r="AE28" s="80"/>
      <c r="AF28" s="78"/>
      <c r="AG28" s="78"/>
      <c r="AH28" s="78"/>
      <c r="AI28" s="78"/>
      <c r="AJ28" s="78"/>
      <c r="AK28" s="80"/>
      <c r="AL28" s="78"/>
      <c r="AM28" s="78"/>
      <c r="AN28" s="78"/>
      <c r="AO28" s="78"/>
      <c r="AP28" s="78"/>
      <c r="AQ28" s="80"/>
      <c r="AR28" s="78"/>
      <c r="AS28" s="78"/>
      <c r="AT28" s="78"/>
      <c r="AU28" s="78"/>
      <c r="AV28" s="78"/>
      <c r="AW28" s="80"/>
      <c r="AX28" s="78"/>
      <c r="AY28" s="78"/>
      <c r="AZ28" s="78"/>
      <c r="BA28" s="78"/>
      <c r="BB28" s="78"/>
      <c r="BC28" s="80"/>
      <c r="BD28" s="78"/>
      <c r="BE28" s="78"/>
      <c r="BF28" s="78"/>
      <c r="BG28" s="78"/>
      <c r="BH28" s="78"/>
      <c r="BI28" s="80"/>
      <c r="BJ28" s="78"/>
      <c r="BK28" s="78"/>
      <c r="BL28" s="78"/>
      <c r="BM28" s="78"/>
      <c r="BN28" s="78"/>
      <c r="BO28" s="80"/>
      <c r="BP28" s="78"/>
      <c r="BQ28" s="78"/>
      <c r="BR28" s="78"/>
      <c r="BS28" s="78"/>
      <c r="BT28" s="78"/>
      <c r="BU28" s="80"/>
      <c r="BV28" s="78"/>
      <c r="BW28" s="78"/>
      <c r="BX28" s="78"/>
      <c r="BY28" s="78"/>
      <c r="BZ28" s="78"/>
      <c r="CA28" s="80"/>
      <c r="CB28" s="78"/>
      <c r="CC28" s="78"/>
      <c r="CD28" s="78"/>
      <c r="CE28" s="78"/>
      <c r="CF28" s="78"/>
      <c r="CG28" s="80"/>
      <c r="CH28" s="78"/>
      <c r="CI28" s="78"/>
      <c r="CJ28" s="78"/>
      <c r="CK28" s="78"/>
      <c r="CL28" s="78"/>
      <c r="CM28" s="80"/>
      <c r="CN28" s="78"/>
      <c r="CO28" s="78"/>
      <c r="CP28" s="78"/>
      <c r="CQ28" s="78"/>
      <c r="CR28" s="78"/>
      <c r="CS28" s="80"/>
      <c r="CT28" s="78"/>
      <c r="CU28" s="78"/>
      <c r="CV28" s="78"/>
      <c r="CW28" s="78"/>
      <c r="CX28" s="78"/>
      <c r="CY28" s="80"/>
      <c r="CZ28" s="78"/>
      <c r="DA28" s="78"/>
      <c r="DB28" s="78"/>
      <c r="DC28" s="78"/>
      <c r="DD28" s="78"/>
      <c r="DE28" s="80"/>
      <c r="DF28" s="78"/>
      <c r="DG28" s="78"/>
      <c r="DH28" s="78"/>
      <c r="DI28" s="78"/>
      <c r="DJ28" s="78"/>
      <c r="DK28" s="80"/>
      <c r="DL28" s="78"/>
      <c r="DM28" s="78"/>
      <c r="DN28" s="78"/>
      <c r="DO28" s="78"/>
      <c r="DP28" s="78"/>
      <c r="DQ28" s="80"/>
      <c r="DR28" s="78"/>
      <c r="DS28" s="78"/>
      <c r="DT28" s="78"/>
      <c r="DU28" s="78"/>
      <c r="DV28" s="78"/>
      <c r="DW28" s="80"/>
      <c r="DX28" s="78"/>
      <c r="DY28" s="78"/>
      <c r="DZ28" s="78"/>
      <c r="EA28" s="78"/>
      <c r="EB28" s="78"/>
      <c r="EC28" s="80"/>
      <c r="ED28" s="78"/>
      <c r="EE28" s="78"/>
      <c r="EF28" s="78"/>
      <c r="EG28" s="78"/>
      <c r="EH28" s="78"/>
      <c r="EI28" s="80"/>
      <c r="EJ28" s="78"/>
      <c r="EK28" s="78"/>
      <c r="EL28" s="78"/>
      <c r="EM28" s="78"/>
      <c r="EN28" s="78"/>
      <c r="EO28" s="80"/>
      <c r="EP28" s="78"/>
      <c r="EQ28" s="78"/>
      <c r="ER28" s="78"/>
      <c r="ES28" s="78"/>
      <c r="ET28" s="78"/>
      <c r="EU28" s="80"/>
      <c r="EV28" s="78"/>
      <c r="EW28" s="78"/>
      <c r="EX28" s="78"/>
      <c r="EY28" s="78"/>
      <c r="EZ28" s="78"/>
      <c r="FA28" s="80"/>
      <c r="FB28" s="78"/>
      <c r="FC28" s="78"/>
      <c r="FD28" s="78"/>
      <c r="FE28" s="78"/>
      <c r="FF28" s="78"/>
      <c r="FG28" s="80"/>
      <c r="FH28" s="78"/>
      <c r="FI28" s="78"/>
      <c r="FJ28" s="78"/>
      <c r="FK28" s="78"/>
      <c r="FL28" s="78"/>
      <c r="FM28" s="80"/>
      <c r="FN28" s="78"/>
      <c r="FO28" s="78"/>
      <c r="FP28" s="78"/>
      <c r="FQ28" s="78"/>
      <c r="FR28" s="78"/>
      <c r="FS28" s="80"/>
      <c r="FT28" s="78"/>
      <c r="FU28" s="78"/>
      <c r="FV28" s="78"/>
      <c r="FW28" s="78"/>
      <c r="FX28" s="78"/>
      <c r="FY28" s="80"/>
      <c r="FZ28" s="78"/>
      <c r="GA28" s="78"/>
      <c r="GB28" s="78"/>
      <c r="GC28" s="78"/>
      <c r="GD28" s="78"/>
      <c r="GE28" s="80"/>
      <c r="GF28" s="78"/>
      <c r="GG28" s="78"/>
      <c r="GH28" s="78"/>
      <c r="GI28" s="78"/>
      <c r="GJ28" s="78"/>
      <c r="GK28" s="80"/>
      <c r="GL28" s="78"/>
      <c r="GM28" s="78"/>
      <c r="GN28" s="78"/>
      <c r="GO28" s="78"/>
      <c r="GP28" s="78"/>
      <c r="GQ28" s="80"/>
      <c r="GR28" s="78"/>
      <c r="GS28" s="78"/>
      <c r="GT28" s="78"/>
      <c r="GU28" s="78"/>
      <c r="GV28" s="78"/>
      <c r="GW28" s="80"/>
      <c r="GX28" s="78"/>
      <c r="GY28" s="78"/>
      <c r="GZ28" s="78"/>
      <c r="HA28" s="78"/>
      <c r="HB28" s="78"/>
      <c r="HC28" s="80"/>
      <c r="HD28" s="78"/>
      <c r="HE28" s="78"/>
      <c r="HF28" s="78"/>
      <c r="HG28" s="78"/>
      <c r="HH28" s="78"/>
      <c r="HI28" s="78"/>
    </row>
    <row r="29" spans="1:217" ht="12.75" thickBot="1">
      <c r="A29" s="31" t="s">
        <v>4</v>
      </c>
      <c r="C29" s="81">
        <f>SUM(C8:C28)</f>
        <v>19650000</v>
      </c>
      <c r="D29" s="81">
        <f>SUM(D8:D28)</f>
        <v>7838910</v>
      </c>
      <c r="E29" s="81">
        <f>SUM(E8:E28)</f>
        <v>27488910</v>
      </c>
      <c r="F29" s="81">
        <f>SUM(F8:F28)</f>
        <v>1833060</v>
      </c>
      <c r="G29" s="81">
        <f>SUM(G8:G28)</f>
        <v>89700</v>
      </c>
      <c r="H29" s="78"/>
      <c r="I29" s="81">
        <f>SUM(I8:I28)</f>
        <v>10666528.935</v>
      </c>
      <c r="J29" s="81">
        <f>SUM(J8:J28)</f>
        <v>4255163.375769001</v>
      </c>
      <c r="K29" s="81">
        <f>SUM(K8:K28)</f>
        <v>14921692.310769</v>
      </c>
      <c r="L29" s="81">
        <f>SUM(L8:L28)</f>
        <v>995032.4442539997</v>
      </c>
      <c r="M29" s="81">
        <f>SUM(M8:M28)</f>
        <v>48691.483230000005</v>
      </c>
      <c r="N29" s="78"/>
      <c r="O29" s="81">
        <f>SUM(O8:O28)</f>
        <v>1299753.18</v>
      </c>
      <c r="P29" s="81">
        <f>SUM(P8:P28)</f>
        <v>518506.2697320001</v>
      </c>
      <c r="Q29" s="81">
        <f>SUM(Q8:Q28)</f>
        <v>1818259.4497319998</v>
      </c>
      <c r="R29" s="81">
        <f>SUM(R8:R28)</f>
        <v>121248.12031200004</v>
      </c>
      <c r="S29" s="81">
        <f>SUM(S8:S28)</f>
        <v>5933.224439999999</v>
      </c>
      <c r="T29" s="78"/>
      <c r="U29" s="81">
        <f>SUM(U8:U28)</f>
        <v>22196.64</v>
      </c>
      <c r="V29" s="81">
        <f>SUM(V8:V28)</f>
        <v>8854.832736</v>
      </c>
      <c r="W29" s="81">
        <f>SUM(W8:W28)</f>
        <v>31051.472736</v>
      </c>
      <c r="X29" s="81">
        <f>SUM(X8:X28)</f>
        <v>2070.6245759999997</v>
      </c>
      <c r="Y29" s="81">
        <f>SUM(Y8:Y28)</f>
        <v>101.32511999999994</v>
      </c>
      <c r="Z29" s="78"/>
      <c r="AA29" s="81">
        <f>SUM(AA8:AA28)</f>
        <v>100203.20999999999</v>
      </c>
      <c r="AB29" s="81">
        <f>SUM(AB8:AB28)</f>
        <v>39973.737654</v>
      </c>
      <c r="AC29" s="81">
        <f>SUM(AC8:AC28)</f>
        <v>140176.947654</v>
      </c>
      <c r="AD29" s="81">
        <f>SUM(AD8:AD28)</f>
        <v>9347.506164000002</v>
      </c>
      <c r="AE29" s="81">
        <f>SUM(AE8:AE28)</f>
        <v>457.4161800000001</v>
      </c>
      <c r="AF29" s="78"/>
      <c r="AG29" s="81">
        <f>SUM(AG8:AG28)</f>
        <v>1742556.105</v>
      </c>
      <c r="AH29" s="81">
        <f>SUM(AH8:AH28)</f>
        <v>695152.1871270001</v>
      </c>
      <c r="AI29" s="81">
        <f>SUM(AI8:AI28)</f>
        <v>2437708.292127</v>
      </c>
      <c r="AJ29" s="81">
        <f>SUM(AJ8:AJ28)</f>
        <v>162555.21088199998</v>
      </c>
      <c r="AK29" s="81">
        <f>SUM(AK8:AK28)</f>
        <v>7954.569090000003</v>
      </c>
      <c r="AL29" s="78"/>
      <c r="AM29" s="81">
        <f>SUM(AM8:AM28)</f>
        <v>21108.030000000002</v>
      </c>
      <c r="AN29" s="81">
        <f>SUM(AN8:AN28)</f>
        <v>8420.557121999998</v>
      </c>
      <c r="AO29" s="81">
        <f>SUM(AO8:AO28)</f>
        <v>29528.587122</v>
      </c>
      <c r="AP29" s="81">
        <f>SUM(AP8:AP28)</f>
        <v>1969.0730519999993</v>
      </c>
      <c r="AQ29" s="81">
        <f>SUM(AQ8:AQ28)</f>
        <v>96.35573999999998</v>
      </c>
      <c r="AR29" s="78"/>
      <c r="AS29" s="81">
        <f>SUM(AS8:AS28)</f>
        <v>17800.934999999998</v>
      </c>
      <c r="AT29" s="81">
        <f>SUM(AT8:AT28)</f>
        <v>7101.268569000002</v>
      </c>
      <c r="AU29" s="81">
        <f>SUM(AU8:AU28)</f>
        <v>24902.203569</v>
      </c>
      <c r="AV29" s="81">
        <f>SUM(AV8:AV28)</f>
        <v>1660.5690539999991</v>
      </c>
      <c r="AW29" s="81">
        <f>SUM(AW8:AW28)</f>
        <v>81.25923</v>
      </c>
      <c r="AX29" s="78"/>
      <c r="AY29" s="81">
        <f>SUM(AY8:AY28)</f>
        <v>730327.6200000001</v>
      </c>
      <c r="AZ29" s="81">
        <f>SUM(AZ8:AZ28)</f>
        <v>291347.20018799993</v>
      </c>
      <c r="BA29" s="81">
        <f>SUM(BA8:BA28)</f>
        <v>1021674.8201880001</v>
      </c>
      <c r="BB29" s="81">
        <f>SUM(BB8:BB28)</f>
        <v>68128.97440800004</v>
      </c>
      <c r="BC29" s="81">
        <f>SUM(BC8:BC28)</f>
        <v>3333.861960000001</v>
      </c>
      <c r="BD29" s="78"/>
      <c r="BE29" s="81">
        <f>SUM(BE8:BE28)</f>
        <v>1498554.1949999998</v>
      </c>
      <c r="BF29" s="81">
        <f>SUM(BF8:BF28)</f>
        <v>597813.3060929999</v>
      </c>
      <c r="BG29" s="81">
        <f>SUM(BG8:BG28)</f>
        <v>2096367.5010930002</v>
      </c>
      <c r="BH29" s="81">
        <f>SUM(BH8:BH28)</f>
        <v>139793.37163799998</v>
      </c>
      <c r="BI29" s="81">
        <f>SUM(BI8:BI28)</f>
        <v>6840.7283099999995</v>
      </c>
      <c r="BJ29" s="78"/>
      <c r="BK29" s="81">
        <f>SUM(BK8:BK28)</f>
        <v>17299.86</v>
      </c>
      <c r="BL29" s="81">
        <f>SUM(BL8:BL28)</f>
        <v>6901.376364</v>
      </c>
      <c r="BM29" s="81">
        <f>SUM(BM8:BM28)</f>
        <v>24201.236363999997</v>
      </c>
      <c r="BN29" s="81">
        <f>SUM(BN8:BN28)</f>
        <v>1613.826024</v>
      </c>
      <c r="BO29" s="81">
        <f>SUM(BO8:BO28)</f>
        <v>78.97188000000001</v>
      </c>
      <c r="BP29" s="78"/>
      <c r="BQ29" s="81">
        <f>SUM(BQ8:BQ28)</f>
        <v>11621.01</v>
      </c>
      <c r="BR29" s="81">
        <f>SUM(BR8:BR28)</f>
        <v>4635.931373999998</v>
      </c>
      <c r="BS29" s="81">
        <f>SUM(BS8:BS28)</f>
        <v>16256.941374</v>
      </c>
      <c r="BT29" s="81">
        <f>SUM(BT8:BT28)</f>
        <v>1084.0716840000002</v>
      </c>
      <c r="BU29" s="81">
        <f>SUM(BU8:BU28)</f>
        <v>53.04857999999997</v>
      </c>
      <c r="BV29" s="78"/>
      <c r="BW29" s="81">
        <f>SUM(BW8:BW28)</f>
        <v>-1731.165</v>
      </c>
      <c r="BX29" s="81">
        <f>SUM(BX8:BX28)</f>
        <v>-690.6079709999999</v>
      </c>
      <c r="BY29" s="81">
        <f>SUM(BY8:BY28)</f>
        <v>-2421.772971</v>
      </c>
      <c r="BZ29" s="81">
        <f>SUM(BZ8:BZ28)</f>
        <v>-161.492586</v>
      </c>
      <c r="CA29" s="81">
        <f>SUM(CA8:CA28)</f>
        <v>-7.9025700000000025</v>
      </c>
      <c r="CB29" s="80"/>
      <c r="CC29" s="81">
        <f>SUM(CC8:CC28)</f>
        <v>-1127.9099999999999</v>
      </c>
      <c r="CD29" s="81">
        <f>SUM(CD8:CD28)</f>
        <v>-449.953434</v>
      </c>
      <c r="CE29" s="81">
        <f>SUM(CE8:CE28)</f>
        <v>-1577.8634339999999</v>
      </c>
      <c r="CF29" s="81">
        <f>SUM(CF8:CF28)</f>
        <v>-105.21764399999998</v>
      </c>
      <c r="CG29" s="81">
        <f>SUM(CG8:CG28)</f>
        <v>-5.148779999999997</v>
      </c>
      <c r="CH29" s="78"/>
      <c r="CI29" s="81">
        <f>SUM(CI8:CI28)</f>
        <v>41944.89</v>
      </c>
      <c r="CJ29" s="81">
        <f>SUM(CJ8:CJ28)</f>
        <v>16732.937286</v>
      </c>
      <c r="CK29" s="81">
        <f>SUM(CK8:CK28)</f>
        <v>58677.82728600001</v>
      </c>
      <c r="CL29" s="81">
        <f>SUM(CL8:CL28)</f>
        <v>3912.8498759999998</v>
      </c>
      <c r="CM29" s="81">
        <f>SUM(CM8:CM28)</f>
        <v>191.47361999999993</v>
      </c>
      <c r="CN29" s="78"/>
      <c r="CO29" s="81">
        <f>SUM(CO8:CO28)</f>
        <v>257945.55</v>
      </c>
      <c r="CP29" s="81">
        <f>SUM(CP8:CP28)</f>
        <v>102901.37157</v>
      </c>
      <c r="CQ29" s="81">
        <f>SUM(CQ8:CQ28)</f>
        <v>360846.92157</v>
      </c>
      <c r="CR29" s="81">
        <f>SUM(CR8:CR28)</f>
        <v>24062.578619999993</v>
      </c>
      <c r="CS29" s="81">
        <f>SUM(CS8:CS28)</f>
        <v>1177.4919</v>
      </c>
      <c r="CT29" s="78"/>
      <c r="CU29" s="81">
        <f>SUM(CU8:CU28)</f>
        <v>1732837.215</v>
      </c>
      <c r="CV29" s="81">
        <f>SUM(CV8:CV28)</f>
        <v>691275.062241</v>
      </c>
      <c r="CW29" s="81">
        <f>SUM(CW8:CW28)</f>
        <v>2424112.277241</v>
      </c>
      <c r="CX29" s="81">
        <f>SUM(CX8:CX28)</f>
        <v>161648.579406</v>
      </c>
      <c r="CY29" s="81">
        <f>SUM(CY8:CY28)</f>
        <v>7910.203469999998</v>
      </c>
      <c r="CZ29" s="78"/>
      <c r="DA29" s="81">
        <f>SUM(DA8:DA28)</f>
        <v>250010.87999999995</v>
      </c>
      <c r="DB29" s="81">
        <f>SUM(DB8:DB28)</f>
        <v>99736.01971199996</v>
      </c>
      <c r="DC29" s="81">
        <f>SUM(DC8:DC28)</f>
        <v>349746.8997119999</v>
      </c>
      <c r="DD29" s="81">
        <f>SUM(DD8:DD28)</f>
        <v>23322.388992</v>
      </c>
      <c r="DE29" s="81">
        <f>SUM(DE8:DE28)</f>
        <v>1141.2710399999999</v>
      </c>
      <c r="DF29" s="78"/>
      <c r="DG29" s="81">
        <f>SUM(DG8:DG28)</f>
        <v>510844.98</v>
      </c>
      <c r="DH29" s="81">
        <f>SUM(DH8:DH28)</f>
        <v>203789.71105200003</v>
      </c>
      <c r="DI29" s="81">
        <f>SUM(DI8:DI28)</f>
        <v>714634.6910519999</v>
      </c>
      <c r="DJ29" s="81">
        <f>SUM(DJ8:DJ28)</f>
        <v>47654.42743199998</v>
      </c>
      <c r="DK29" s="81">
        <f>SUM(DK8:DK28)</f>
        <v>2331.94884</v>
      </c>
      <c r="DL29" s="78"/>
      <c r="DM29" s="81">
        <f>SUM(DM8:DM28)</f>
        <v>82848.33</v>
      </c>
      <c r="DN29" s="81">
        <f>SUM(DN8:DN28)</f>
        <v>33050.412342</v>
      </c>
      <c r="DO29" s="81">
        <f>SUM(DO8:DO28)</f>
        <v>115898.742342</v>
      </c>
      <c r="DP29" s="81">
        <f>SUM(DP8:DP28)</f>
        <v>7728.547572000002</v>
      </c>
      <c r="DQ29" s="81">
        <f>SUM(DQ8:DQ28)</f>
        <v>378.1931399999999</v>
      </c>
      <c r="DR29" s="78"/>
      <c r="DS29" s="81">
        <f>SUM(DS8:DS28)</f>
        <v>424994.13</v>
      </c>
      <c r="DT29" s="81">
        <f>SUM(DT8:DT28)</f>
        <v>169541.51326200002</v>
      </c>
      <c r="DU29" s="81">
        <f>SUM(DU8:DU28)</f>
        <v>594535.643262</v>
      </c>
      <c r="DV29" s="81">
        <f>SUM(DV8:DV28)</f>
        <v>39645.78829200001</v>
      </c>
      <c r="DW29" s="81">
        <f>SUM(DW8:DW28)</f>
        <v>1940.04954</v>
      </c>
      <c r="DX29" s="78"/>
      <c r="DY29" s="81">
        <f>SUM(DY8:DY28)</f>
        <v>3798.3450000000003</v>
      </c>
      <c r="DZ29" s="81">
        <f>SUM(DZ8:DZ28)</f>
        <v>1515.2613030000005</v>
      </c>
      <c r="EA29" s="81">
        <f>SUM(EA8:EA28)</f>
        <v>5313.6063030000005</v>
      </c>
      <c r="EB29" s="81">
        <f>SUM(EB8:EB28)</f>
        <v>354.3304980000001</v>
      </c>
      <c r="EC29" s="81">
        <f>SUM(EC8:EC28)</f>
        <v>17.33901</v>
      </c>
      <c r="ED29" s="78"/>
      <c r="EE29" s="81">
        <f>SUM(EE8:EE28)</f>
        <v>4998.96</v>
      </c>
      <c r="EF29" s="81">
        <f>SUM(EF8:EF28)</f>
        <v>1994.2187040000003</v>
      </c>
      <c r="EG29" s="81">
        <f>SUM(EG8:EG28)</f>
        <v>6993.178704</v>
      </c>
      <c r="EH29" s="81">
        <f>SUM(EH8:EH28)</f>
        <v>466.33046400000006</v>
      </c>
      <c r="EI29" s="81">
        <f>SUM(EI8:EI28)</f>
        <v>22.819679999999995</v>
      </c>
      <c r="EJ29" s="78"/>
      <c r="EK29" s="81">
        <f>SUM(EK8:EK28)</f>
        <v>251887.45500000002</v>
      </c>
      <c r="EL29" s="81">
        <f>SUM(EL8:EL28)</f>
        <v>100484.63561700002</v>
      </c>
      <c r="EM29" s="81">
        <f>SUM(EM8:EM28)</f>
        <v>352372.09061700007</v>
      </c>
      <c r="EN29" s="81">
        <f>SUM(EN8:EN28)</f>
        <v>23497.446222000002</v>
      </c>
      <c r="EO29" s="81">
        <f>SUM(EO8:EO28)</f>
        <v>1149.8373899999997</v>
      </c>
      <c r="EP29" s="78"/>
      <c r="EQ29" s="81">
        <f>SUM(EQ8:EQ28)</f>
        <v>4794.6</v>
      </c>
      <c r="ER29" s="81">
        <f>SUM(ER8:ER28)</f>
        <v>1912.69404</v>
      </c>
      <c r="ES29" s="81">
        <f>SUM(ES8:ES28)</f>
        <v>6707.294040000001</v>
      </c>
      <c r="ET29" s="81">
        <f>SUM(ET8:ET28)</f>
        <v>447.26664000000017</v>
      </c>
      <c r="EU29" s="81">
        <f>SUM(EU8:EU28)</f>
        <v>21.886799999999987</v>
      </c>
      <c r="EV29" s="78"/>
      <c r="EW29" s="81">
        <f>SUM(EW8:EW28)</f>
        <v>71641.935</v>
      </c>
      <c r="EX29" s="81">
        <f>SUM(EX8:EX28)</f>
        <v>28579.881969000002</v>
      </c>
      <c r="EY29" s="81">
        <f>SUM(EY8:EY28)</f>
        <v>100221.816969</v>
      </c>
      <c r="EZ29" s="81">
        <f>SUM(EZ8:EZ28)</f>
        <v>6683.153454000002</v>
      </c>
      <c r="FA29" s="81">
        <f>SUM(FA8:FA28)</f>
        <v>327.03723</v>
      </c>
      <c r="FB29" s="78"/>
      <c r="FC29" s="81">
        <f>SUM(FC8:FC28)</f>
        <v>49767.555</v>
      </c>
      <c r="FD29" s="81">
        <f>SUM(FD8:FD28)</f>
        <v>19853.607357</v>
      </c>
      <c r="FE29" s="81">
        <f>SUM(FE8:FE28)</f>
        <v>69621.162357</v>
      </c>
      <c r="FF29" s="81">
        <f>SUM(FF8:FF28)</f>
        <v>4642.5910619999995</v>
      </c>
      <c r="FG29" s="81">
        <f>SUM(FG8:FG28)</f>
        <v>227.18319000000005</v>
      </c>
      <c r="FH29" s="78"/>
      <c r="FI29" s="81">
        <f>SUM(FI8:FI28)</f>
        <v>19427.955</v>
      </c>
      <c r="FJ29" s="81">
        <f>SUM(FJ8:FJ28)</f>
        <v>7750.330316999999</v>
      </c>
      <c r="FK29" s="81">
        <f>SUM(FK8:FK28)</f>
        <v>27178.285316999998</v>
      </c>
      <c r="FL29" s="81">
        <f>SUM(FL8:FL28)</f>
        <v>1812.3464220000003</v>
      </c>
      <c r="FM29" s="81">
        <f>SUM(FM8:FM28)</f>
        <v>88.68639</v>
      </c>
      <c r="FN29" s="78"/>
      <c r="FO29" s="81">
        <f>SUM(FO8:FO28)</f>
        <v>218333.115</v>
      </c>
      <c r="FP29" s="81">
        <f>SUM(FP8:FP28)</f>
        <v>87098.912901</v>
      </c>
      <c r="FQ29" s="81">
        <f>SUM(FQ8:FQ28)</f>
        <v>305432.027901</v>
      </c>
      <c r="FR29" s="81">
        <f>SUM(FR8:FR28)</f>
        <v>20367.312966</v>
      </c>
      <c r="FS29" s="81">
        <f>SUM(FS8:FS28)</f>
        <v>996.66567</v>
      </c>
      <c r="FT29" s="78"/>
      <c r="FU29" s="81">
        <f>SUM(FU8:FU28)</f>
        <v>492079.23</v>
      </c>
      <c r="FV29" s="81">
        <f>SUM(FV8:FV28)</f>
        <v>196303.55200200004</v>
      </c>
      <c r="FW29" s="81">
        <f>SUM(FW8:FW28)</f>
        <v>688382.782002</v>
      </c>
      <c r="FX29" s="81">
        <f>SUM(FX8:FX28)</f>
        <v>45903.85513200001</v>
      </c>
      <c r="FY29" s="81">
        <f>SUM(FY8:FY28)</f>
        <v>2246.28534</v>
      </c>
      <c r="FZ29" s="78"/>
      <c r="GA29" s="81">
        <f>SUM(GA8:GA28)</f>
        <v>62795.505000000005</v>
      </c>
      <c r="GB29" s="81">
        <f>SUM(GB8:GB28)</f>
        <v>25050.804687</v>
      </c>
      <c r="GC29" s="81">
        <f>SUM(GC8:GC28)</f>
        <v>87846.309687</v>
      </c>
      <c r="GD29" s="81">
        <f>SUM(GD8:GD28)</f>
        <v>5857.909842000003</v>
      </c>
      <c r="GE29" s="81">
        <f>SUM(GE8:GE28)</f>
        <v>286.65429000000006</v>
      </c>
      <c r="GF29" s="78"/>
      <c r="GG29" s="81">
        <f>SUM(GG8:GG28)</f>
        <v>99719.82</v>
      </c>
      <c r="GH29" s="81">
        <f>SUM(GH8:GH28)</f>
        <v>39780.90046800002</v>
      </c>
      <c r="GI29" s="81">
        <f>SUM(GI8:GI28)</f>
        <v>139500.72046800004</v>
      </c>
      <c r="GJ29" s="81">
        <f>SUM(GJ8:GJ28)</f>
        <v>9302.412888</v>
      </c>
      <c r="GK29" s="81">
        <f>SUM(GK8:GK28)</f>
        <v>455.20955999999984</v>
      </c>
      <c r="GL29" s="78"/>
      <c r="GM29" s="81">
        <f>SUM(GM8:GM28)</f>
        <v>462146.385</v>
      </c>
      <c r="GN29" s="81">
        <f>SUM(GN8:GN28)</f>
        <v>184362.54039900002</v>
      </c>
      <c r="GO29" s="81">
        <f>SUM(GO8:GO28)</f>
        <v>646508.925399</v>
      </c>
      <c r="GP29" s="81">
        <f>SUM(GP8:GP28)</f>
        <v>43111.55483399999</v>
      </c>
      <c r="GQ29" s="81">
        <f>SUM(GQ8:GQ28)</f>
        <v>2109.6453299999994</v>
      </c>
      <c r="GR29" s="78"/>
      <c r="GS29" s="81">
        <f>SUM(GS8:GS28)</f>
        <v>24527.13</v>
      </c>
      <c r="GT29" s="81">
        <f>SUM(GT8:GT28)</f>
        <v>9784.527462</v>
      </c>
      <c r="GU29" s="81">
        <f>SUM(GU8:GU28)</f>
        <v>34311.657462</v>
      </c>
      <c r="GV29" s="81">
        <f>SUM(GV8:GV28)</f>
        <v>2288.025492</v>
      </c>
      <c r="GW29" s="81">
        <f>SUM(GW8:GW28)</f>
        <v>111.96354000000007</v>
      </c>
      <c r="GX29" s="78"/>
      <c r="GY29" s="81">
        <f>SUM(GY8:GY28)</f>
        <v>140623.26</v>
      </c>
      <c r="GZ29" s="81">
        <f>SUM(GZ8:GZ28)</f>
        <v>56098.375523999995</v>
      </c>
      <c r="HA29" s="81">
        <f>SUM(HA8:HA28)</f>
        <v>196721.635524</v>
      </c>
      <c r="HB29" s="81">
        <f>SUM(HB8:HB28)</f>
        <v>13118.110583999998</v>
      </c>
      <c r="HC29" s="81">
        <f>SUM(HC8:HC28)</f>
        <v>641.92908</v>
      </c>
      <c r="HD29" s="78"/>
      <c r="HE29" s="78"/>
      <c r="HF29" s="78"/>
      <c r="HG29" s="78"/>
      <c r="HH29" s="78"/>
      <c r="HI29" s="78"/>
    </row>
    <row r="30" ht="12.75" thickTop="1"/>
    <row r="43" spans="1:212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</row>
    <row r="44" spans="1:212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</row>
    <row r="45" spans="1:212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</row>
    <row r="46" spans="1:212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</row>
    <row r="47" spans="1:21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</row>
    <row r="48" spans="1:21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</row>
    <row r="49" spans="1:21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</row>
    <row r="50" spans="1:21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</row>
    <row r="51" spans="1:21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</row>
    <row r="52" spans="1:21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</row>
    <row r="53" spans="1:21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</row>
    <row r="54" spans="1:21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</row>
    <row r="55" spans="1:21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</row>
    <row r="56" spans="1:21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</row>
    <row r="57" spans="1:21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</row>
    <row r="58" spans="1:21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</row>
    <row r="59" spans="1:21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</row>
    <row r="60" spans="1:21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</row>
    <row r="61" spans="1:21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</row>
    <row r="62" spans="1:21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</row>
    <row r="63" spans="1:21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</row>
    <row r="64" spans="1:21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</row>
    <row r="65" spans="1:21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</row>
    <row r="66" spans="1:21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</row>
    <row r="67" spans="1:21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</row>
    <row r="68" spans="1:212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</row>
    <row r="69" spans="1:212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</row>
  </sheetData>
  <sheetProtection/>
  <printOptions/>
  <pageMargins left="0.75" right="0.75" top="1" bottom="1" header="0.5" footer="0.5"/>
  <pageSetup orientation="landscape" scale="72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pane xSplit="3" ySplit="5" topLeftCell="Q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8515625" defaultRowHeight="12.75"/>
  <cols>
    <col min="1" max="1" width="7.7109375" style="0" customWidth="1"/>
    <col min="2" max="2" width="2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">
      <c r="A1" s="18" t="s">
        <v>16</v>
      </c>
    </row>
    <row r="3" spans="1:18" ht="12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7" t="s">
        <v>0</v>
      </c>
    </row>
    <row r="4" spans="1:18" ht="12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20</v>
      </c>
      <c r="H4" s="4" t="s">
        <v>25</v>
      </c>
      <c r="I4" s="4" t="s">
        <v>67</v>
      </c>
      <c r="J4" s="4" t="s">
        <v>26</v>
      </c>
      <c r="K4" s="4" t="s">
        <v>61</v>
      </c>
      <c r="L4" s="4" t="s">
        <v>27</v>
      </c>
      <c r="M4" s="4" t="s">
        <v>22</v>
      </c>
      <c r="N4" s="4" t="s">
        <v>28</v>
      </c>
      <c r="O4" s="4" t="s">
        <v>29</v>
      </c>
      <c r="P4" s="4" t="s">
        <v>30</v>
      </c>
      <c r="Q4" s="4" t="s">
        <v>31</v>
      </c>
      <c r="R4" s="58" t="s">
        <v>6</v>
      </c>
    </row>
    <row r="5" spans="1:18" s="11" customFormat="1" ht="12.75" thickBot="1">
      <c r="A5" s="8"/>
      <c r="B5" s="8"/>
      <c r="C5" s="8" t="s">
        <v>7</v>
      </c>
      <c r="D5" s="9">
        <f>SUM(E5:Q5)</f>
        <v>98133530.93000004</v>
      </c>
      <c r="E5" s="9">
        <f aca="true" t="shared" si="0" ref="E5:Q5">SUM(E6:E64)</f>
        <v>35475452.61</v>
      </c>
      <c r="F5" s="9">
        <f t="shared" si="0"/>
        <v>17173868.36</v>
      </c>
      <c r="G5" s="9">
        <f t="shared" si="0"/>
        <v>11532463.45</v>
      </c>
      <c r="H5" s="9">
        <f t="shared" si="0"/>
        <v>9864290.229999999</v>
      </c>
      <c r="I5" s="9">
        <f t="shared" si="0"/>
        <v>2713564.15</v>
      </c>
      <c r="J5" s="9">
        <f t="shared" si="0"/>
        <v>2555176.51</v>
      </c>
      <c r="K5" s="9">
        <f t="shared" si="0"/>
        <v>2650659.3400000003</v>
      </c>
      <c r="L5" s="9">
        <f t="shared" si="0"/>
        <v>1281889.1800000002</v>
      </c>
      <c r="M5" s="9">
        <f t="shared" si="0"/>
        <v>1330989.5699999998</v>
      </c>
      <c r="N5" s="9">
        <f t="shared" si="0"/>
        <v>3547849.3899999997</v>
      </c>
      <c r="O5" s="9">
        <f t="shared" si="0"/>
        <v>811610.01</v>
      </c>
      <c r="P5" s="9">
        <f t="shared" si="0"/>
        <v>4563028.949999999</v>
      </c>
      <c r="Q5" s="9">
        <f t="shared" si="0"/>
        <v>4632689.18</v>
      </c>
      <c r="R5" s="15"/>
    </row>
    <row r="6" spans="1:18" ht="12.75" thickTop="1">
      <c r="A6" s="6"/>
      <c r="B6" s="54"/>
      <c r="C6" s="5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">
      <c r="A7" s="30" t="s">
        <v>5</v>
      </c>
      <c r="B7" s="30" t="s">
        <v>145</v>
      </c>
      <c r="C7" t="s">
        <v>24</v>
      </c>
      <c r="D7" s="5">
        <f aca="true" t="shared" si="1" ref="D7:D41">SUM(E7:Q7)</f>
        <v>6491058.68</v>
      </c>
      <c r="E7" s="5">
        <f>1485671.58+5005387.1</f>
        <v>6491058.68</v>
      </c>
      <c r="R7" s="12">
        <f>D7/D5</f>
        <v>0.06614516586211658</v>
      </c>
    </row>
    <row r="8" spans="1:18" ht="12">
      <c r="A8" s="30" t="s">
        <v>5</v>
      </c>
      <c r="B8" s="30" t="s">
        <v>33</v>
      </c>
      <c r="C8" t="s">
        <v>146</v>
      </c>
      <c r="D8" s="5">
        <f t="shared" si="1"/>
        <v>110854.23</v>
      </c>
      <c r="E8" s="5">
        <v>110854.23</v>
      </c>
      <c r="R8" s="12">
        <f>D8/D5</f>
        <v>0.0011296264278829813</v>
      </c>
    </row>
    <row r="9" spans="1:18" ht="12">
      <c r="A9" s="30" t="s">
        <v>5</v>
      </c>
      <c r="B9" s="30" t="s">
        <v>44</v>
      </c>
      <c r="C9" t="s">
        <v>39</v>
      </c>
      <c r="D9" s="5">
        <f t="shared" si="1"/>
        <v>500420.92</v>
      </c>
      <c r="E9" s="5">
        <f>198740.12+301680.8</f>
        <v>500420.92</v>
      </c>
      <c r="R9" s="12">
        <f>D9/D5</f>
        <v>0.005099387694069185</v>
      </c>
    </row>
    <row r="10" spans="1:18" ht="12">
      <c r="A10" s="30" t="s">
        <v>5</v>
      </c>
      <c r="B10" s="30" t="s">
        <v>45</v>
      </c>
      <c r="C10" t="s">
        <v>138</v>
      </c>
      <c r="D10" s="5">
        <f t="shared" si="1"/>
        <v>8702447.63</v>
      </c>
      <c r="E10" s="5">
        <f>9468639.46-766191.83</f>
        <v>8702447.63</v>
      </c>
      <c r="R10" s="12">
        <f>D10/D5</f>
        <v>0.08867965462495764</v>
      </c>
    </row>
    <row r="11" spans="1:18" ht="12">
      <c r="A11" s="30" t="s">
        <v>5</v>
      </c>
      <c r="B11" s="30" t="s">
        <v>49</v>
      </c>
      <c r="C11" t="s">
        <v>50</v>
      </c>
      <c r="D11" s="5">
        <f t="shared" si="1"/>
        <v>105413.83</v>
      </c>
      <c r="E11" s="5">
        <f>105413.83</f>
        <v>105413.83</v>
      </c>
      <c r="R11" s="12">
        <f>D11/D5</f>
        <v>0.001074187680816184</v>
      </c>
    </row>
    <row r="12" spans="1:18" ht="12">
      <c r="A12" s="30" t="s">
        <v>5</v>
      </c>
      <c r="B12" s="30" t="s">
        <v>53</v>
      </c>
      <c r="C12" t="s">
        <v>54</v>
      </c>
      <c r="D12" s="5">
        <f t="shared" si="1"/>
        <v>88900.66</v>
      </c>
      <c r="E12" s="5">
        <f>88900.66</f>
        <v>88900.66</v>
      </c>
      <c r="R12" s="12">
        <f>D12/D5</f>
        <v>0.0009059152275221202</v>
      </c>
    </row>
    <row r="13" spans="1:18" ht="12">
      <c r="A13" s="30" t="s">
        <v>17</v>
      </c>
      <c r="B13" s="30" t="s">
        <v>147</v>
      </c>
      <c r="C13" t="s">
        <v>24</v>
      </c>
      <c r="D13" s="5">
        <f t="shared" si="1"/>
        <v>3647310.73</v>
      </c>
      <c r="F13" s="5">
        <f>682672.96+1879000+644139.73+335575.03+61459.82-6794.5-38367.26-69086.01+158710.96</f>
        <v>3647310.73</v>
      </c>
      <c r="R13" s="12">
        <f>D13/D5</f>
        <v>0.03716681439498672</v>
      </c>
    </row>
    <row r="14" spans="1:18" ht="12">
      <c r="A14" s="30" t="s">
        <v>17</v>
      </c>
      <c r="B14" s="30" t="s">
        <v>32</v>
      </c>
      <c r="C14" t="s">
        <v>18</v>
      </c>
      <c r="D14" s="5">
        <f t="shared" si="1"/>
        <v>7483886.850000001</v>
      </c>
      <c r="F14" s="5">
        <f>1141981.41+6341905.44</f>
        <v>7483886.850000001</v>
      </c>
      <c r="R14" s="12">
        <f>D14/D5</f>
        <v>0.07626228037528128</v>
      </c>
    </row>
    <row r="15" spans="1:18" ht="12">
      <c r="A15" s="30" t="s">
        <v>17</v>
      </c>
      <c r="B15" s="30" t="s">
        <v>38</v>
      </c>
      <c r="C15" t="s">
        <v>40</v>
      </c>
      <c r="D15" s="5">
        <f t="shared" si="1"/>
        <v>86401.02</v>
      </c>
      <c r="F15" s="5">
        <f>86401.02</f>
        <v>86401.02</v>
      </c>
      <c r="R15" s="12">
        <f>D15/D5</f>
        <v>0.000880443403810987</v>
      </c>
    </row>
    <row r="16" spans="1:18" ht="12">
      <c r="A16" s="30" t="s">
        <v>17</v>
      </c>
      <c r="B16" s="30" t="s">
        <v>49</v>
      </c>
      <c r="C16" t="s">
        <v>51</v>
      </c>
      <c r="D16" s="5">
        <f t="shared" si="1"/>
        <v>58036.91</v>
      </c>
      <c r="F16" s="5">
        <v>58036.91</v>
      </c>
      <c r="R16" s="12">
        <f>D16/D5</f>
        <v>0.0005914075387891475</v>
      </c>
    </row>
    <row r="17" spans="1:18" ht="12">
      <c r="A17" s="30" t="s">
        <v>17</v>
      </c>
      <c r="B17" s="30" t="s">
        <v>49</v>
      </c>
      <c r="C17" t="s">
        <v>52</v>
      </c>
      <c r="D17" s="5">
        <f t="shared" si="1"/>
        <v>-8644.86</v>
      </c>
      <c r="F17" s="5">
        <f>-8644.86</f>
        <v>-8644.86</v>
      </c>
      <c r="R17" s="12">
        <f>D17/D5</f>
        <v>-8.80928253378195E-05</v>
      </c>
    </row>
    <row r="18" spans="1:18" ht="12">
      <c r="A18" s="30" t="s">
        <v>17</v>
      </c>
      <c r="B18" s="30" t="s">
        <v>48</v>
      </c>
      <c r="C18" t="s">
        <v>43</v>
      </c>
      <c r="D18" s="5">
        <f t="shared" si="1"/>
        <v>-5633</v>
      </c>
      <c r="F18" s="5">
        <f>-5633</f>
        <v>-5633</v>
      </c>
      <c r="R18" s="12">
        <f>D18/D5</f>
        <v>-5.740137898449913E-05</v>
      </c>
    </row>
    <row r="19" spans="1:18" ht="12">
      <c r="A19" s="30" t="s">
        <v>20</v>
      </c>
      <c r="B19" s="30" t="s">
        <v>167</v>
      </c>
      <c r="C19" t="s">
        <v>24</v>
      </c>
      <c r="D19" s="5">
        <f t="shared" si="1"/>
        <v>209474.52000000002</v>
      </c>
      <c r="G19" s="5">
        <f>6110+188167.92+15196.6</f>
        <v>209474.52000000002</v>
      </c>
      <c r="R19" s="12">
        <f>D19/D5</f>
        <v>0.0021345865986359034</v>
      </c>
    </row>
    <row r="20" spans="1:18" ht="12">
      <c r="A20" s="30" t="s">
        <v>20</v>
      </c>
      <c r="B20" s="30" t="s">
        <v>32</v>
      </c>
      <c r="C20" t="s">
        <v>21</v>
      </c>
      <c r="D20" s="5">
        <f t="shared" si="1"/>
        <v>1288197.08</v>
      </c>
      <c r="G20" s="5">
        <f>996960.19+291236.89</f>
        <v>1288197.08</v>
      </c>
      <c r="R20" s="12">
        <f>D20/D5</f>
        <v>0.013126981856169919</v>
      </c>
    </row>
    <row r="21" spans="1:18" ht="12">
      <c r="A21" s="30" t="s">
        <v>20</v>
      </c>
      <c r="B21" s="30" t="s">
        <v>38</v>
      </c>
      <c r="C21" t="s">
        <v>41</v>
      </c>
      <c r="D21" s="5">
        <f t="shared" si="1"/>
        <v>8653913.6</v>
      </c>
      <c r="G21" s="5">
        <v>8653913.6</v>
      </c>
      <c r="R21" s="12">
        <f>D21/D5</f>
        <v>0.0881850833042271</v>
      </c>
    </row>
    <row r="22" spans="1:18" ht="12">
      <c r="A22" s="30" t="s">
        <v>25</v>
      </c>
      <c r="B22" s="30" t="s">
        <v>154</v>
      </c>
      <c r="C22" t="s">
        <v>24</v>
      </c>
      <c r="D22" s="5">
        <f t="shared" si="1"/>
        <v>1248573.17</v>
      </c>
      <c r="H22" s="5">
        <f>36069.64+929868.46+188018.95+94616.12</f>
        <v>1248573.17</v>
      </c>
      <c r="R22" s="12">
        <f>D22/D5</f>
        <v>0.012723206412399692</v>
      </c>
    </row>
    <row r="23" spans="1:18" ht="12">
      <c r="A23" s="30" t="s">
        <v>25</v>
      </c>
      <c r="B23" s="30" t="s">
        <v>33</v>
      </c>
      <c r="C23" t="s">
        <v>34</v>
      </c>
      <c r="D23" s="5">
        <f t="shared" si="1"/>
        <v>2551199.92</v>
      </c>
      <c r="H23" s="5">
        <v>2551199.92</v>
      </c>
      <c r="R23" s="12">
        <f>D23/D5</f>
        <v>0.02599722944667919</v>
      </c>
    </row>
    <row r="24" spans="1:18" ht="12">
      <c r="A24" s="30" t="s">
        <v>26</v>
      </c>
      <c r="B24" s="30" t="s">
        <v>42</v>
      </c>
      <c r="C24" t="s">
        <v>24</v>
      </c>
      <c r="D24" s="5">
        <f t="shared" si="1"/>
        <v>413753.82</v>
      </c>
      <c r="J24" s="5">
        <f>34158.65+245714.72+133880.45</f>
        <v>413753.82</v>
      </c>
      <c r="R24" s="12">
        <f>D24/D5</f>
        <v>0.004216232882674284</v>
      </c>
    </row>
    <row r="25" spans="1:18" ht="12">
      <c r="A25" s="30" t="s">
        <v>26</v>
      </c>
      <c r="B25" s="30" t="s">
        <v>33</v>
      </c>
      <c r="C25" t="s">
        <v>35</v>
      </c>
      <c r="D25" s="5">
        <f t="shared" si="1"/>
        <v>2122452.69</v>
      </c>
      <c r="J25" s="5">
        <v>2122452.69</v>
      </c>
      <c r="R25" s="12">
        <f>D25/D5</f>
        <v>0.021628210764310252</v>
      </c>
    </row>
    <row r="26" spans="1:18" ht="12">
      <c r="A26" s="30" t="s">
        <v>26</v>
      </c>
      <c r="B26" s="30" t="s">
        <v>53</v>
      </c>
      <c r="C26" t="s">
        <v>43</v>
      </c>
      <c r="D26" s="5">
        <f t="shared" si="1"/>
        <v>18970</v>
      </c>
      <c r="J26" s="5">
        <f>18970</f>
        <v>18970</v>
      </c>
      <c r="R26" s="12">
        <f>D26/D5</f>
        <v>0.00019330803467707236</v>
      </c>
    </row>
    <row r="27" spans="1:18" ht="12">
      <c r="A27" s="30" t="s">
        <v>150</v>
      </c>
      <c r="B27" s="30" t="s">
        <v>151</v>
      </c>
      <c r="C27" t="s">
        <v>43</v>
      </c>
      <c r="D27" s="5">
        <f t="shared" si="1"/>
        <v>24970</v>
      </c>
      <c r="K27" s="5">
        <f>9970+15000</f>
        <v>24970</v>
      </c>
      <c r="R27" s="12">
        <f>D27/D5</f>
        <v>0.0002544492159138902</v>
      </c>
    </row>
    <row r="28" spans="1:18" ht="12">
      <c r="A28" s="30" t="s">
        <v>27</v>
      </c>
      <c r="B28" s="30" t="s">
        <v>155</v>
      </c>
      <c r="C28" t="s">
        <v>24</v>
      </c>
      <c r="D28" s="5">
        <f t="shared" si="1"/>
        <v>1257941.6800000002</v>
      </c>
      <c r="L28" s="5">
        <f>90000+359860.57+487000+67741.82+253339.29</f>
        <v>1257941.6800000002</v>
      </c>
      <c r="R28" s="12">
        <f>D28/D5</f>
        <v>0.012818673373704518</v>
      </c>
    </row>
    <row r="29" spans="1:18" ht="12">
      <c r="A29" s="30" t="s">
        <v>27</v>
      </c>
      <c r="B29" s="30" t="s">
        <v>38</v>
      </c>
      <c r="C29" t="s">
        <v>43</v>
      </c>
      <c r="D29" s="5">
        <f t="shared" si="1"/>
        <v>23947.5</v>
      </c>
      <c r="L29" s="5">
        <f>23947.5</f>
        <v>23947.5</v>
      </c>
      <c r="R29" s="12">
        <f>D29/D5</f>
        <v>0.00024402973961144914</v>
      </c>
    </row>
    <row r="30" spans="1:18" ht="12">
      <c r="A30" s="30" t="s">
        <v>22</v>
      </c>
      <c r="B30" s="30" t="s">
        <v>32</v>
      </c>
      <c r="C30" t="s">
        <v>24</v>
      </c>
      <c r="D30" s="5">
        <f t="shared" si="1"/>
        <v>357780.19</v>
      </c>
      <c r="M30" s="5">
        <f>242768.2+115011.99</f>
        <v>357780.19</v>
      </c>
      <c r="R30" s="12">
        <f>D30/D5</f>
        <v>0.003645850573288853</v>
      </c>
    </row>
    <row r="31" spans="1:18" ht="12">
      <c r="A31" s="30" t="s">
        <v>22</v>
      </c>
      <c r="B31" s="30" t="s">
        <v>19</v>
      </c>
      <c r="C31" t="s">
        <v>23</v>
      </c>
      <c r="D31" s="5">
        <f t="shared" si="1"/>
        <v>248545</v>
      </c>
      <c r="M31" s="5">
        <v>248545</v>
      </c>
      <c r="R31" s="12">
        <f>D31/D5</f>
        <v>0.0025327224817508144</v>
      </c>
    </row>
    <row r="32" spans="1:18" ht="12">
      <c r="A32" s="30" t="s">
        <v>22</v>
      </c>
      <c r="B32" s="30" t="s">
        <v>32</v>
      </c>
      <c r="C32" t="s">
        <v>37</v>
      </c>
      <c r="D32" s="5">
        <f t="shared" si="1"/>
        <v>97021.54</v>
      </c>
      <c r="M32" s="5">
        <f>45603.09+51418.45</f>
        <v>97021.54</v>
      </c>
      <c r="R32" s="12">
        <f>D32/D5</f>
        <v>0.0009886685935025282</v>
      </c>
    </row>
    <row r="33" spans="1:18" ht="12">
      <c r="A33" s="30" t="s">
        <v>28</v>
      </c>
      <c r="B33" s="30" t="s">
        <v>47</v>
      </c>
      <c r="C33" t="s">
        <v>24</v>
      </c>
      <c r="D33" s="5">
        <f t="shared" si="1"/>
        <v>1090369.3299999998</v>
      </c>
      <c r="N33" s="5">
        <f>190253.12+369334.97+251602.82+279178.42</f>
        <v>1090369.3299999998</v>
      </c>
      <c r="R33" s="12">
        <f>D33/D5</f>
        <v>0.011111078136766268</v>
      </c>
    </row>
    <row r="34" spans="1:18" ht="12">
      <c r="A34" s="30" t="s">
        <v>28</v>
      </c>
      <c r="B34" s="30" t="s">
        <v>33</v>
      </c>
      <c r="C34" t="s">
        <v>36</v>
      </c>
      <c r="D34" s="5">
        <f t="shared" si="1"/>
        <v>2457480.06</v>
      </c>
      <c r="N34" s="5">
        <v>2457480.06</v>
      </c>
      <c r="R34" s="12">
        <f>D34/D5</f>
        <v>0.025042205622387657</v>
      </c>
    </row>
    <row r="35" spans="1:18" ht="12">
      <c r="A35" s="30" t="s">
        <v>29</v>
      </c>
      <c r="B35" s="30" t="s">
        <v>145</v>
      </c>
      <c r="C35" t="s">
        <v>24</v>
      </c>
      <c r="D35" s="5">
        <f t="shared" si="1"/>
        <v>313603.51</v>
      </c>
      <c r="O35" s="5">
        <f>65575.07+248028.44</f>
        <v>313603.51</v>
      </c>
      <c r="R35" s="12">
        <f>D35/D5</f>
        <v>0.0031956815069020352</v>
      </c>
    </row>
    <row r="36" spans="1:18" ht="12">
      <c r="A36" s="30" t="s">
        <v>29</v>
      </c>
      <c r="B36" s="30" t="s">
        <v>149</v>
      </c>
      <c r="C36" t="s">
        <v>43</v>
      </c>
      <c r="D36" s="5">
        <f t="shared" si="1"/>
        <v>498006.5</v>
      </c>
      <c r="O36" s="5">
        <f>51451.5+246555+200000</f>
        <v>498006.5</v>
      </c>
      <c r="R36" s="12">
        <f>D36/D5</f>
        <v>0.005074784278935552</v>
      </c>
    </row>
    <row r="37" spans="1:18" ht="12">
      <c r="A37" s="30" t="s">
        <v>30</v>
      </c>
      <c r="B37" s="30" t="s">
        <v>148</v>
      </c>
      <c r="C37" t="s">
        <v>24</v>
      </c>
      <c r="D37" s="5">
        <f t="shared" si="1"/>
        <v>2307993.5599999996</v>
      </c>
      <c r="P37" s="5">
        <f>12007.36+391267.59+483716.2+1000424.28+179960.19+12017.93+34578+194022.01</f>
        <v>2307993.5599999996</v>
      </c>
      <c r="R37" s="12">
        <f>D37/D5</f>
        <v>0.02351890875756139</v>
      </c>
    </row>
    <row r="38" spans="1:18" ht="12">
      <c r="A38" s="30" t="s">
        <v>30</v>
      </c>
      <c r="B38" s="30" t="s">
        <v>45</v>
      </c>
      <c r="C38" t="s">
        <v>46</v>
      </c>
      <c r="D38" s="5">
        <f t="shared" si="1"/>
        <v>122494.35</v>
      </c>
      <c r="P38" s="5">
        <v>122494.35</v>
      </c>
      <c r="R38" s="12">
        <f>D38/D5</f>
        <v>0.0012482415423060327</v>
      </c>
    </row>
    <row r="39" spans="1:19" ht="12">
      <c r="A39" s="30" t="s">
        <v>31</v>
      </c>
      <c r="B39" s="30" t="s">
        <v>55</v>
      </c>
      <c r="C39" t="s">
        <v>24</v>
      </c>
      <c r="D39" s="5">
        <f t="shared" si="1"/>
        <v>702285.01</v>
      </c>
      <c r="Q39" s="5">
        <f>65782.4+367000+16314.08+11993.9+76763.05+164431.58</f>
        <v>702285.01</v>
      </c>
      <c r="R39" s="12">
        <f>D39/D5</f>
        <v>0.007156422512718403</v>
      </c>
      <c r="S39" s="12"/>
    </row>
    <row r="40" spans="1:18" ht="12">
      <c r="A40" s="30" t="s">
        <v>5</v>
      </c>
      <c r="B40" s="30" t="s">
        <v>152</v>
      </c>
      <c r="C40" t="s">
        <v>63</v>
      </c>
      <c r="D40" s="5">
        <f t="shared" si="1"/>
        <v>8019866.98</v>
      </c>
      <c r="E40" s="5">
        <f>478502.95+7541364.03</f>
        <v>8019866.98</v>
      </c>
      <c r="R40" s="12">
        <f>D40/D5</f>
        <v>0.08172402341989181</v>
      </c>
    </row>
    <row r="41" spans="1:18" ht="12">
      <c r="A41" s="30" t="s">
        <v>5</v>
      </c>
      <c r="B41" s="30" t="s">
        <v>62</v>
      </c>
      <c r="C41" t="s">
        <v>64</v>
      </c>
      <c r="D41" s="5">
        <f t="shared" si="1"/>
        <v>5845283.67</v>
      </c>
      <c r="E41" s="5">
        <v>5845283.67</v>
      </c>
      <c r="R41" s="12">
        <f>D41/D5</f>
        <v>0.05956459137468027</v>
      </c>
    </row>
    <row r="42" spans="1:18" ht="12">
      <c r="A42" s="30" t="s">
        <v>5</v>
      </c>
      <c r="B42" s="30" t="s">
        <v>70</v>
      </c>
      <c r="C42" t="s">
        <v>71</v>
      </c>
      <c r="D42" s="5">
        <f aca="true" t="shared" si="2" ref="D42:D63">SUM(E42:Q42)</f>
        <v>3099098.32</v>
      </c>
      <c r="E42" s="5">
        <v>3099098.32</v>
      </c>
      <c r="R42" s="12">
        <f>D42/D5</f>
        <v>0.03158042200897294</v>
      </c>
    </row>
    <row r="43" spans="1:18" ht="12">
      <c r="A43" s="30" t="s">
        <v>5</v>
      </c>
      <c r="B43" s="30" t="s">
        <v>13</v>
      </c>
      <c r="C43" t="s">
        <v>15</v>
      </c>
      <c r="D43" s="5">
        <f t="shared" si="2"/>
        <v>2253928.3</v>
      </c>
      <c r="E43" s="5">
        <f>2253928.3</f>
        <v>2253928.3</v>
      </c>
      <c r="R43" s="12">
        <f>D43/D5</f>
        <v>0.022967973114182114</v>
      </c>
    </row>
    <row r="44" spans="1:18" ht="12">
      <c r="A44" s="30" t="s">
        <v>5</v>
      </c>
      <c r="B44" s="30" t="s">
        <v>13</v>
      </c>
      <c r="C44" t="s">
        <v>81</v>
      </c>
      <c r="D44" s="5">
        <f t="shared" si="2"/>
        <v>258179.39</v>
      </c>
      <c r="E44" s="5">
        <f>258179.39</f>
        <v>258179.39</v>
      </c>
      <c r="R44" s="12">
        <f>D44/D5</f>
        <v>0.0026308988126001786</v>
      </c>
    </row>
    <row r="45" spans="1:18" ht="12">
      <c r="A45" s="30" t="s">
        <v>17</v>
      </c>
      <c r="B45" s="30" t="s">
        <v>62</v>
      </c>
      <c r="C45" t="s">
        <v>139</v>
      </c>
      <c r="D45" s="5">
        <f t="shared" si="2"/>
        <v>4084600.87</v>
      </c>
      <c r="F45" s="5">
        <v>4084600.87</v>
      </c>
      <c r="R45" s="12">
        <f>D45/D5</f>
        <v>0.041622887012122294</v>
      </c>
    </row>
    <row r="46" spans="1:18" ht="12">
      <c r="A46" s="30" t="s">
        <v>17</v>
      </c>
      <c r="B46" s="30" t="s">
        <v>62</v>
      </c>
      <c r="C46" t="s">
        <v>65</v>
      </c>
      <c r="D46" s="5">
        <f t="shared" si="2"/>
        <v>442785.36</v>
      </c>
      <c r="F46" s="5">
        <v>442785.36</v>
      </c>
      <c r="R46" s="12">
        <f>D46/D5</f>
        <v>0.004512069990794938</v>
      </c>
    </row>
    <row r="47" spans="1:18" ht="12">
      <c r="A47" s="30" t="s">
        <v>17</v>
      </c>
      <c r="B47" s="30" t="s">
        <v>70</v>
      </c>
      <c r="C47" t="s">
        <v>72</v>
      </c>
      <c r="D47" s="5">
        <f t="shared" si="2"/>
        <v>1385124.48</v>
      </c>
      <c r="F47" s="5">
        <f>1385124.48</f>
        <v>1385124.48</v>
      </c>
      <c r="R47" s="12">
        <f>D47/D5</f>
        <v>0.014114691144538841</v>
      </c>
    </row>
    <row r="48" spans="1:18" ht="12">
      <c r="A48" s="30" t="s">
        <v>20</v>
      </c>
      <c r="B48" s="30" t="s">
        <v>70</v>
      </c>
      <c r="C48" t="s">
        <v>73</v>
      </c>
      <c r="D48" s="5">
        <f t="shared" si="2"/>
        <v>702428.94</v>
      </c>
      <c r="G48" s="5">
        <v>702428.94</v>
      </c>
      <c r="R48" s="12">
        <f>D48/D5</f>
        <v>0.007157889187754305</v>
      </c>
    </row>
    <row r="49" spans="1:18" ht="12">
      <c r="A49" s="30" t="s">
        <v>20</v>
      </c>
      <c r="B49" s="30" t="s">
        <v>13</v>
      </c>
      <c r="C49" t="s">
        <v>82</v>
      </c>
      <c r="D49" s="5">
        <f t="shared" si="2"/>
        <v>136415.17</v>
      </c>
      <c r="G49" s="5">
        <f>136415.17</f>
        <v>136415.17</v>
      </c>
      <c r="R49" s="12">
        <f>D49/D5</f>
        <v>0.0013900974387368859</v>
      </c>
    </row>
    <row r="50" spans="1:18" ht="12">
      <c r="A50" s="30" t="s">
        <v>20</v>
      </c>
      <c r="B50" s="30" t="s">
        <v>83</v>
      </c>
      <c r="C50" t="s">
        <v>84</v>
      </c>
      <c r="D50" s="5">
        <f t="shared" si="2"/>
        <v>542034.14</v>
      </c>
      <c r="G50" s="5">
        <v>542034.14</v>
      </c>
      <c r="R50" s="12">
        <f>D50/D5</f>
        <v>0.005523434598380448</v>
      </c>
    </row>
    <row r="51" spans="1:18" ht="12">
      <c r="A51" s="30" t="s">
        <v>25</v>
      </c>
      <c r="B51" s="30" t="s">
        <v>56</v>
      </c>
      <c r="C51" t="s">
        <v>57</v>
      </c>
      <c r="D51" s="5">
        <f t="shared" si="2"/>
        <v>1321981.34</v>
      </c>
      <c r="H51" s="5">
        <v>1321981.34</v>
      </c>
      <c r="R51" s="12">
        <f>D51/D5</f>
        <v>0.013471250116771883</v>
      </c>
    </row>
    <row r="52" spans="1:18" ht="12">
      <c r="A52" s="30" t="s">
        <v>25</v>
      </c>
      <c r="B52" s="30" t="s">
        <v>153</v>
      </c>
      <c r="C52" t="s">
        <v>58</v>
      </c>
      <c r="D52" s="5">
        <f t="shared" si="2"/>
        <v>2958966.16</v>
      </c>
      <c r="H52" s="5">
        <f>527766+2000000+431200.16</f>
        <v>2958966.16</v>
      </c>
      <c r="R52" s="12">
        <f>D52/D5</f>
        <v>0.030152447710361817</v>
      </c>
    </row>
    <row r="53" spans="1:18" ht="12">
      <c r="A53" s="30" t="s">
        <v>25</v>
      </c>
      <c r="B53" s="30" t="s">
        <v>56</v>
      </c>
      <c r="C53" t="s">
        <v>59</v>
      </c>
      <c r="D53" s="5">
        <f t="shared" si="2"/>
        <v>447676.29</v>
      </c>
      <c r="H53" s="5">
        <v>447676.29</v>
      </c>
      <c r="R53" s="12">
        <f>D53/D5</f>
        <v>0.004561909530386036</v>
      </c>
    </row>
    <row r="54" spans="1:18" ht="12">
      <c r="A54" s="30" t="s">
        <v>25</v>
      </c>
      <c r="B54" s="30" t="s">
        <v>62</v>
      </c>
      <c r="C54" t="s">
        <v>66</v>
      </c>
      <c r="D54" s="5">
        <f t="shared" si="2"/>
        <v>1286321.35</v>
      </c>
      <c r="H54" s="5">
        <v>1286321.35</v>
      </c>
      <c r="R54" s="12">
        <f>D54/D5</f>
        <v>0.013107867798189697</v>
      </c>
    </row>
    <row r="55" spans="1:18" ht="12">
      <c r="A55" s="30" t="s">
        <v>25</v>
      </c>
      <c r="B55" s="30" t="s">
        <v>78</v>
      </c>
      <c r="C55" t="s">
        <v>79</v>
      </c>
      <c r="D55" s="5">
        <f t="shared" si="2"/>
        <v>49572</v>
      </c>
      <c r="H55" s="5">
        <f>49572</f>
        <v>49572</v>
      </c>
      <c r="R55" s="12">
        <f>D55/D5</f>
        <v>0.0005051484393785889</v>
      </c>
    </row>
    <row r="56" spans="1:18" ht="12">
      <c r="A56" s="30" t="s">
        <v>67</v>
      </c>
      <c r="B56" s="30" t="s">
        <v>62</v>
      </c>
      <c r="C56" t="s">
        <v>68</v>
      </c>
      <c r="D56" s="5">
        <f t="shared" si="2"/>
        <v>2713564.15</v>
      </c>
      <c r="I56" s="5">
        <v>2713564.15</v>
      </c>
      <c r="R56" s="12">
        <f>D56/D5</f>
        <v>0.027651752915480252</v>
      </c>
    </row>
    <row r="57" spans="1:18" ht="12">
      <c r="A57" s="30" t="s">
        <v>61</v>
      </c>
      <c r="B57" s="30" t="s">
        <v>56</v>
      </c>
      <c r="C57" t="s">
        <v>143</v>
      </c>
      <c r="D57" s="5">
        <f t="shared" si="2"/>
        <v>427217.64</v>
      </c>
      <c r="K57" s="5">
        <v>427217.64</v>
      </c>
      <c r="R57" s="12">
        <f>D57/D5</f>
        <v>0.004353431859134266</v>
      </c>
    </row>
    <row r="58" spans="1:18" ht="12">
      <c r="A58" s="30" t="s">
        <v>61</v>
      </c>
      <c r="B58" s="30" t="s">
        <v>62</v>
      </c>
      <c r="C58" t="s">
        <v>69</v>
      </c>
      <c r="D58" s="5">
        <f t="shared" si="2"/>
        <v>2198471.7</v>
      </c>
      <c r="K58" s="5">
        <f>2198471.7</f>
        <v>2198471.7</v>
      </c>
      <c r="R58" s="12">
        <f>D58/D5</f>
        <v>0.022402859442285834</v>
      </c>
    </row>
    <row r="59" spans="1:18" ht="12">
      <c r="A59" s="30" t="s">
        <v>22</v>
      </c>
      <c r="B59" s="30" t="s">
        <v>70</v>
      </c>
      <c r="C59" t="s">
        <v>74</v>
      </c>
      <c r="D59" s="5">
        <f t="shared" si="2"/>
        <v>627642.84</v>
      </c>
      <c r="M59" s="5">
        <f>627642.84</f>
        <v>627642.84</v>
      </c>
      <c r="R59" s="12">
        <f>D59/D5</f>
        <v>0.006395804105405175</v>
      </c>
    </row>
    <row r="60" spans="1:18" ht="12">
      <c r="A60" s="30" t="s">
        <v>30</v>
      </c>
      <c r="B60" s="30" t="s">
        <v>70</v>
      </c>
      <c r="C60" t="s">
        <v>75</v>
      </c>
      <c r="D60" s="5">
        <f t="shared" si="2"/>
        <v>6300</v>
      </c>
      <c r="P60" s="5">
        <f>6300</f>
        <v>6300</v>
      </c>
      <c r="R60" s="12">
        <f>D60/D5</f>
        <v>6.419824029865872E-05</v>
      </c>
    </row>
    <row r="61" spans="1:18" ht="12">
      <c r="A61" s="30" t="s">
        <v>30</v>
      </c>
      <c r="B61" s="30" t="s">
        <v>70</v>
      </c>
      <c r="C61" t="s">
        <v>76</v>
      </c>
      <c r="D61" s="5">
        <f t="shared" si="2"/>
        <v>11695</v>
      </c>
      <c r="P61" s="5">
        <v>11695</v>
      </c>
      <c r="R61" s="12">
        <f>D61/D5</f>
        <v>0.00011917435242743074</v>
      </c>
    </row>
    <row r="62" spans="1:18" ht="12">
      <c r="A62" s="30" t="s">
        <v>30</v>
      </c>
      <c r="B62" s="30" t="s">
        <v>78</v>
      </c>
      <c r="C62" t="s">
        <v>80</v>
      </c>
      <c r="D62" s="5">
        <f t="shared" si="2"/>
        <v>2114546.04</v>
      </c>
      <c r="P62" s="5">
        <v>2114546.04</v>
      </c>
      <c r="R62" s="12">
        <f>D62/D5</f>
        <v>0.021547640444205905</v>
      </c>
    </row>
    <row r="63" spans="1:18" ht="12">
      <c r="A63" s="30" t="s">
        <v>31</v>
      </c>
      <c r="B63" s="30" t="s">
        <v>77</v>
      </c>
      <c r="C63" t="s">
        <v>60</v>
      </c>
      <c r="D63" s="5">
        <f t="shared" si="2"/>
        <v>3930404.17</v>
      </c>
      <c r="Q63" s="5">
        <f>3215497.1+714907.07</f>
        <v>3930404.17</v>
      </c>
      <c r="R63" s="12">
        <f>D63/D5</f>
        <v>0.04005159228198576</v>
      </c>
    </row>
    <row r="64" spans="5:18" ht="1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7"/>
    </row>
    <row r="65" spans="2:18" s="12" customFormat="1" ht="12.75" thickBot="1">
      <c r="B65" s="55"/>
      <c r="C65" s="13" t="s">
        <v>8</v>
      </c>
      <c r="D65" s="60">
        <f>SUM(E65:Q65)</f>
        <v>0.9999999999999996</v>
      </c>
      <c r="E65" s="14">
        <f>E5/D5</f>
        <v>0.361501846247692</v>
      </c>
      <c r="F65" s="14">
        <f>F5/D5</f>
        <v>0.1750050996560019</v>
      </c>
      <c r="G65" s="14">
        <f>G5/D5</f>
        <v>0.11751807298390456</v>
      </c>
      <c r="H65" s="14">
        <f>H5/D5</f>
        <v>0.10051905945416688</v>
      </c>
      <c r="I65" s="14">
        <f>I5/D5</f>
        <v>0.027651752915480252</v>
      </c>
      <c r="J65" s="14">
        <f>J5/D5</f>
        <v>0.026037751681661607</v>
      </c>
      <c r="K65" s="14">
        <f>K5/D5</f>
        <v>0.02701074051733399</v>
      </c>
      <c r="L65" s="14">
        <f>L5/D5</f>
        <v>0.013062703113315966</v>
      </c>
      <c r="M65" s="14">
        <f>M5/D5</f>
        <v>0.013563045753947369</v>
      </c>
      <c r="N65" s="14">
        <f>N5/D5</f>
        <v>0.03615328375915392</v>
      </c>
      <c r="O65" s="14">
        <f>O5/D5</f>
        <v>0.008270465785837589</v>
      </c>
      <c r="P65" s="14">
        <f>P5/D5</f>
        <v>0.04649816333679942</v>
      </c>
      <c r="Q65" s="14">
        <f>Q5/D5</f>
        <v>0.047208014794704156</v>
      </c>
      <c r="R65" s="14">
        <f>SUM(R6:R64)</f>
        <v>0.9999999999999998</v>
      </c>
    </row>
    <row r="66" spans="1:18" s="12" customFormat="1" ht="12.75" thickTop="1">
      <c r="A66" s="34"/>
      <c r="C66" s="1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s="12" customFormat="1" ht="12">
      <c r="A67" s="6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ht="12">
      <c r="A68" s="35"/>
    </row>
    <row r="69" spans="1:18" s="52" customFormat="1" ht="12">
      <c r="A69" s="34"/>
      <c r="B69" s="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/>
    </row>
    <row r="70" spans="1:18" s="52" customFormat="1" ht="12">
      <c r="A70" s="6"/>
      <c r="B70" s="6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/>
    </row>
    <row r="71" spans="3:5" ht="12">
      <c r="C71" s="66" t="s">
        <v>140</v>
      </c>
      <c r="D71" s="50">
        <v>95000000</v>
      </c>
      <c r="E71" s="28"/>
    </row>
    <row r="72" spans="3:4" ht="12">
      <c r="C72" s="11" t="s">
        <v>141</v>
      </c>
      <c r="D72" s="59">
        <v>6099408.5</v>
      </c>
    </row>
    <row r="73" spans="3:5" ht="12.75" thickBot="1">
      <c r="C73" s="8" t="s">
        <v>4</v>
      </c>
      <c r="D73" s="49">
        <f>SUM(D71:D72)</f>
        <v>101099408.5</v>
      </c>
      <c r="E73" s="68">
        <f>D5/D73</f>
        <v>0.9706637495312352</v>
      </c>
    </row>
    <row r="74" spans="3:5" ht="12.75" thickTop="1">
      <c r="C74" s="6"/>
      <c r="D74" s="16"/>
      <c r="E74" s="29"/>
    </row>
    <row r="75" spans="3:4" ht="12">
      <c r="C75" s="11" t="s">
        <v>156</v>
      </c>
      <c r="D75" s="33">
        <v>650958.73</v>
      </c>
    </row>
    <row r="76" spans="3:4" ht="12">
      <c r="C76" s="11" t="s">
        <v>157</v>
      </c>
      <c r="D76" s="33">
        <f>98899722.76-766191.83</f>
        <v>98133530.93</v>
      </c>
    </row>
    <row r="77" spans="3:4" ht="12">
      <c r="C77" s="11" t="s">
        <v>158</v>
      </c>
      <c r="D77" s="33">
        <v>2432645</v>
      </c>
    </row>
    <row r="78" spans="3:5" ht="12.75" thickBot="1">
      <c r="C78" s="11"/>
      <c r="D78" s="69">
        <f>SUM(D75:D77)</f>
        <v>101217134.66000001</v>
      </c>
      <c r="E78" s="5">
        <f>D78-D73</f>
        <v>117726.16000001132</v>
      </c>
    </row>
    <row r="79" spans="3:4" ht="12.75" thickTop="1">
      <c r="C79" s="11"/>
      <c r="D79" s="33"/>
    </row>
    <row r="80" spans="3:4" ht="12">
      <c r="C80" s="11" t="s">
        <v>161</v>
      </c>
      <c r="D80" s="33">
        <f>D73-D78</f>
        <v>-117726.16000001132</v>
      </c>
    </row>
    <row r="81" spans="3:4" ht="12">
      <c r="C81" s="11" t="s">
        <v>162</v>
      </c>
      <c r="D81" s="33">
        <f>4888176.59-4958309.81</f>
        <v>-70133.21999999974</v>
      </c>
    </row>
    <row r="82" spans="3:4" ht="12">
      <c r="C82" s="11" t="s">
        <v>163</v>
      </c>
      <c r="D82" s="33">
        <f>9964642.42-10000000</f>
        <v>-35357.580000000075</v>
      </c>
    </row>
    <row r="83" spans="3:4" ht="12">
      <c r="C83" s="11" t="s">
        <v>159</v>
      </c>
      <c r="D83" s="33">
        <v>295196.15</v>
      </c>
    </row>
    <row r="84" spans="3:4" ht="12">
      <c r="C84" s="11" t="s">
        <v>160</v>
      </c>
      <c r="D84" s="33">
        <v>51146.55</v>
      </c>
    </row>
    <row r="85" spans="3:4" ht="12.75" thickBot="1">
      <c r="C85" s="11"/>
      <c r="D85" s="69">
        <f>SUM(D80:D84)</f>
        <v>123125.73999998889</v>
      </c>
    </row>
    <row r="86" ht="12.75" thickTop="1">
      <c r="D86" s="12"/>
    </row>
    <row r="87" ht="12">
      <c r="D87" s="12"/>
    </row>
  </sheetData>
  <sheetProtection/>
  <printOptions/>
  <pageMargins left="0.5" right="0" top="0.5" bottom="0.5" header="0.5" footer="0.25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2015-01-29T19:14:38Z</cp:lastPrinted>
  <dcterms:created xsi:type="dcterms:W3CDTF">1998-02-23T20:58:01Z</dcterms:created>
  <dcterms:modified xsi:type="dcterms:W3CDTF">2015-01-29T19:17:32Z</dcterms:modified>
  <cp:category/>
  <cp:version/>
  <cp:contentType/>
  <cp:contentStatus/>
</cp:coreProperties>
</file>