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600" windowHeight="16720" activeTab="0"/>
  </bookViews>
  <sheets>
    <sheet name="2008A" sheetId="1" r:id="rId1"/>
    <sheet name="Academic Project" sheetId="2" r:id="rId2"/>
    <sheet name="2015A" sheetId="3" r:id="rId3"/>
    <sheet name="2015A Academic" sheetId="4" r:id="rId4"/>
    <sheet name="Percentage - Final" sheetId="5" r:id="rId5"/>
    <sheet name="UMBI adjustment" sheetId="6" r:id="rId6"/>
  </sheets>
  <definedNames>
    <definedName name="_xlnm.Print_Titles" localSheetId="0">'2008A'!$A:$A</definedName>
    <definedName name="_xlnm.Print_Titles" localSheetId="1">'Academic Project'!$A:$A</definedName>
  </definedNames>
  <calcPr fullCalcOnLoad="1"/>
</workbook>
</file>

<file path=xl/sharedStrings.xml><?xml version="1.0" encoding="utf-8"?>
<sst xmlns="http://schemas.openxmlformats.org/spreadsheetml/2006/main" count="929" uniqueCount="137">
  <si>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</si>
  <si>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</si>
  <si>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</si>
  <si>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</si>
  <si>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</si>
  <si>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</si>
  <si>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</si>
  <si>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</si>
  <si>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</si>
  <si>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</si>
  <si>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</si>
  <si>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</si>
  <si>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</si>
  <si>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</si>
  <si>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</si>
  <si>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Debt Svc from Earnings and Accrued Interest</t>
  </si>
  <si>
    <t>UMB</t>
  </si>
  <si>
    <t>22th Acad</t>
  </si>
  <si>
    <t>UMES</t>
  </si>
  <si>
    <t>Utilities Upgrade/Site Improve</t>
  </si>
  <si>
    <t>Facilities Renewal</t>
  </si>
  <si>
    <t>UMBC</t>
  </si>
  <si>
    <t>BSU</t>
  </si>
  <si>
    <t>FSU</t>
  </si>
  <si>
    <t>TU</t>
  </si>
  <si>
    <t>UB</t>
  </si>
  <si>
    <t>Health/Human Service Bldg</t>
  </si>
  <si>
    <t>Resident Hall Renovations</t>
  </si>
  <si>
    <t>USMO</t>
  </si>
  <si>
    <t>New Recreation &amp; Athletic Fac</t>
  </si>
  <si>
    <t xml:space="preserve">        UMES Utilities Upgrade (Academic)</t>
  </si>
  <si>
    <t>24th Aux</t>
  </si>
  <si>
    <t xml:space="preserve">        BSU Facilities Renewal (Academic)</t>
  </si>
  <si>
    <t xml:space="preserve">   CSU Health/Human Service Bldg (Academic)</t>
  </si>
  <si>
    <t xml:space="preserve">        FSU Facilities Renewal (Academic)</t>
  </si>
  <si>
    <t>New Campus Center</t>
  </si>
  <si>
    <t xml:space="preserve">           UMB Facilities Renewal (Academic)</t>
  </si>
  <si>
    <t xml:space="preserve">        UMB New Campus Center (Auxiliary)</t>
  </si>
  <si>
    <t xml:space="preserve">   UMBC Resident Hall Renovation (Auxiliary)</t>
  </si>
  <si>
    <t xml:space="preserve">    UMBC New Recreation &amp; Athletic (Auxiliary)</t>
  </si>
  <si>
    <t xml:space="preserve">    USMO Shady Grove Parking Lot 2 (Auxiliary)</t>
  </si>
  <si>
    <t>Towsontown Garage Expansion</t>
  </si>
  <si>
    <t>Towson Center Arena Improvement</t>
  </si>
  <si>
    <t xml:space="preserve">         TU Towsontown Garage (Auxiliary)</t>
  </si>
  <si>
    <t xml:space="preserve">      TU Towson Center Arena (Auxiliary)</t>
  </si>
  <si>
    <t>22nd Acad</t>
  </si>
  <si>
    <t>UMBI</t>
  </si>
  <si>
    <t>26th Aux</t>
  </si>
  <si>
    <t>West Village Infrastructure &amp; Site Improvement</t>
  </si>
  <si>
    <t xml:space="preserve">    TU West Village Infrastructure (Auxiliary)</t>
  </si>
  <si>
    <t>26,27th Acad</t>
  </si>
  <si>
    <t>20th Acad</t>
  </si>
  <si>
    <t>27th Aux</t>
  </si>
  <si>
    <t>Fraternity/Sorority Houses Renovation</t>
  </si>
  <si>
    <t>Golf Course Improvements</t>
  </si>
  <si>
    <t>SCUB Utilities Facility</t>
  </si>
  <si>
    <t>CSU</t>
  </si>
  <si>
    <t>Parking Garage</t>
  </si>
  <si>
    <t>SU</t>
  </si>
  <si>
    <t>Lane Center Renovation/Addition</t>
  </si>
  <si>
    <t>Holmes Hall &amp; Tubman Hall Renovation</t>
  </si>
  <si>
    <t xml:space="preserve">   UMCP Fraternity/Sorority Houses (Auxiliary)</t>
  </si>
  <si>
    <t xml:space="preserve">    BSU Holmes Hall &amp; Tubman Hall (Auxiliary)</t>
  </si>
  <si>
    <t xml:space="preserve">           CSU Parking Garage (Auxiliary)</t>
  </si>
  <si>
    <t xml:space="preserve">       FSU Lane Center Renovation (Auxiliary)</t>
  </si>
  <si>
    <t xml:space="preserve">           SU New Parking Garage (Auxiliary)</t>
  </si>
  <si>
    <t xml:space="preserve">      UMCP SCUB Utilities Facility (Auxiliary)</t>
  </si>
  <si>
    <t>28th Acad</t>
  </si>
  <si>
    <t>25th Acad</t>
  </si>
  <si>
    <t>Shady Grove Education Center III</t>
  </si>
  <si>
    <t>24th Acad</t>
  </si>
  <si>
    <t>West Village Dining Commons</t>
  </si>
  <si>
    <t>26,27th Aux</t>
  </si>
  <si>
    <t>Wicomico Hall Renovation</t>
  </si>
  <si>
    <t xml:space="preserve">   UMES Wicomico Hall Renovation (Auxiliary)</t>
  </si>
  <si>
    <t xml:space="preserve">    TU West Village Dining Commons (Auxiliary)</t>
  </si>
  <si>
    <t>Byrd Stadium Expansion</t>
  </si>
  <si>
    <t xml:space="preserve">        CSU Facilities Renewal (Academic)</t>
  </si>
  <si>
    <t xml:space="preserve">           Total Academic Projects - 2008A</t>
  </si>
  <si>
    <t xml:space="preserve">           Total Auxiliary Projects - 2008A</t>
  </si>
  <si>
    <t>27th Acad</t>
  </si>
  <si>
    <t>Emergency Projects</t>
  </si>
  <si>
    <t>Athletic Practice Fields</t>
  </si>
  <si>
    <t>27,28th Aux</t>
  </si>
  <si>
    <t>Shady Grove Center Parking Garage</t>
  </si>
  <si>
    <t>Dormitory Renovations, Campus-Wide</t>
  </si>
  <si>
    <t>New Parking Garage &amp; Property Acquisition</t>
  </si>
  <si>
    <t>2008 Series A Bonds</t>
  </si>
  <si>
    <t xml:space="preserve">           UMBI Facilities Renewal (Academic)</t>
  </si>
  <si>
    <t xml:space="preserve">         UMBC Facilities Renewal (Academic)</t>
  </si>
  <si>
    <t xml:space="preserve">  USMO Shady Grove Education III (Academic)</t>
  </si>
  <si>
    <t xml:space="preserve">        BSU Emergency Projects (Academic)</t>
  </si>
  <si>
    <t xml:space="preserve">        FSU Emergency Projects (Academic)</t>
  </si>
  <si>
    <t xml:space="preserve">          SU Facilities Renewal (Academic)</t>
  </si>
  <si>
    <t xml:space="preserve">          TU Facilities Renewal (Academic)</t>
  </si>
  <si>
    <t xml:space="preserve">         TU Emergency Projects (Academic)</t>
  </si>
  <si>
    <t xml:space="preserve">          UB Facilities Renewal (Academic)</t>
  </si>
  <si>
    <t xml:space="preserve">         UB Emergency Projects (Academic)</t>
  </si>
  <si>
    <t xml:space="preserve">    UMCP Byrd Stadium Expansion (Auxiliary)</t>
  </si>
  <si>
    <t xml:space="preserve">              UMCP Golf Course (Auxiliary)</t>
  </si>
  <si>
    <t xml:space="preserve">     UMBC Athletic Practice Fields (Auxiliary)</t>
  </si>
  <si>
    <t xml:space="preserve">       SU Dormitory Renovations (Auxiliary)</t>
  </si>
  <si>
    <t>24,25,26,28,29th Acad</t>
  </si>
  <si>
    <t>New Journalism Building</t>
  </si>
  <si>
    <t>Pharmacy Hall Addition and Renovation</t>
  </si>
  <si>
    <t>26,27,28th Acad</t>
  </si>
  <si>
    <t>21,22,24,25,26,27,28th Acad</t>
  </si>
  <si>
    <t>CEES</t>
  </si>
  <si>
    <t>25,26,27,28th Acad</t>
  </si>
  <si>
    <t>24,25,26,27th Acad</t>
  </si>
  <si>
    <t>24,25th Acad</t>
  </si>
  <si>
    <t>21,24,28th Acad</t>
  </si>
  <si>
    <t>21,22nd Acad</t>
  </si>
  <si>
    <t>28th Aux</t>
  </si>
  <si>
    <t>New Student Center</t>
  </si>
  <si>
    <t>26,27,28th Aux</t>
  </si>
  <si>
    <t>Dining Hall: Upgrades</t>
  </si>
  <si>
    <t>21,25,26,27th Aux</t>
  </si>
  <si>
    <t xml:space="preserve"> UMCP New Journalism Building (Academic)</t>
  </si>
  <si>
    <t>UMB Pharmacy Hall Add &amp; Renov (Academic)</t>
  </si>
  <si>
    <t xml:space="preserve">      UMBI Emergency Projects (Academic)</t>
  </si>
  <si>
    <t xml:space="preserve">      UMES Facilities Renewal (Academic)</t>
  </si>
  <si>
    <t xml:space="preserve">         CEES Facilities Renewal (Academic)</t>
  </si>
  <si>
    <t xml:space="preserve">     UMBC Dining Hall Upgrades (Auxiliary)</t>
  </si>
  <si>
    <t xml:space="preserve">       BSU New Student Center (Auxiliary)</t>
  </si>
  <si>
    <t>Amort of</t>
  </si>
  <si>
    <t>Premium</t>
  </si>
  <si>
    <t xml:space="preserve">           UMBI Total (Academic)</t>
  </si>
  <si>
    <t xml:space="preserve">           UMCP Transfer from UMBI (Academic)</t>
  </si>
  <si>
    <t xml:space="preserve">           UMBC Transfer from UMBI (Academic)</t>
  </si>
  <si>
    <t>2008 Series A Bond Funded Projects After 2015A</t>
  </si>
  <si>
    <t>2008 Series A Bond refunded on 2015A</t>
  </si>
  <si>
    <t>Loss on Refunding</t>
  </si>
  <si>
    <t xml:space="preserve">      Revised - 2008 Series A After 2015A</t>
  </si>
  <si>
    <t xml:space="preserve">      Revised - 2008 Series A after 2015A</t>
  </si>
  <si>
    <t xml:space="preserve">      2008 Series A  refinanced on 2015A</t>
  </si>
  <si>
    <t xml:space="preserve">       2008 Series A refinanced on 2015A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</si>
</sst>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  <numFmt numFmtId="166" formatCode="0_);[Red]\(0\)"/>
    <numFmt numFmtId="167" formatCode="0.000%"/>
    <numFmt numFmtId="168" formatCode="#,##0.0_);[Red]\(#,##0.0\)"/>
    <numFmt numFmtId="169" formatCode="0.00000_);[Red]\(0.00000\)"/>
    <numFmt numFmtId="170" formatCode="0.0000%"/>
    <numFmt numFmtId="171" formatCode="_(* #,##0.0_);_(* \(#,##0.0\);_(* &quot;-&quot;??_);_(@_)"/>
    <numFmt numFmtId="172" formatCode="_(* #,##0_);_(* \(#,##0\);_(* &quot;-&quot;??_);_(@_)"/>
  </numFmts>
  <fonts count="40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 horizontal="right"/>
    </xf>
    <xf numFmtId="164" fontId="0" fillId="0" borderId="12" xfId="0" applyNumberFormat="1" applyBorder="1" applyAlignment="1">
      <alignment/>
    </xf>
    <xf numFmtId="164" fontId="0" fillId="0" borderId="12" xfId="0" applyNumberForma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4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65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4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9" xfId="0" applyNumberFormat="1" applyBorder="1" applyAlignment="1">
      <alignment horizontal="center"/>
    </xf>
    <xf numFmtId="164" fontId="0" fillId="0" borderId="16" xfId="0" applyNumberFormat="1" applyBorder="1" applyAlignment="1">
      <alignment/>
    </xf>
    <xf numFmtId="38" fontId="0" fillId="33" borderId="10" xfId="0" applyNumberFormat="1" applyFill="1" applyBorder="1" applyAlignment="1" quotePrefix="1">
      <alignment horizontal="left"/>
    </xf>
    <xf numFmtId="38" fontId="0" fillId="33" borderId="15" xfId="0" applyNumberFormat="1" applyFill="1" applyBorder="1" applyAlignment="1">
      <alignment horizontal="right"/>
    </xf>
    <xf numFmtId="38" fontId="0" fillId="33" borderId="16" xfId="0" applyNumberFormat="1" applyFill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64" fontId="0" fillId="0" borderId="14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20" xfId="0" applyNumberFormat="1" applyBorder="1" applyAlignment="1">
      <alignment/>
    </xf>
    <xf numFmtId="38" fontId="0" fillId="0" borderId="10" xfId="0" applyNumberFormat="1" applyBorder="1" applyAlignment="1">
      <alignment horizontal="left"/>
    </xf>
    <xf numFmtId="38" fontId="0" fillId="0" borderId="19" xfId="0" applyNumberFormat="1" applyBorder="1" applyAlignment="1">
      <alignment horizontal="right"/>
    </xf>
    <xf numFmtId="38" fontId="0" fillId="0" borderId="19" xfId="0" applyNumberFormat="1" applyBorder="1" applyAlignment="1">
      <alignment horizontal="center"/>
    </xf>
    <xf numFmtId="164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164" fontId="0" fillId="0" borderId="22" xfId="0" applyNumberFormat="1" applyBorder="1" applyAlignment="1">
      <alignment horizontal="right"/>
    </xf>
    <xf numFmtId="164" fontId="0" fillId="0" borderId="22" xfId="0" applyNumberFormat="1" applyBorder="1" applyAlignment="1">
      <alignment/>
    </xf>
    <xf numFmtId="38" fontId="0" fillId="0" borderId="21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164" fontId="0" fillId="0" borderId="10" xfId="0" applyNumberFormat="1" applyBorder="1" applyAlignment="1" quotePrefix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38" fontId="0" fillId="0" borderId="23" xfId="0" applyNumberFormat="1" applyBorder="1" applyAlignment="1">
      <alignment horizontal="right"/>
    </xf>
    <xf numFmtId="40" fontId="0" fillId="0" borderId="0" xfId="0" applyNumberFormat="1" applyBorder="1" applyAlignment="1">
      <alignment horizontal="right"/>
    </xf>
    <xf numFmtId="38" fontId="0" fillId="0" borderId="10" xfId="0" applyNumberFormat="1" applyFont="1" applyBorder="1" applyAlignment="1">
      <alignment horizontal="left"/>
    </xf>
    <xf numFmtId="38" fontId="1" fillId="0" borderId="10" xfId="0" applyNumberFormat="1" applyFont="1" applyBorder="1" applyAlignment="1">
      <alignment horizontal="left"/>
    </xf>
    <xf numFmtId="172" fontId="0" fillId="0" borderId="0" xfId="42" applyNumberFormat="1" applyFont="1" applyAlignment="1">
      <alignment/>
    </xf>
    <xf numFmtId="9" fontId="0" fillId="0" borderId="0" xfId="59" applyFont="1" applyAlignment="1">
      <alignment/>
    </xf>
    <xf numFmtId="172" fontId="0" fillId="0" borderId="20" xfId="42" applyNumberFormat="1" applyFont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38" fontId="0" fillId="0" borderId="24" xfId="0" applyNumberFormat="1" applyBorder="1" applyAlignment="1">
      <alignment horizontal="right"/>
    </xf>
    <xf numFmtId="9" fontId="0" fillId="0" borderId="0" xfId="59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W64"/>
  <sheetViews>
    <sheetView tabSelected="1" zoomScale="150" zoomScaleNormal="15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9" sqref="C9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5" customWidth="1"/>
    <col min="7" max="7" width="3.7109375" style="33" customWidth="1"/>
    <col min="8" max="11" width="13.7109375" style="33" customWidth="1"/>
    <col min="12" max="12" width="3.7109375" style="33" customWidth="1"/>
    <col min="13" max="16" width="13.7109375" style="0" customWidth="1"/>
    <col min="17" max="17" width="3.7109375" style="33" customWidth="1"/>
    <col min="18" max="21" width="13.7109375" style="0" customWidth="1"/>
    <col min="22" max="22" width="3.7109375" style="33" customWidth="1"/>
    <col min="23" max="26" width="13.7109375" style="0" customWidth="1"/>
    <col min="27" max="27" width="3.7109375" style="33" customWidth="1"/>
    <col min="28" max="31" width="13.7109375" style="33" customWidth="1"/>
    <col min="32" max="32" width="3.7109375" style="33" customWidth="1"/>
    <col min="33" max="36" width="13.7109375" style="0" customWidth="1"/>
    <col min="37" max="37" width="3.7109375" style="33" customWidth="1"/>
    <col min="38" max="41" width="13.7109375" style="0" customWidth="1"/>
    <col min="42" max="42" width="3.7109375" style="20" customWidth="1"/>
    <col min="43" max="46" width="13.7109375" style="0" customWidth="1"/>
    <col min="47" max="47" width="3.7109375" style="20" customWidth="1"/>
    <col min="48" max="51" width="13.7109375" style="20" customWidth="1"/>
    <col min="52" max="52" width="3.7109375" style="20" customWidth="1"/>
    <col min="53" max="56" width="12.7109375" style="20" customWidth="1"/>
    <col min="57" max="57" width="3.7109375" style="20" customWidth="1"/>
    <col min="58" max="61" width="13.7109375" style="20" customWidth="1"/>
    <col min="62" max="62" width="3.7109375" style="20" customWidth="1"/>
    <col min="63" max="66" width="13.7109375" style="20" customWidth="1"/>
    <col min="67" max="67" width="3.7109375" style="20" customWidth="1"/>
    <col min="68" max="71" width="13.7109375" style="20" customWidth="1"/>
    <col min="72" max="72" width="3.7109375" style="20" customWidth="1"/>
    <col min="73" max="76" width="13.7109375" style="20" customWidth="1"/>
    <col min="77" max="77" width="3.7109375" style="20" customWidth="1"/>
    <col min="78" max="81" width="12.7109375" style="20" customWidth="1"/>
    <col min="82" max="82" width="3.7109375" style="20" customWidth="1"/>
    <col min="83" max="86" width="13.7109375" style="20" customWidth="1"/>
    <col min="87" max="87" width="3.7109375" style="20" customWidth="1"/>
    <col min="88" max="91" width="13.7109375" style="20" customWidth="1"/>
    <col min="92" max="92" width="3.7109375" style="20" customWidth="1"/>
    <col min="93" max="96" width="13.7109375" style="20" customWidth="1"/>
    <col min="97" max="97" width="3.7109375" style="20" customWidth="1"/>
    <col min="98" max="101" width="13.7109375" style="20" customWidth="1"/>
    <col min="102" max="102" width="3.7109375" style="20" customWidth="1"/>
    <col min="103" max="106" width="13.7109375" style="20" customWidth="1"/>
    <col min="107" max="107" width="3.7109375" style="20" customWidth="1"/>
    <col min="108" max="111" width="13.7109375" style="20" customWidth="1"/>
    <col min="112" max="112" width="3.7109375" style="20" customWidth="1"/>
    <col min="113" max="116" width="13.7109375" style="20" customWidth="1"/>
    <col min="117" max="117" width="3.7109375" style="20" customWidth="1"/>
    <col min="118" max="121" width="13.7109375" style="20" customWidth="1"/>
    <col min="122" max="122" width="3.7109375" style="20" customWidth="1"/>
    <col min="123" max="125" width="13.7109375" style="20" customWidth="1"/>
    <col min="126" max="126" width="3.7109375" style="0" customWidth="1"/>
  </cols>
  <sheetData>
    <row r="1" spans="1:127" ht="12">
      <c r="A1" s="43"/>
      <c r="B1" s="30"/>
      <c r="D1" s="44"/>
      <c r="H1" s="44" t="s">
        <v>14</v>
      </c>
      <c r="M1" s="44"/>
      <c r="R1" s="44"/>
      <c r="W1" s="44" t="s">
        <v>14</v>
      </c>
      <c r="AG1" s="44"/>
      <c r="AL1" s="44" t="s">
        <v>14</v>
      </c>
      <c r="BA1" s="44" t="s">
        <v>14</v>
      </c>
      <c r="BP1" s="44" t="s">
        <v>14</v>
      </c>
      <c r="CE1" s="44" t="s">
        <v>14</v>
      </c>
      <c r="CT1" s="44" t="s">
        <v>14</v>
      </c>
      <c r="DI1" s="44" t="s">
        <v>14</v>
      </c>
      <c r="DN1" s="44"/>
      <c r="DW1" s="44" t="s">
        <v>14</v>
      </c>
    </row>
    <row r="2" spans="1:127" ht="12">
      <c r="A2" s="43"/>
      <c r="B2" s="30"/>
      <c r="D2" s="44"/>
      <c r="H2" s="44" t="s">
        <v>13</v>
      </c>
      <c r="M2" s="44"/>
      <c r="R2" s="44"/>
      <c r="W2" s="44" t="s">
        <v>13</v>
      </c>
      <c r="AG2" s="44"/>
      <c r="AL2" s="44" t="s">
        <v>13</v>
      </c>
      <c r="BA2" s="44" t="s">
        <v>13</v>
      </c>
      <c r="BP2" s="44" t="s">
        <v>13</v>
      </c>
      <c r="CE2" s="44" t="s">
        <v>13</v>
      </c>
      <c r="CT2" s="44" t="s">
        <v>13</v>
      </c>
      <c r="DI2" s="44" t="s">
        <v>13</v>
      </c>
      <c r="DN2" s="44"/>
      <c r="DW2" s="44" t="s">
        <v>13</v>
      </c>
    </row>
    <row r="3" spans="1:127" ht="12">
      <c r="A3" s="43"/>
      <c r="B3" s="30"/>
      <c r="D3" s="42"/>
      <c r="H3" s="44" t="s">
        <v>130</v>
      </c>
      <c r="M3" s="44"/>
      <c r="N3" s="12"/>
      <c r="R3" s="44"/>
      <c r="W3" s="44" t="str">
        <f>H3</f>
        <v>2008 Series A Bond Funded Projects After 2015A</v>
      </c>
      <c r="AG3" s="44"/>
      <c r="AL3" s="44" t="str">
        <f>W3</f>
        <v>2008 Series A Bond Funded Projects After 2015A</v>
      </c>
      <c r="BA3" s="44" t="str">
        <f>AL3</f>
        <v>2008 Series A Bond Funded Projects After 2015A</v>
      </c>
      <c r="BP3" s="44" t="str">
        <f>BA3</f>
        <v>2008 Series A Bond Funded Projects After 2015A</v>
      </c>
      <c r="CE3" s="44" t="str">
        <f>BP3</f>
        <v>2008 Series A Bond Funded Projects After 2015A</v>
      </c>
      <c r="CT3" s="44" t="str">
        <f>CE3</f>
        <v>2008 Series A Bond Funded Projects After 2015A</v>
      </c>
      <c r="DI3" s="44" t="str">
        <f>CT3</f>
        <v>2008 Series A Bond Funded Projects After 2015A</v>
      </c>
      <c r="DN3" s="44"/>
      <c r="DW3" s="44">
        <f>DH3</f>
        <v>0</v>
      </c>
    </row>
    <row r="4" spans="1:4" ht="12">
      <c r="A4" s="43"/>
      <c r="B4" s="30"/>
      <c r="C4" s="42"/>
      <c r="D4" s="44"/>
    </row>
    <row r="5" spans="1:125" ht="12">
      <c r="A5" s="21" t="s">
        <v>9</v>
      </c>
      <c r="C5" s="47" t="s">
        <v>133</v>
      </c>
      <c r="D5" s="48"/>
      <c r="E5" s="49"/>
      <c r="F5" s="49"/>
      <c r="H5" s="36" t="s">
        <v>78</v>
      </c>
      <c r="I5" s="70"/>
      <c r="J5" s="38"/>
      <c r="K5" s="38"/>
      <c r="M5" s="36" t="s">
        <v>79</v>
      </c>
      <c r="N5" s="37"/>
      <c r="O5" s="38"/>
      <c r="P5" s="38"/>
      <c r="R5" s="22" t="s">
        <v>98</v>
      </c>
      <c r="S5" s="23"/>
      <c r="T5" s="24"/>
      <c r="U5" s="38"/>
      <c r="W5" s="22" t="s">
        <v>61</v>
      </c>
      <c r="X5" s="23"/>
      <c r="Y5" s="24"/>
      <c r="Z5" s="38"/>
      <c r="AB5" s="22" t="s">
        <v>99</v>
      </c>
      <c r="AC5" s="23"/>
      <c r="AD5" s="24"/>
      <c r="AE5" s="38"/>
      <c r="AG5" s="22" t="s">
        <v>66</v>
      </c>
      <c r="AH5" s="23"/>
      <c r="AI5" s="24"/>
      <c r="AJ5" s="38"/>
      <c r="AL5" s="22" t="s">
        <v>37</v>
      </c>
      <c r="AM5" s="23"/>
      <c r="AN5" s="24"/>
      <c r="AO5" s="38"/>
      <c r="AQ5" s="22" t="s">
        <v>74</v>
      </c>
      <c r="AR5" s="23"/>
      <c r="AS5" s="24"/>
      <c r="AT5" s="38"/>
      <c r="AV5" s="22" t="s">
        <v>100</v>
      </c>
      <c r="AW5" s="23"/>
      <c r="AX5" s="24"/>
      <c r="AY5" s="38"/>
      <c r="BA5" s="22" t="s">
        <v>123</v>
      </c>
      <c r="BB5" s="23"/>
      <c r="BC5" s="24"/>
      <c r="BD5" s="38"/>
      <c r="BF5" s="22" t="s">
        <v>38</v>
      </c>
      <c r="BG5" s="23"/>
      <c r="BH5" s="24"/>
      <c r="BI5" s="38"/>
      <c r="BK5" s="22" t="s">
        <v>39</v>
      </c>
      <c r="BL5" s="23"/>
      <c r="BM5" s="24"/>
      <c r="BN5" s="38"/>
      <c r="BP5" s="22" t="s">
        <v>40</v>
      </c>
      <c r="BQ5" s="23"/>
      <c r="BR5" s="24"/>
      <c r="BS5" s="38"/>
      <c r="BU5" s="22" t="s">
        <v>62</v>
      </c>
      <c r="BV5" s="23"/>
      <c r="BW5" s="24"/>
      <c r="BX5" s="38"/>
      <c r="BZ5" s="22" t="s">
        <v>124</v>
      </c>
      <c r="CA5" s="23"/>
      <c r="CB5" s="24"/>
      <c r="CC5" s="38"/>
      <c r="CE5" s="22" t="s">
        <v>63</v>
      </c>
      <c r="CF5" s="23"/>
      <c r="CG5" s="24"/>
      <c r="CH5" s="38"/>
      <c r="CJ5" s="22" t="s">
        <v>64</v>
      </c>
      <c r="CK5" s="23"/>
      <c r="CL5" s="24"/>
      <c r="CM5" s="38"/>
      <c r="CO5" s="22" t="s">
        <v>101</v>
      </c>
      <c r="CP5" s="23"/>
      <c r="CQ5" s="24"/>
      <c r="CR5" s="38"/>
      <c r="CT5" s="22" t="s">
        <v>65</v>
      </c>
      <c r="CU5" s="23"/>
      <c r="CV5" s="24"/>
      <c r="CW5" s="38"/>
      <c r="CY5" s="22" t="s">
        <v>43</v>
      </c>
      <c r="CZ5" s="23"/>
      <c r="DA5" s="24"/>
      <c r="DB5" s="38"/>
      <c r="DD5" s="22" t="s">
        <v>44</v>
      </c>
      <c r="DE5" s="23"/>
      <c r="DF5" s="24"/>
      <c r="DG5" s="38"/>
      <c r="DH5" s="65"/>
      <c r="DI5" s="22" t="s">
        <v>75</v>
      </c>
      <c r="DJ5" s="23"/>
      <c r="DK5" s="24"/>
      <c r="DL5" s="38"/>
      <c r="DN5" s="22" t="s">
        <v>49</v>
      </c>
      <c r="DO5" s="23"/>
      <c r="DP5" s="24"/>
      <c r="DQ5" s="38"/>
      <c r="DS5" s="57" t="s">
        <v>15</v>
      </c>
      <c r="DT5" s="23"/>
      <c r="DU5" s="24"/>
    </row>
    <row r="6" spans="1:125" s="12" customFormat="1" ht="12">
      <c r="A6" s="45" t="s">
        <v>10</v>
      </c>
      <c r="C6" s="39"/>
      <c r="D6" s="37"/>
      <c r="E6" s="38"/>
      <c r="F6" s="40" t="s">
        <v>125</v>
      </c>
      <c r="G6" s="33"/>
      <c r="H6" s="69">
        <v>0.0322383</v>
      </c>
      <c r="I6" s="64">
        <v>0.1013186</v>
      </c>
      <c r="J6" s="74"/>
      <c r="K6" s="40" t="s">
        <v>125</v>
      </c>
      <c r="L6" s="33"/>
      <c r="M6" s="69">
        <v>0.9677615</v>
      </c>
      <c r="N6" s="73">
        <f>S6+X6+AC6+AH6+AM6+AR6+AW6+BB6+BG6+BL6+BQ6+BV6+CA6+CF6+CK6+CP6+CU6+CZ6+DE6+DJ6+DO6+DT6</f>
        <v>0.8986814</v>
      </c>
      <c r="O6" s="74"/>
      <c r="P6" s="40" t="s">
        <v>125</v>
      </c>
      <c r="Q6" s="33"/>
      <c r="R6" s="72">
        <v>0.1225135</v>
      </c>
      <c r="S6" s="32">
        <v>0.2503538</v>
      </c>
      <c r="T6" s="74"/>
      <c r="U6" s="40" t="s">
        <v>125</v>
      </c>
      <c r="V6" s="33"/>
      <c r="W6" s="72">
        <v>0.0064843</v>
      </c>
      <c r="X6" s="32">
        <v>0.019316</v>
      </c>
      <c r="Y6" s="74"/>
      <c r="Z6" s="40" t="s">
        <v>125</v>
      </c>
      <c r="AA6" s="33"/>
      <c r="AB6" s="72">
        <v>0.0200271</v>
      </c>
      <c r="AC6" s="32">
        <v>0.023925</v>
      </c>
      <c r="AD6" s="74"/>
      <c r="AE6" s="40" t="s">
        <v>125</v>
      </c>
      <c r="AF6" s="33"/>
      <c r="AG6" s="72">
        <v>8.79E-05</v>
      </c>
      <c r="AH6" s="32">
        <v>0.0118541</v>
      </c>
      <c r="AI6" s="74"/>
      <c r="AJ6" s="40" t="s">
        <v>125</v>
      </c>
      <c r="AK6" s="33"/>
      <c r="AL6" s="72">
        <v>0.1081593</v>
      </c>
      <c r="AM6" s="32">
        <v>0.2161132</v>
      </c>
      <c r="AN6" s="74"/>
      <c r="AO6" s="40" t="s">
        <v>125</v>
      </c>
      <c r="AQ6" s="72">
        <v>0.0013472</v>
      </c>
      <c r="AR6" s="32">
        <v>0.0284975</v>
      </c>
      <c r="AS6" s="74"/>
      <c r="AT6" s="40" t="s">
        <v>125</v>
      </c>
      <c r="AV6" s="72">
        <v>0.0044545</v>
      </c>
      <c r="AW6" s="32">
        <v>0.008453</v>
      </c>
      <c r="AX6" s="74"/>
      <c r="AY6" s="40" t="s">
        <v>125</v>
      </c>
      <c r="BA6" s="72">
        <v>0</v>
      </c>
      <c r="BB6" s="32">
        <v>0.0037175</v>
      </c>
      <c r="BC6" s="74"/>
      <c r="BD6" s="40" t="s">
        <v>125</v>
      </c>
      <c r="BF6" s="72">
        <v>0.0119935</v>
      </c>
      <c r="BG6" s="32">
        <v>0.0325791</v>
      </c>
      <c r="BH6" s="74"/>
      <c r="BI6" s="40" t="s">
        <v>125</v>
      </c>
      <c r="BK6" s="72">
        <v>0.0024732</v>
      </c>
      <c r="BL6" s="32">
        <v>0.002523</v>
      </c>
      <c r="BM6" s="74"/>
      <c r="BN6" s="40" t="s">
        <v>125</v>
      </c>
      <c r="BP6" s="72">
        <v>0.0484405</v>
      </c>
      <c r="BQ6" s="32">
        <v>0.1086592</v>
      </c>
      <c r="BR6" s="74"/>
      <c r="BS6" s="40" t="s">
        <v>125</v>
      </c>
      <c r="BU6" s="72">
        <v>0.0032041</v>
      </c>
      <c r="BV6" s="32">
        <v>0.0046146</v>
      </c>
      <c r="BW6" s="74"/>
      <c r="BX6" s="40" t="s">
        <v>125</v>
      </c>
      <c r="BZ6" s="72">
        <v>0</v>
      </c>
      <c r="CA6" s="32">
        <v>1.27E-05</v>
      </c>
      <c r="CB6" s="74"/>
      <c r="CC6" s="40" t="s">
        <v>125</v>
      </c>
      <c r="CE6" s="72">
        <v>0.0022696</v>
      </c>
      <c r="CF6" s="32">
        <v>0.0032049</v>
      </c>
      <c r="CG6" s="74"/>
      <c r="CH6" s="40" t="s">
        <v>125</v>
      </c>
      <c r="CJ6" s="72">
        <v>0.0035861</v>
      </c>
      <c r="CK6" s="32">
        <v>0.0081883</v>
      </c>
      <c r="CL6" s="74"/>
      <c r="CM6" s="40" t="s">
        <v>125</v>
      </c>
      <c r="CO6" s="72">
        <v>0.0042354</v>
      </c>
      <c r="CP6" s="32">
        <v>0.0138394</v>
      </c>
      <c r="CQ6" s="74"/>
      <c r="CR6" s="40" t="s">
        <v>125</v>
      </c>
      <c r="CT6" s="72">
        <v>0.0332708</v>
      </c>
      <c r="CU6" s="32">
        <v>0.1138442</v>
      </c>
      <c r="CV6" s="74"/>
      <c r="CW6" s="40" t="s">
        <v>125</v>
      </c>
      <c r="CY6" s="72">
        <v>9.93E-05</v>
      </c>
      <c r="CZ6" s="32">
        <v>0.0021375</v>
      </c>
      <c r="DA6" s="74"/>
      <c r="DB6" s="40" t="s">
        <v>125</v>
      </c>
      <c r="DD6" s="72">
        <v>0.0059412</v>
      </c>
      <c r="DE6" s="32">
        <v>0.0101868</v>
      </c>
      <c r="DF6" s="74"/>
      <c r="DG6" s="40" t="s">
        <v>125</v>
      </c>
      <c r="DH6" s="28"/>
      <c r="DI6" s="72">
        <v>0.0084518</v>
      </c>
      <c r="DJ6" s="32">
        <v>0.0183432</v>
      </c>
      <c r="DK6" s="74"/>
      <c r="DL6" s="40" t="s">
        <v>125</v>
      </c>
      <c r="DN6" s="72">
        <v>0.0101675</v>
      </c>
      <c r="DO6" s="32">
        <v>0.0183184</v>
      </c>
      <c r="DP6" s="74"/>
      <c r="DQ6" s="40" t="s">
        <v>125</v>
      </c>
      <c r="DS6" s="72">
        <v>0.5705547</v>
      </c>
      <c r="DT6" s="32"/>
      <c r="DU6" s="46"/>
    </row>
    <row r="7" spans="1:125" ht="12">
      <c r="A7" s="25"/>
      <c r="C7" s="40" t="s">
        <v>11</v>
      </c>
      <c r="D7" s="40" t="s">
        <v>12</v>
      </c>
      <c r="E7" s="40" t="s">
        <v>4</v>
      </c>
      <c r="F7" s="40" t="s">
        <v>126</v>
      </c>
      <c r="H7" s="40" t="s">
        <v>11</v>
      </c>
      <c r="I7" s="40" t="s">
        <v>12</v>
      </c>
      <c r="J7" s="40" t="s">
        <v>4</v>
      </c>
      <c r="K7" s="40" t="s">
        <v>126</v>
      </c>
      <c r="M7" s="40" t="s">
        <v>11</v>
      </c>
      <c r="N7" s="40" t="s">
        <v>12</v>
      </c>
      <c r="O7" s="40" t="s">
        <v>4</v>
      </c>
      <c r="P7" s="40" t="s">
        <v>126</v>
      </c>
      <c r="R7" s="26" t="s">
        <v>11</v>
      </c>
      <c r="S7" s="26" t="s">
        <v>12</v>
      </c>
      <c r="T7" s="26" t="s">
        <v>4</v>
      </c>
      <c r="U7" s="40" t="s">
        <v>126</v>
      </c>
      <c r="W7" s="26" t="s">
        <v>11</v>
      </c>
      <c r="X7" s="26" t="s">
        <v>12</v>
      </c>
      <c r="Y7" s="26" t="s">
        <v>4</v>
      </c>
      <c r="Z7" s="40" t="s">
        <v>126</v>
      </c>
      <c r="AB7" s="26" t="s">
        <v>11</v>
      </c>
      <c r="AC7" s="26" t="s">
        <v>12</v>
      </c>
      <c r="AD7" s="26" t="s">
        <v>4</v>
      </c>
      <c r="AE7" s="40" t="s">
        <v>126</v>
      </c>
      <c r="AG7" s="26" t="s">
        <v>11</v>
      </c>
      <c r="AH7" s="26" t="s">
        <v>12</v>
      </c>
      <c r="AI7" s="26" t="s">
        <v>4</v>
      </c>
      <c r="AJ7" s="40" t="s">
        <v>126</v>
      </c>
      <c r="AL7" s="26" t="s">
        <v>11</v>
      </c>
      <c r="AM7" s="26" t="s">
        <v>12</v>
      </c>
      <c r="AN7" s="26" t="s">
        <v>4</v>
      </c>
      <c r="AO7" s="40" t="s">
        <v>126</v>
      </c>
      <c r="AQ7" s="26" t="s">
        <v>11</v>
      </c>
      <c r="AR7" s="26" t="s">
        <v>12</v>
      </c>
      <c r="AS7" s="26" t="s">
        <v>4</v>
      </c>
      <c r="AT7" s="40" t="s">
        <v>126</v>
      </c>
      <c r="AV7" s="26" t="s">
        <v>11</v>
      </c>
      <c r="AW7" s="26" t="s">
        <v>12</v>
      </c>
      <c r="AX7" s="26" t="s">
        <v>4</v>
      </c>
      <c r="AY7" s="40" t="s">
        <v>126</v>
      </c>
      <c r="BA7" s="26" t="s">
        <v>11</v>
      </c>
      <c r="BB7" s="26" t="s">
        <v>12</v>
      </c>
      <c r="BC7" s="26" t="s">
        <v>4</v>
      </c>
      <c r="BD7" s="40" t="s">
        <v>126</v>
      </c>
      <c r="BF7" s="26" t="s">
        <v>11</v>
      </c>
      <c r="BG7" s="26" t="s">
        <v>12</v>
      </c>
      <c r="BH7" s="26" t="s">
        <v>4</v>
      </c>
      <c r="BI7" s="40" t="s">
        <v>126</v>
      </c>
      <c r="BK7" s="26" t="s">
        <v>11</v>
      </c>
      <c r="BL7" s="26" t="s">
        <v>12</v>
      </c>
      <c r="BM7" s="26" t="s">
        <v>4</v>
      </c>
      <c r="BN7" s="40" t="s">
        <v>126</v>
      </c>
      <c r="BP7" s="26" t="s">
        <v>11</v>
      </c>
      <c r="BQ7" s="26" t="s">
        <v>12</v>
      </c>
      <c r="BR7" s="26" t="s">
        <v>4</v>
      </c>
      <c r="BS7" s="40" t="s">
        <v>126</v>
      </c>
      <c r="BU7" s="26" t="s">
        <v>11</v>
      </c>
      <c r="BV7" s="26" t="s">
        <v>12</v>
      </c>
      <c r="BW7" s="26" t="s">
        <v>4</v>
      </c>
      <c r="BX7" s="40" t="s">
        <v>126</v>
      </c>
      <c r="BZ7" s="26" t="s">
        <v>11</v>
      </c>
      <c r="CA7" s="26" t="s">
        <v>12</v>
      </c>
      <c r="CB7" s="26" t="s">
        <v>4</v>
      </c>
      <c r="CC7" s="40" t="s">
        <v>126</v>
      </c>
      <c r="CE7" s="26" t="s">
        <v>11</v>
      </c>
      <c r="CF7" s="26" t="s">
        <v>12</v>
      </c>
      <c r="CG7" s="26" t="s">
        <v>4</v>
      </c>
      <c r="CH7" s="40" t="s">
        <v>126</v>
      </c>
      <c r="CJ7" s="26" t="s">
        <v>11</v>
      </c>
      <c r="CK7" s="26" t="s">
        <v>12</v>
      </c>
      <c r="CL7" s="26" t="s">
        <v>4</v>
      </c>
      <c r="CM7" s="40" t="s">
        <v>126</v>
      </c>
      <c r="CO7" s="26" t="s">
        <v>11</v>
      </c>
      <c r="CP7" s="26" t="s">
        <v>12</v>
      </c>
      <c r="CQ7" s="26" t="s">
        <v>4</v>
      </c>
      <c r="CR7" s="40" t="s">
        <v>126</v>
      </c>
      <c r="CT7" s="26" t="s">
        <v>11</v>
      </c>
      <c r="CU7" s="26" t="s">
        <v>12</v>
      </c>
      <c r="CV7" s="26" t="s">
        <v>4</v>
      </c>
      <c r="CW7" s="40" t="s">
        <v>126</v>
      </c>
      <c r="CY7" s="26" t="s">
        <v>11</v>
      </c>
      <c r="CZ7" s="26" t="s">
        <v>12</v>
      </c>
      <c r="DA7" s="26" t="s">
        <v>4</v>
      </c>
      <c r="DB7" s="40" t="s">
        <v>126</v>
      </c>
      <c r="DD7" s="26" t="s">
        <v>11</v>
      </c>
      <c r="DE7" s="26" t="s">
        <v>12</v>
      </c>
      <c r="DF7" s="26" t="s">
        <v>4</v>
      </c>
      <c r="DG7" s="40" t="s">
        <v>126</v>
      </c>
      <c r="DH7" s="66"/>
      <c r="DI7" s="26" t="s">
        <v>11</v>
      </c>
      <c r="DJ7" s="26" t="s">
        <v>12</v>
      </c>
      <c r="DK7" s="26" t="s">
        <v>4</v>
      </c>
      <c r="DL7" s="40" t="s">
        <v>126</v>
      </c>
      <c r="DN7" s="26" t="s">
        <v>11</v>
      </c>
      <c r="DO7" s="26" t="s">
        <v>12</v>
      </c>
      <c r="DP7" s="26" t="s">
        <v>4</v>
      </c>
      <c r="DQ7" s="40" t="s">
        <v>126</v>
      </c>
      <c r="DS7" s="26" t="s">
        <v>11</v>
      </c>
      <c r="DT7" s="26" t="s">
        <v>12</v>
      </c>
      <c r="DU7" s="26" t="s">
        <v>4</v>
      </c>
    </row>
    <row r="8" spans="1:125" ht="12">
      <c r="A8" s="19">
        <v>41913</v>
      </c>
      <c r="D8" s="35">
        <v>1657743</v>
      </c>
      <c r="E8" s="35">
        <f aca="true" t="shared" si="0" ref="E8:E35">C8+D8</f>
        <v>1657743</v>
      </c>
      <c r="F8" s="35">
        <v>58072</v>
      </c>
      <c r="H8" s="51"/>
      <c r="I8" s="51">
        <v>167960.19991979998</v>
      </c>
      <c r="J8" s="51">
        <f aca="true" t="shared" si="1" ref="J8:J35">H8+I8</f>
        <v>167960.19991979998</v>
      </c>
      <c r="K8" s="51">
        <v>5883.773739200002</v>
      </c>
      <c r="M8" s="51">
        <f aca="true" t="shared" si="2" ref="M8:M35">R8+W8+AB8+AG8+AL8+AQ8++AV8+BA8+BF8+BK8+BP8+BU8+BZ8+CE8+CJ8+CO8+CT8+CY8+DD8+DI8+DN8+DS8</f>
        <v>0</v>
      </c>
      <c r="N8" s="41">
        <f aca="true" t="shared" si="3" ref="N8:P35">S8+X8+AC8+AH8+AM8+AR8+AW8+BB8+BG8+BL8+BQ8+BV8+CA8+CF8+CK8+CP8+CU8+CZ8+DE8+DJ8+DO8+DT8</f>
        <v>1489782.8000802002</v>
      </c>
      <c r="O8" s="33">
        <f aca="true" t="shared" si="4" ref="O8:O35">M8+N8</f>
        <v>1489782.8000802002</v>
      </c>
      <c r="P8" s="41">
        <f t="shared" si="3"/>
        <v>52188.22626080002</v>
      </c>
      <c r="R8" s="65"/>
      <c r="S8" s="65">
        <f aca="true" t="shared" si="5" ref="S8:S35">D8*25.03538/100</f>
        <v>415022.25947339996</v>
      </c>
      <c r="T8" s="20">
        <f aca="true" t="shared" si="6" ref="T8:T35">R8+S8</f>
        <v>415022.25947339996</v>
      </c>
      <c r="U8" s="20">
        <f aca="true" t="shared" si="7" ref="U8:U35">S$6*$F8</f>
        <v>14538.5458736</v>
      </c>
      <c r="W8" s="65"/>
      <c r="X8" s="65">
        <f aca="true" t="shared" si="8" ref="X8:X35">D8*1.9316/100</f>
        <v>32020.963788</v>
      </c>
      <c r="Y8" s="20">
        <f aca="true" t="shared" si="9" ref="Y8:Y35">W8+X8</f>
        <v>32020.963788</v>
      </c>
      <c r="Z8" s="20">
        <f aca="true" t="shared" si="10" ref="Z8:Z35">X$6*$F8</f>
        <v>1121.718752</v>
      </c>
      <c r="AC8" s="33">
        <f aca="true" t="shared" si="11" ref="AC8:AC35">D8*2.3925/100</f>
        <v>39661.501275</v>
      </c>
      <c r="AD8" s="33">
        <f aca="true" t="shared" si="12" ref="AD8:AD35">AB8+AC8</f>
        <v>39661.501275</v>
      </c>
      <c r="AE8" s="20">
        <f aca="true" t="shared" si="13" ref="AE8:AE35">AC$6*$F8</f>
        <v>1389.3726</v>
      </c>
      <c r="AG8" s="65"/>
      <c r="AH8" s="65">
        <f aca="true" t="shared" si="14" ref="AH8:AH35">D8*1.18541/100</f>
        <v>19651.0512963</v>
      </c>
      <c r="AI8" s="20">
        <f aca="true" t="shared" si="15" ref="AI8:AI35">AG8+AH8</f>
        <v>19651.0512963</v>
      </c>
      <c r="AJ8" s="20">
        <f aca="true" t="shared" si="16" ref="AJ8:AJ35">AH$6*$F8</f>
        <v>688.3912952</v>
      </c>
      <c r="AL8" s="65"/>
      <c r="AM8" s="65">
        <f aca="true" t="shared" si="17" ref="AM8:AM35">D8*21.61132/100</f>
        <v>358260.1445076</v>
      </c>
      <c r="AN8" s="20">
        <f aca="true" t="shared" si="18" ref="AN8:AN35">AL8+AM8</f>
        <v>358260.1445076</v>
      </c>
      <c r="AO8" s="20">
        <f aca="true" t="shared" si="19" ref="AO8:AO35">AM$6*$F8</f>
        <v>12550.1257504</v>
      </c>
      <c r="AP8" s="33"/>
      <c r="AQ8" s="65"/>
      <c r="AR8" s="65">
        <f aca="true" t="shared" si="20" ref="AR8:AR35">D8*2.84975/100</f>
        <v>47241.531142499996</v>
      </c>
      <c r="AS8" s="20">
        <f aca="true" t="shared" si="21" ref="AS8:AS35">AQ8+AR8</f>
        <v>47241.531142499996</v>
      </c>
      <c r="AT8" s="20">
        <f aca="true" t="shared" si="22" ref="AT8:AT35">AR$6*$F8</f>
        <v>1654.90682</v>
      </c>
      <c r="AU8" s="33"/>
      <c r="AV8" s="51"/>
      <c r="AW8" s="51">
        <f aca="true" t="shared" si="23" ref="AW8:AW35">D8*0.8453/100</f>
        <v>14012.901579</v>
      </c>
      <c r="AX8" s="33">
        <f aca="true" t="shared" si="24" ref="AX8:AX35">AV8+AW8</f>
        <v>14012.901579</v>
      </c>
      <c r="AY8" s="20">
        <f aca="true" t="shared" si="25" ref="AY8:AY35">AW$6*$F8</f>
        <v>490.88261600000004</v>
      </c>
      <c r="AZ8" s="33"/>
      <c r="BA8" s="33"/>
      <c r="BB8" s="33">
        <f aca="true" t="shared" si="26" ref="BB8:BB35">D8*0.37175/100</f>
        <v>6162.6596025</v>
      </c>
      <c r="BC8" s="33">
        <f aca="true" t="shared" si="27" ref="BC8:BC35">BA8+BB8</f>
        <v>6162.6596025</v>
      </c>
      <c r="BD8" s="20">
        <f aca="true" t="shared" si="28" ref="BD8:BD35">BB$6*$F8</f>
        <v>215.88266</v>
      </c>
      <c r="BE8" s="33"/>
      <c r="BF8" s="51"/>
      <c r="BG8" s="51">
        <f aca="true" t="shared" si="29" ref="BG8:BG35">D8*3.25791/100</f>
        <v>54007.7749713</v>
      </c>
      <c r="BH8" s="33">
        <f aca="true" t="shared" si="30" ref="BH8:BH35">BF8+BG8</f>
        <v>54007.7749713</v>
      </c>
      <c r="BI8" s="20">
        <f aca="true" t="shared" si="31" ref="BI8:BI35">BG$6*$F8</f>
        <v>1891.9334952</v>
      </c>
      <c r="BJ8" s="33"/>
      <c r="BK8" s="51"/>
      <c r="BL8" s="51">
        <f aca="true" t="shared" si="32" ref="BL8:BL35">D8*0.2523/100</f>
        <v>4182.485589000001</v>
      </c>
      <c r="BM8" s="33">
        <f aca="true" t="shared" si="33" ref="BM8:BM35">BK8+BL8</f>
        <v>4182.485589000001</v>
      </c>
      <c r="BN8" s="20">
        <f aca="true" t="shared" si="34" ref="BN8:BN35">BL$6*$F8</f>
        <v>146.515656</v>
      </c>
      <c r="BO8" s="33"/>
      <c r="BP8" s="51"/>
      <c r="BQ8" s="51">
        <f aca="true" t="shared" si="35" ref="BQ8:BQ35">D8*10.86592/100</f>
        <v>180129.02818559998</v>
      </c>
      <c r="BR8" s="33">
        <f aca="true" t="shared" si="36" ref="BR8:BR35">BP8+BQ8</f>
        <v>180129.02818559998</v>
      </c>
      <c r="BS8" s="20">
        <f aca="true" t="shared" si="37" ref="BS8:BS35">BQ$6*$F8</f>
        <v>6310.0570624</v>
      </c>
      <c r="BT8" s="33"/>
      <c r="BU8" s="51"/>
      <c r="BV8" s="51">
        <f aca="true" t="shared" si="38" ref="BV8:BV35">D8*0.46146/100</f>
        <v>7649.820847799999</v>
      </c>
      <c r="BW8" s="33">
        <f aca="true" t="shared" si="39" ref="BW8:BW35">BU8+BV8</f>
        <v>7649.820847799999</v>
      </c>
      <c r="BX8" s="20">
        <f aca="true" t="shared" si="40" ref="BX8:BX35">BV$6*$F8</f>
        <v>267.9790512</v>
      </c>
      <c r="BY8" s="33"/>
      <c r="BZ8" s="33"/>
      <c r="CA8" s="33">
        <f aca="true" t="shared" si="41" ref="CA8:CA35">D8*0.00127/100</f>
        <v>21.053336100000003</v>
      </c>
      <c r="CB8" s="33">
        <f aca="true" t="shared" si="42" ref="CB8:CB35">BZ8+CA8</f>
        <v>21.053336100000003</v>
      </c>
      <c r="CC8" s="20">
        <f aca="true" t="shared" si="43" ref="CC8:CC35">CA$6*$F8</f>
        <v>0.7375144</v>
      </c>
      <c r="CD8" s="33"/>
      <c r="CE8" s="51"/>
      <c r="CF8" s="51">
        <f aca="true" t="shared" si="44" ref="CF8:CF35">D8*0.32049/100</f>
        <v>5312.9005406999995</v>
      </c>
      <c r="CG8" s="33">
        <f aca="true" t="shared" si="45" ref="CG8:CG35">CE8+CF8</f>
        <v>5312.9005406999995</v>
      </c>
      <c r="CH8" s="20">
        <f aca="true" t="shared" si="46" ref="CH8:CH35">CF$6*$F8</f>
        <v>186.1149528</v>
      </c>
      <c r="CI8" s="33"/>
      <c r="CJ8" s="51"/>
      <c r="CK8" s="51">
        <f aca="true" t="shared" si="47" ref="CK8:CK35">D8*0.81883/100</f>
        <v>13574.097006899998</v>
      </c>
      <c r="CL8" s="33">
        <f aca="true" t="shared" si="48" ref="CL8:CL35">CJ8+CK8</f>
        <v>13574.097006899998</v>
      </c>
      <c r="CM8" s="20">
        <f aca="true" t="shared" si="49" ref="CM8:CM35">CK$6*$F8</f>
        <v>475.51095760000004</v>
      </c>
      <c r="CN8" s="33"/>
      <c r="CO8" s="51"/>
      <c r="CP8" s="51">
        <f aca="true" t="shared" si="50" ref="CP8:CP35">D8*1.38394/100</f>
        <v>22942.1684742</v>
      </c>
      <c r="CQ8" s="33">
        <f aca="true" t="shared" si="51" ref="CQ8:CQ35">CO8+CP8</f>
        <v>22942.1684742</v>
      </c>
      <c r="CR8" s="20">
        <f aca="true" t="shared" si="52" ref="CR8:CR35">CP$6*$F8</f>
        <v>803.6816368</v>
      </c>
      <c r="CS8" s="33"/>
      <c r="CT8" s="51"/>
      <c r="CU8" s="51">
        <f aca="true" t="shared" si="53" ref="CU8:CU35">D8*11.38442/100</f>
        <v>188724.42564060003</v>
      </c>
      <c r="CV8" s="33">
        <f aca="true" t="shared" si="54" ref="CV8:CV35">CT8+CU8</f>
        <v>188724.42564060003</v>
      </c>
      <c r="CW8" s="20">
        <f aca="true" t="shared" si="55" ref="CW8:CW35">CU$6*$F8</f>
        <v>6611.1603824</v>
      </c>
      <c r="CX8" s="33"/>
      <c r="CY8" s="51"/>
      <c r="CZ8" s="51">
        <f aca="true" t="shared" si="56" ref="CZ8:CZ35">D8*0.21375/100</f>
        <v>3543.4256625</v>
      </c>
      <c r="DA8" s="33">
        <f aca="true" t="shared" si="57" ref="DA8:DA35">CY8+CZ8</f>
        <v>3543.4256625</v>
      </c>
      <c r="DB8" s="20">
        <f aca="true" t="shared" si="58" ref="DB8:DB35">CZ$6*$F8</f>
        <v>124.1289</v>
      </c>
      <c r="DC8" s="33"/>
      <c r="DD8" s="51"/>
      <c r="DE8" s="51">
        <f aca="true" t="shared" si="59" ref="DE8:DE35">D8*1.01868/100</f>
        <v>16887.096392400003</v>
      </c>
      <c r="DF8" s="33">
        <f aca="true" t="shared" si="60" ref="DF8:DF35">DD8+DE8</f>
        <v>16887.096392400003</v>
      </c>
      <c r="DG8" s="20">
        <f aca="true" t="shared" si="61" ref="DG8:DG35">DE$6*$F8</f>
        <v>591.5678495999999</v>
      </c>
      <c r="DH8" s="33"/>
      <c r="DI8" s="33"/>
      <c r="DJ8" s="33">
        <f aca="true" t="shared" si="62" ref="DJ8:DJ35">D8*1.83432/100</f>
        <v>30408.3113976</v>
      </c>
      <c r="DK8" s="33">
        <f aca="true" t="shared" si="63" ref="DK8:DK35">DI8+DJ8</f>
        <v>30408.3113976</v>
      </c>
      <c r="DL8" s="20">
        <f aca="true" t="shared" si="64" ref="DL8:DL35">DJ$6*$F8</f>
        <v>1065.2263104</v>
      </c>
      <c r="DM8" s="33"/>
      <c r="DN8" s="51"/>
      <c r="DO8" s="51">
        <f aca="true" t="shared" si="65" ref="DO8:DO35">D8*1.83184/100</f>
        <v>30367.1993712</v>
      </c>
      <c r="DP8" s="33">
        <f aca="true" t="shared" si="66" ref="DP8:DP35">DN8+DO8</f>
        <v>30367.1993712</v>
      </c>
      <c r="DQ8" s="20">
        <f aca="true" t="shared" si="67" ref="DQ8:DQ35">DO$6*$F8</f>
        <v>1063.7861248</v>
      </c>
      <c r="DR8" s="33"/>
      <c r="DS8" s="33"/>
      <c r="DT8" s="33"/>
      <c r="DU8" s="33"/>
    </row>
    <row r="9" spans="1:125" ht="12">
      <c r="A9" s="19">
        <v>42095</v>
      </c>
      <c r="C9" s="35">
        <v>3700000</v>
      </c>
      <c r="D9" s="35">
        <v>1657743</v>
      </c>
      <c r="E9" s="35">
        <f t="shared" si="0"/>
        <v>5357743</v>
      </c>
      <c r="F9" s="35">
        <v>50310</v>
      </c>
      <c r="H9" s="51">
        <v>374878.82</v>
      </c>
      <c r="I9" s="51">
        <v>167960.19991979998</v>
      </c>
      <c r="J9" s="51">
        <f t="shared" si="1"/>
        <v>542839.0199198</v>
      </c>
      <c r="K9" s="51">
        <v>5097.338766000001</v>
      </c>
      <c r="M9" s="51">
        <f t="shared" si="2"/>
        <v>3325121.18</v>
      </c>
      <c r="N9" s="41">
        <f t="shared" si="3"/>
        <v>1489782.8000802002</v>
      </c>
      <c r="O9" s="33">
        <f t="shared" si="4"/>
        <v>4814903.9800802</v>
      </c>
      <c r="P9" s="41">
        <f t="shared" si="3"/>
        <v>45212.661234</v>
      </c>
      <c r="R9" s="65">
        <f aca="true" t="shared" si="68" ref="R9:R35">C9*25.03538/100</f>
        <v>926309.06</v>
      </c>
      <c r="S9" s="65">
        <f t="shared" si="5"/>
        <v>415022.25947339996</v>
      </c>
      <c r="T9" s="20">
        <f t="shared" si="6"/>
        <v>1341331.3194734</v>
      </c>
      <c r="U9" s="20">
        <f t="shared" si="7"/>
        <v>12595.299678000001</v>
      </c>
      <c r="W9" s="65">
        <f aca="true" t="shared" si="69" ref="W9:W35">C9*1.9316/100</f>
        <v>71469.2</v>
      </c>
      <c r="X9" s="65">
        <f t="shared" si="8"/>
        <v>32020.963788</v>
      </c>
      <c r="Y9" s="20">
        <f t="shared" si="9"/>
        <v>103490.163788</v>
      </c>
      <c r="Z9" s="20">
        <f t="shared" si="10"/>
        <v>971.78796</v>
      </c>
      <c r="AB9" s="33">
        <f aca="true" t="shared" si="70" ref="AB9:AB35">C9*2.3925/100</f>
        <v>88522.5</v>
      </c>
      <c r="AC9" s="33">
        <f t="shared" si="11"/>
        <v>39661.501275</v>
      </c>
      <c r="AD9" s="33">
        <f t="shared" si="12"/>
        <v>128184.001275</v>
      </c>
      <c r="AE9" s="20">
        <f t="shared" si="13"/>
        <v>1203.6667499999999</v>
      </c>
      <c r="AG9" s="65">
        <f aca="true" t="shared" si="71" ref="AG9:AG35">C9*1.18541/100</f>
        <v>43860.17</v>
      </c>
      <c r="AH9" s="65">
        <f t="shared" si="14"/>
        <v>19651.0512963</v>
      </c>
      <c r="AI9" s="20">
        <f t="shared" si="15"/>
        <v>63511.2212963</v>
      </c>
      <c r="AJ9" s="20">
        <f t="shared" si="16"/>
        <v>596.379771</v>
      </c>
      <c r="AL9" s="65">
        <f aca="true" t="shared" si="72" ref="AL9:AL35">C9*21.61132/100</f>
        <v>799618.84</v>
      </c>
      <c r="AM9" s="65">
        <f t="shared" si="17"/>
        <v>358260.1445076</v>
      </c>
      <c r="AN9" s="20">
        <f t="shared" si="18"/>
        <v>1157878.9845075998</v>
      </c>
      <c r="AO9" s="20">
        <f t="shared" si="19"/>
        <v>10872.655092</v>
      </c>
      <c r="AP9" s="33"/>
      <c r="AQ9" s="65">
        <f aca="true" t="shared" si="73" ref="AQ9:AQ35">C9*2.84975/100</f>
        <v>105440.75</v>
      </c>
      <c r="AR9" s="65">
        <f t="shared" si="20"/>
        <v>47241.531142499996</v>
      </c>
      <c r="AS9" s="20">
        <f t="shared" si="21"/>
        <v>152682.2811425</v>
      </c>
      <c r="AT9" s="20">
        <f t="shared" si="22"/>
        <v>1433.7092249999998</v>
      </c>
      <c r="AU9" s="33"/>
      <c r="AV9" s="51">
        <f aca="true" t="shared" si="74" ref="AV9:AV35">C9*0.8453/100</f>
        <v>31276.1</v>
      </c>
      <c r="AW9" s="51">
        <f t="shared" si="23"/>
        <v>14012.901579</v>
      </c>
      <c r="AX9" s="33">
        <f t="shared" si="24"/>
        <v>45289.001578999996</v>
      </c>
      <c r="AY9" s="20">
        <f t="shared" si="25"/>
        <v>425.27043000000003</v>
      </c>
      <c r="AZ9" s="33"/>
      <c r="BA9" s="33">
        <f aca="true" t="shared" si="75" ref="BA9:BA35">C9*0.37175/100</f>
        <v>13754.75</v>
      </c>
      <c r="BB9" s="33">
        <f t="shared" si="26"/>
        <v>6162.6596025</v>
      </c>
      <c r="BC9" s="33">
        <f t="shared" si="27"/>
        <v>19917.4096025</v>
      </c>
      <c r="BD9" s="20">
        <f t="shared" si="28"/>
        <v>187.027425</v>
      </c>
      <c r="BE9" s="33"/>
      <c r="BF9" s="51">
        <f aca="true" t="shared" si="76" ref="BF9:BF35">C9*3.25791/100</f>
        <v>120542.67</v>
      </c>
      <c r="BG9" s="51">
        <f t="shared" si="29"/>
        <v>54007.7749713</v>
      </c>
      <c r="BH9" s="33">
        <f t="shared" si="30"/>
        <v>174550.4449713</v>
      </c>
      <c r="BI9" s="20">
        <f t="shared" si="31"/>
        <v>1639.054521</v>
      </c>
      <c r="BJ9" s="33"/>
      <c r="BK9" s="51">
        <f aca="true" t="shared" si="77" ref="BK9:BK35">C9*0.2523/100</f>
        <v>9335.1</v>
      </c>
      <c r="BL9" s="51">
        <f t="shared" si="32"/>
        <v>4182.485589000001</v>
      </c>
      <c r="BM9" s="33">
        <f t="shared" si="33"/>
        <v>13517.585589000002</v>
      </c>
      <c r="BN9" s="20">
        <f t="shared" si="34"/>
        <v>126.93213</v>
      </c>
      <c r="BO9" s="33"/>
      <c r="BP9" s="51">
        <f aca="true" t="shared" si="78" ref="BP9:BP35">C9*10.86592/100</f>
        <v>402039.04</v>
      </c>
      <c r="BQ9" s="51">
        <f t="shared" si="35"/>
        <v>180129.02818559998</v>
      </c>
      <c r="BR9" s="33">
        <f t="shared" si="36"/>
        <v>582168.0681856</v>
      </c>
      <c r="BS9" s="20">
        <f t="shared" si="37"/>
        <v>5466.644352</v>
      </c>
      <c r="BT9" s="33"/>
      <c r="BU9" s="51">
        <f aca="true" t="shared" si="79" ref="BU9:BU35">C9*0.46146/100</f>
        <v>17074.02</v>
      </c>
      <c r="BV9" s="51">
        <f t="shared" si="38"/>
        <v>7649.820847799999</v>
      </c>
      <c r="BW9" s="33">
        <f t="shared" si="39"/>
        <v>24723.8408478</v>
      </c>
      <c r="BX9" s="20">
        <f t="shared" si="40"/>
        <v>232.160526</v>
      </c>
      <c r="BY9" s="33"/>
      <c r="BZ9" s="33">
        <f aca="true" t="shared" si="80" ref="BZ9:BZ35">C9*0.00127/100</f>
        <v>46.99</v>
      </c>
      <c r="CA9" s="33">
        <f t="shared" si="41"/>
        <v>21.053336100000003</v>
      </c>
      <c r="CB9" s="33">
        <f t="shared" si="42"/>
        <v>68.0433361</v>
      </c>
      <c r="CC9" s="20">
        <f t="shared" si="43"/>
        <v>0.638937</v>
      </c>
      <c r="CD9" s="33"/>
      <c r="CE9" s="51">
        <f aca="true" t="shared" si="81" ref="CE9:CE35">C9*0.32049/100</f>
        <v>11858.13</v>
      </c>
      <c r="CF9" s="51">
        <f t="shared" si="44"/>
        <v>5312.9005406999995</v>
      </c>
      <c r="CG9" s="33">
        <f t="shared" si="45"/>
        <v>17171.030540699998</v>
      </c>
      <c r="CH9" s="20">
        <f t="shared" si="46"/>
        <v>161.238519</v>
      </c>
      <c r="CI9" s="33"/>
      <c r="CJ9" s="51">
        <f aca="true" t="shared" si="82" ref="CJ9:CJ35">C9*0.81883/100</f>
        <v>30296.71</v>
      </c>
      <c r="CK9" s="51">
        <f t="shared" si="47"/>
        <v>13574.097006899998</v>
      </c>
      <c r="CL9" s="33">
        <f t="shared" si="48"/>
        <v>43870.807006899995</v>
      </c>
      <c r="CM9" s="20">
        <f t="shared" si="49"/>
        <v>411.95337300000006</v>
      </c>
      <c r="CN9" s="33"/>
      <c r="CO9" s="51">
        <f aca="true" t="shared" si="83" ref="CO9:CO35">C9*1.38394/100</f>
        <v>51205.78</v>
      </c>
      <c r="CP9" s="51">
        <f t="shared" si="50"/>
        <v>22942.1684742</v>
      </c>
      <c r="CQ9" s="33">
        <f t="shared" si="51"/>
        <v>74147.9484742</v>
      </c>
      <c r="CR9" s="20">
        <f t="shared" si="52"/>
        <v>696.260214</v>
      </c>
      <c r="CS9" s="33"/>
      <c r="CT9" s="51">
        <f aca="true" t="shared" si="84" ref="CT9:CT35">C9*11.38442/100</f>
        <v>421223.54</v>
      </c>
      <c r="CU9" s="51">
        <f t="shared" si="53"/>
        <v>188724.42564060003</v>
      </c>
      <c r="CV9" s="33">
        <f t="shared" si="54"/>
        <v>609947.9656406001</v>
      </c>
      <c r="CW9" s="20">
        <f t="shared" si="55"/>
        <v>5727.5017020000005</v>
      </c>
      <c r="CX9" s="33"/>
      <c r="CY9" s="51">
        <f aca="true" t="shared" si="85" ref="CY9:CY35">C9*0.21375/100</f>
        <v>7908.75</v>
      </c>
      <c r="CZ9" s="51">
        <f t="shared" si="56"/>
        <v>3543.4256625</v>
      </c>
      <c r="DA9" s="33">
        <f t="shared" si="57"/>
        <v>11452.1756625</v>
      </c>
      <c r="DB9" s="20">
        <f t="shared" si="58"/>
        <v>107.537625</v>
      </c>
      <c r="DC9" s="33"/>
      <c r="DD9" s="51">
        <f aca="true" t="shared" si="86" ref="DD9:DD35">C9*1.01868/100</f>
        <v>37691.16</v>
      </c>
      <c r="DE9" s="51">
        <f t="shared" si="59"/>
        <v>16887.096392400003</v>
      </c>
      <c r="DF9" s="33">
        <f t="shared" si="60"/>
        <v>54578.256392400006</v>
      </c>
      <c r="DG9" s="20">
        <f t="shared" si="61"/>
        <v>512.4979079999999</v>
      </c>
      <c r="DH9" s="33"/>
      <c r="DI9" s="33">
        <f aca="true" t="shared" si="87" ref="DI9:DI35">C9*1.83432/100</f>
        <v>67869.84</v>
      </c>
      <c r="DJ9" s="33">
        <f t="shared" si="62"/>
        <v>30408.3113976</v>
      </c>
      <c r="DK9" s="33">
        <f t="shared" si="63"/>
        <v>98278.1513976</v>
      </c>
      <c r="DL9" s="20">
        <f t="shared" si="64"/>
        <v>922.846392</v>
      </c>
      <c r="DM9" s="33"/>
      <c r="DN9" s="51">
        <f aca="true" t="shared" si="88" ref="DN9:DN35">C9*1.83184/100</f>
        <v>67778.08</v>
      </c>
      <c r="DO9" s="51">
        <f t="shared" si="65"/>
        <v>30367.1993712</v>
      </c>
      <c r="DP9" s="33">
        <f t="shared" si="66"/>
        <v>98145.2793712</v>
      </c>
      <c r="DQ9" s="20">
        <f t="shared" si="67"/>
        <v>921.5987039999999</v>
      </c>
      <c r="DR9" s="33"/>
      <c r="DS9" s="33"/>
      <c r="DT9" s="33"/>
      <c r="DU9" s="33"/>
    </row>
    <row r="10" spans="1:125" ht="12">
      <c r="A10" s="19">
        <v>42278</v>
      </c>
      <c r="D10" s="35">
        <v>513025</v>
      </c>
      <c r="E10" s="35">
        <f t="shared" si="0"/>
        <v>513025</v>
      </c>
      <c r="F10" s="35">
        <v>50309</v>
      </c>
      <c r="H10" s="51"/>
      <c r="I10" s="51">
        <v>51978.97476499999</v>
      </c>
      <c r="J10" s="51">
        <f t="shared" si="1"/>
        <v>51978.97476499999</v>
      </c>
      <c r="K10" s="51">
        <v>5097.237447400002</v>
      </c>
      <c r="M10" s="51">
        <f t="shared" si="2"/>
        <v>0</v>
      </c>
      <c r="N10" s="41">
        <f t="shared" si="3"/>
        <v>461046.025235</v>
      </c>
      <c r="O10" s="33">
        <f t="shared" si="4"/>
        <v>461046.025235</v>
      </c>
      <c r="P10" s="41">
        <f t="shared" si="3"/>
        <v>45211.76255259999</v>
      </c>
      <c r="R10" s="65"/>
      <c r="S10" s="65">
        <f t="shared" si="5"/>
        <v>128437.758245</v>
      </c>
      <c r="T10" s="20">
        <f t="shared" si="6"/>
        <v>128437.758245</v>
      </c>
      <c r="U10" s="20">
        <f t="shared" si="7"/>
        <v>12595.049324200001</v>
      </c>
      <c r="W10" s="65"/>
      <c r="X10" s="65">
        <f t="shared" si="8"/>
        <v>9909.5909</v>
      </c>
      <c r="Y10" s="20">
        <f t="shared" si="9"/>
        <v>9909.5909</v>
      </c>
      <c r="Z10" s="20">
        <f t="shared" si="10"/>
        <v>971.768644</v>
      </c>
      <c r="AC10" s="33">
        <f t="shared" si="11"/>
        <v>12274.123125</v>
      </c>
      <c r="AD10" s="33">
        <f t="shared" si="12"/>
        <v>12274.123125</v>
      </c>
      <c r="AE10" s="20">
        <f t="shared" si="13"/>
        <v>1203.642825</v>
      </c>
      <c r="AG10" s="65"/>
      <c r="AH10" s="65">
        <f t="shared" si="14"/>
        <v>6081.4496525</v>
      </c>
      <c r="AI10" s="20">
        <f t="shared" si="15"/>
        <v>6081.4496525</v>
      </c>
      <c r="AJ10" s="20">
        <f t="shared" si="16"/>
        <v>596.3679169</v>
      </c>
      <c r="AL10" s="65"/>
      <c r="AM10" s="65">
        <f t="shared" si="17"/>
        <v>110871.47443</v>
      </c>
      <c r="AN10" s="20">
        <f t="shared" si="18"/>
        <v>110871.47443</v>
      </c>
      <c r="AO10" s="20">
        <f t="shared" si="19"/>
        <v>10872.4389788</v>
      </c>
      <c r="AP10" s="33"/>
      <c r="AQ10" s="65"/>
      <c r="AR10" s="65">
        <f t="shared" si="20"/>
        <v>14619.9299375</v>
      </c>
      <c r="AS10" s="20">
        <f t="shared" si="21"/>
        <v>14619.9299375</v>
      </c>
      <c r="AT10" s="20">
        <f t="shared" si="22"/>
        <v>1433.6807274999999</v>
      </c>
      <c r="AU10" s="33"/>
      <c r="AV10" s="51"/>
      <c r="AW10" s="51">
        <f t="shared" si="23"/>
        <v>4336.600325</v>
      </c>
      <c r="AX10" s="33">
        <f t="shared" si="24"/>
        <v>4336.600325</v>
      </c>
      <c r="AY10" s="20">
        <f t="shared" si="25"/>
        <v>425.261977</v>
      </c>
      <c r="AZ10" s="33"/>
      <c r="BA10" s="33"/>
      <c r="BB10" s="33">
        <f t="shared" si="26"/>
        <v>1907.1704375000002</v>
      </c>
      <c r="BC10" s="33">
        <f t="shared" si="27"/>
        <v>1907.1704375000002</v>
      </c>
      <c r="BD10" s="20">
        <f t="shared" si="28"/>
        <v>187.0237075</v>
      </c>
      <c r="BE10" s="33"/>
      <c r="BF10" s="51"/>
      <c r="BG10" s="51">
        <f t="shared" si="29"/>
        <v>16713.892777499997</v>
      </c>
      <c r="BH10" s="33">
        <f t="shared" si="30"/>
        <v>16713.892777499997</v>
      </c>
      <c r="BI10" s="20">
        <f t="shared" si="31"/>
        <v>1639.0219419</v>
      </c>
      <c r="BJ10" s="33"/>
      <c r="BK10" s="51"/>
      <c r="BL10" s="51">
        <f t="shared" si="32"/>
        <v>1294.3620750000002</v>
      </c>
      <c r="BM10" s="33">
        <f t="shared" si="33"/>
        <v>1294.3620750000002</v>
      </c>
      <c r="BN10" s="20">
        <f t="shared" si="34"/>
        <v>126.929607</v>
      </c>
      <c r="BO10" s="33"/>
      <c r="BP10" s="51"/>
      <c r="BQ10" s="51">
        <f t="shared" si="35"/>
        <v>55744.88608</v>
      </c>
      <c r="BR10" s="33">
        <f t="shared" si="36"/>
        <v>55744.88608</v>
      </c>
      <c r="BS10" s="20">
        <f t="shared" si="37"/>
        <v>5466.5356928</v>
      </c>
      <c r="BT10" s="33"/>
      <c r="BU10" s="51"/>
      <c r="BV10" s="51">
        <f t="shared" si="38"/>
        <v>2367.405165</v>
      </c>
      <c r="BW10" s="33">
        <f t="shared" si="39"/>
        <v>2367.405165</v>
      </c>
      <c r="BX10" s="20">
        <f t="shared" si="40"/>
        <v>232.1559114</v>
      </c>
      <c r="BY10" s="33"/>
      <c r="BZ10" s="33"/>
      <c r="CA10" s="33">
        <f t="shared" si="41"/>
        <v>6.515417500000001</v>
      </c>
      <c r="CB10" s="33">
        <f t="shared" si="42"/>
        <v>6.515417500000001</v>
      </c>
      <c r="CC10" s="20">
        <f t="shared" si="43"/>
        <v>0.6389243</v>
      </c>
      <c r="CD10" s="33"/>
      <c r="CE10" s="51"/>
      <c r="CF10" s="51">
        <f t="shared" si="44"/>
        <v>1644.1938225</v>
      </c>
      <c r="CG10" s="33">
        <f t="shared" si="45"/>
        <v>1644.1938225</v>
      </c>
      <c r="CH10" s="20">
        <f t="shared" si="46"/>
        <v>161.2353141</v>
      </c>
      <c r="CI10" s="33"/>
      <c r="CJ10" s="51"/>
      <c r="CK10" s="51">
        <f t="shared" si="47"/>
        <v>4200.8026075</v>
      </c>
      <c r="CL10" s="33">
        <f t="shared" si="48"/>
        <v>4200.8026075</v>
      </c>
      <c r="CM10" s="20">
        <f t="shared" si="49"/>
        <v>411.9451847</v>
      </c>
      <c r="CN10" s="33"/>
      <c r="CO10" s="51"/>
      <c r="CP10" s="51">
        <f t="shared" si="50"/>
        <v>7099.9581849999995</v>
      </c>
      <c r="CQ10" s="33">
        <f t="shared" si="51"/>
        <v>7099.9581849999995</v>
      </c>
      <c r="CR10" s="20">
        <f t="shared" si="52"/>
        <v>696.2463746</v>
      </c>
      <c r="CS10" s="33"/>
      <c r="CT10" s="51"/>
      <c r="CU10" s="51">
        <f t="shared" si="53"/>
        <v>58404.920705000004</v>
      </c>
      <c r="CV10" s="33">
        <f t="shared" si="54"/>
        <v>58404.920705000004</v>
      </c>
      <c r="CW10" s="20">
        <f t="shared" si="55"/>
        <v>5727.3878578</v>
      </c>
      <c r="CX10" s="33"/>
      <c r="CY10" s="51"/>
      <c r="CZ10" s="51">
        <f t="shared" si="56"/>
        <v>1096.5909375</v>
      </c>
      <c r="DA10" s="33">
        <f t="shared" si="57"/>
        <v>1096.5909375</v>
      </c>
      <c r="DB10" s="20">
        <f t="shared" si="58"/>
        <v>107.5354875</v>
      </c>
      <c r="DC10" s="33"/>
      <c r="DD10" s="51"/>
      <c r="DE10" s="51">
        <f t="shared" si="59"/>
        <v>5226.083070000001</v>
      </c>
      <c r="DF10" s="33">
        <f t="shared" si="60"/>
        <v>5226.083070000001</v>
      </c>
      <c r="DG10" s="20">
        <f t="shared" si="61"/>
        <v>512.4877212</v>
      </c>
      <c r="DH10" s="33"/>
      <c r="DI10" s="33"/>
      <c r="DJ10" s="33">
        <f t="shared" si="62"/>
        <v>9410.52018</v>
      </c>
      <c r="DK10" s="33">
        <f t="shared" si="63"/>
        <v>9410.52018</v>
      </c>
      <c r="DL10" s="20">
        <f t="shared" si="64"/>
        <v>922.8280488</v>
      </c>
      <c r="DM10" s="33"/>
      <c r="DN10" s="51"/>
      <c r="DO10" s="51">
        <f t="shared" si="65"/>
        <v>9397.797159999998</v>
      </c>
      <c r="DP10" s="33">
        <f t="shared" si="66"/>
        <v>9397.797159999998</v>
      </c>
      <c r="DQ10" s="20">
        <f t="shared" si="67"/>
        <v>921.5803855999999</v>
      </c>
      <c r="DR10" s="33"/>
      <c r="DS10" s="33"/>
      <c r="DT10" s="33"/>
      <c r="DU10" s="33"/>
    </row>
    <row r="11" spans="1:125" ht="12">
      <c r="A11" s="19">
        <v>42461</v>
      </c>
      <c r="C11" s="35">
        <v>3885000</v>
      </c>
      <c r="D11" s="35">
        <v>513025</v>
      </c>
      <c r="E11" s="35">
        <f t="shared" si="0"/>
        <v>4398025</v>
      </c>
      <c r="F11" s="35">
        <v>50309</v>
      </c>
      <c r="H11" s="51">
        <v>393622.761</v>
      </c>
      <c r="I11" s="51">
        <v>51978.97476499999</v>
      </c>
      <c r="J11" s="51">
        <f t="shared" si="1"/>
        <v>445601.735765</v>
      </c>
      <c r="K11" s="51">
        <v>5097.237447400002</v>
      </c>
      <c r="M11" s="51">
        <f t="shared" si="2"/>
        <v>3491377.2389999996</v>
      </c>
      <c r="N11" s="41">
        <f t="shared" si="3"/>
        <v>461046.025235</v>
      </c>
      <c r="O11" s="33">
        <f t="shared" si="4"/>
        <v>3952423.2642349997</v>
      </c>
      <c r="P11" s="41">
        <f t="shared" si="3"/>
        <v>45211.76255259999</v>
      </c>
      <c r="R11" s="65">
        <f t="shared" si="68"/>
        <v>972624.5129999999</v>
      </c>
      <c r="S11" s="65">
        <f t="shared" si="5"/>
        <v>128437.758245</v>
      </c>
      <c r="T11" s="20">
        <f t="shared" si="6"/>
        <v>1101062.271245</v>
      </c>
      <c r="U11" s="20">
        <f t="shared" si="7"/>
        <v>12595.049324200001</v>
      </c>
      <c r="W11" s="65">
        <f t="shared" si="69"/>
        <v>75042.66</v>
      </c>
      <c r="X11" s="65">
        <f t="shared" si="8"/>
        <v>9909.5909</v>
      </c>
      <c r="Y11" s="20">
        <f t="shared" si="9"/>
        <v>84952.2509</v>
      </c>
      <c r="Z11" s="20">
        <f t="shared" si="10"/>
        <v>971.768644</v>
      </c>
      <c r="AB11" s="33">
        <f t="shared" si="70"/>
        <v>92948.625</v>
      </c>
      <c r="AC11" s="33">
        <f t="shared" si="11"/>
        <v>12274.123125</v>
      </c>
      <c r="AD11" s="33">
        <f t="shared" si="12"/>
        <v>105222.748125</v>
      </c>
      <c r="AE11" s="20">
        <f t="shared" si="13"/>
        <v>1203.642825</v>
      </c>
      <c r="AG11" s="65">
        <f t="shared" si="71"/>
        <v>46053.17850000001</v>
      </c>
      <c r="AH11" s="65">
        <f t="shared" si="14"/>
        <v>6081.4496525</v>
      </c>
      <c r="AI11" s="20">
        <f t="shared" si="15"/>
        <v>52134.62815250001</v>
      </c>
      <c r="AJ11" s="20">
        <f t="shared" si="16"/>
        <v>596.3679169</v>
      </c>
      <c r="AL11" s="65">
        <f t="shared" si="72"/>
        <v>839599.782</v>
      </c>
      <c r="AM11" s="65">
        <f t="shared" si="17"/>
        <v>110871.47443</v>
      </c>
      <c r="AN11" s="20">
        <f t="shared" si="18"/>
        <v>950471.2564300001</v>
      </c>
      <c r="AO11" s="20">
        <f t="shared" si="19"/>
        <v>10872.4389788</v>
      </c>
      <c r="AP11" s="33"/>
      <c r="AQ11" s="65">
        <f t="shared" si="73"/>
        <v>110712.7875</v>
      </c>
      <c r="AR11" s="65">
        <f t="shared" si="20"/>
        <v>14619.9299375</v>
      </c>
      <c r="AS11" s="20">
        <f t="shared" si="21"/>
        <v>125332.7174375</v>
      </c>
      <c r="AT11" s="20">
        <f t="shared" si="22"/>
        <v>1433.6807274999999</v>
      </c>
      <c r="AU11" s="33"/>
      <c r="AV11" s="51">
        <f t="shared" si="74"/>
        <v>32839.905</v>
      </c>
      <c r="AW11" s="51">
        <f t="shared" si="23"/>
        <v>4336.600325</v>
      </c>
      <c r="AX11" s="33">
        <f t="shared" si="24"/>
        <v>37176.505325</v>
      </c>
      <c r="AY11" s="20">
        <f t="shared" si="25"/>
        <v>425.261977</v>
      </c>
      <c r="AZ11" s="33"/>
      <c r="BA11" s="33">
        <f t="shared" si="75"/>
        <v>14442.4875</v>
      </c>
      <c r="BB11" s="33">
        <f t="shared" si="26"/>
        <v>1907.1704375000002</v>
      </c>
      <c r="BC11" s="33">
        <f t="shared" si="27"/>
        <v>16349.6579375</v>
      </c>
      <c r="BD11" s="20">
        <f t="shared" si="28"/>
        <v>187.0237075</v>
      </c>
      <c r="BE11" s="33"/>
      <c r="BF11" s="51">
        <f t="shared" si="76"/>
        <v>126569.8035</v>
      </c>
      <c r="BG11" s="51">
        <f t="shared" si="29"/>
        <v>16713.892777499997</v>
      </c>
      <c r="BH11" s="33">
        <f t="shared" si="30"/>
        <v>143283.69627749998</v>
      </c>
      <c r="BI11" s="20">
        <f t="shared" si="31"/>
        <v>1639.0219419</v>
      </c>
      <c r="BJ11" s="33"/>
      <c r="BK11" s="51">
        <f t="shared" si="77"/>
        <v>9801.855000000001</v>
      </c>
      <c r="BL11" s="51">
        <f t="shared" si="32"/>
        <v>1294.3620750000002</v>
      </c>
      <c r="BM11" s="33">
        <f t="shared" si="33"/>
        <v>11096.217075000002</v>
      </c>
      <c r="BN11" s="20">
        <f t="shared" si="34"/>
        <v>126.929607</v>
      </c>
      <c r="BO11" s="33"/>
      <c r="BP11" s="51">
        <f t="shared" si="78"/>
        <v>422140.99199999997</v>
      </c>
      <c r="BQ11" s="51">
        <f t="shared" si="35"/>
        <v>55744.88608</v>
      </c>
      <c r="BR11" s="33">
        <f t="shared" si="36"/>
        <v>477885.87807999994</v>
      </c>
      <c r="BS11" s="20">
        <f t="shared" si="37"/>
        <v>5466.5356928</v>
      </c>
      <c r="BT11" s="33"/>
      <c r="BU11" s="51">
        <f t="shared" si="79"/>
        <v>17927.720999999998</v>
      </c>
      <c r="BV11" s="51">
        <f t="shared" si="38"/>
        <v>2367.405165</v>
      </c>
      <c r="BW11" s="33">
        <f t="shared" si="39"/>
        <v>20295.126164999998</v>
      </c>
      <c r="BX11" s="20">
        <f t="shared" si="40"/>
        <v>232.1559114</v>
      </c>
      <c r="BY11" s="33"/>
      <c r="BZ11" s="33">
        <f t="shared" si="80"/>
        <v>49.33950000000001</v>
      </c>
      <c r="CA11" s="33">
        <f t="shared" si="41"/>
        <v>6.515417500000001</v>
      </c>
      <c r="CB11" s="33">
        <f t="shared" si="42"/>
        <v>55.854917500000006</v>
      </c>
      <c r="CC11" s="20">
        <f t="shared" si="43"/>
        <v>0.6389243</v>
      </c>
      <c r="CD11" s="33"/>
      <c r="CE11" s="51">
        <f t="shared" si="81"/>
        <v>12451.036499999998</v>
      </c>
      <c r="CF11" s="51">
        <f t="shared" si="44"/>
        <v>1644.1938225</v>
      </c>
      <c r="CG11" s="33">
        <f t="shared" si="45"/>
        <v>14095.230322499998</v>
      </c>
      <c r="CH11" s="20">
        <f t="shared" si="46"/>
        <v>161.2353141</v>
      </c>
      <c r="CI11" s="33"/>
      <c r="CJ11" s="51">
        <f t="shared" si="82"/>
        <v>31811.545499999997</v>
      </c>
      <c r="CK11" s="51">
        <f t="shared" si="47"/>
        <v>4200.8026075</v>
      </c>
      <c r="CL11" s="33">
        <f t="shared" si="48"/>
        <v>36012.348107499995</v>
      </c>
      <c r="CM11" s="20">
        <f t="shared" si="49"/>
        <v>411.9451847</v>
      </c>
      <c r="CN11" s="33"/>
      <c r="CO11" s="51">
        <f t="shared" si="83"/>
        <v>53766.068999999996</v>
      </c>
      <c r="CP11" s="51">
        <f t="shared" si="50"/>
        <v>7099.9581849999995</v>
      </c>
      <c r="CQ11" s="33">
        <f t="shared" si="51"/>
        <v>60866.027185</v>
      </c>
      <c r="CR11" s="20">
        <f t="shared" si="52"/>
        <v>696.2463746</v>
      </c>
      <c r="CS11" s="33"/>
      <c r="CT11" s="51">
        <f t="shared" si="84"/>
        <v>442284.717</v>
      </c>
      <c r="CU11" s="51">
        <f t="shared" si="53"/>
        <v>58404.920705000004</v>
      </c>
      <c r="CV11" s="33">
        <f t="shared" si="54"/>
        <v>500689.637705</v>
      </c>
      <c r="CW11" s="20">
        <f t="shared" si="55"/>
        <v>5727.3878578</v>
      </c>
      <c r="CX11" s="33"/>
      <c r="CY11" s="51">
        <f t="shared" si="85"/>
        <v>8304.1875</v>
      </c>
      <c r="CZ11" s="51">
        <f t="shared" si="56"/>
        <v>1096.5909375</v>
      </c>
      <c r="DA11" s="33">
        <f t="shared" si="57"/>
        <v>9400.778437500001</v>
      </c>
      <c r="DB11" s="20">
        <f t="shared" si="58"/>
        <v>107.5354875</v>
      </c>
      <c r="DC11" s="33"/>
      <c r="DD11" s="51">
        <f t="shared" si="86"/>
        <v>39575.718</v>
      </c>
      <c r="DE11" s="51">
        <f t="shared" si="59"/>
        <v>5226.083070000001</v>
      </c>
      <c r="DF11" s="33">
        <f t="shared" si="60"/>
        <v>44801.80107</v>
      </c>
      <c r="DG11" s="20">
        <f t="shared" si="61"/>
        <v>512.4877212</v>
      </c>
      <c r="DH11" s="33"/>
      <c r="DI11" s="33">
        <f t="shared" si="87"/>
        <v>71263.332</v>
      </c>
      <c r="DJ11" s="33">
        <f t="shared" si="62"/>
        <v>9410.52018</v>
      </c>
      <c r="DK11" s="33">
        <f t="shared" si="63"/>
        <v>80673.85217999999</v>
      </c>
      <c r="DL11" s="20">
        <f t="shared" si="64"/>
        <v>922.8280488</v>
      </c>
      <c r="DM11" s="33"/>
      <c r="DN11" s="51">
        <f t="shared" si="88"/>
        <v>71166.984</v>
      </c>
      <c r="DO11" s="51">
        <f t="shared" si="65"/>
        <v>9397.797159999998</v>
      </c>
      <c r="DP11" s="33">
        <f t="shared" si="66"/>
        <v>80564.78116</v>
      </c>
      <c r="DQ11" s="20">
        <f t="shared" si="67"/>
        <v>921.5803855999999</v>
      </c>
      <c r="DR11" s="33"/>
      <c r="DS11" s="33"/>
      <c r="DT11" s="33"/>
      <c r="DU11" s="33"/>
    </row>
    <row r="12" spans="1:125" ht="12">
      <c r="A12" s="19">
        <v>42644</v>
      </c>
      <c r="D12" s="35">
        <v>415900</v>
      </c>
      <c r="E12" s="35">
        <f t="shared" si="0"/>
        <v>415900</v>
      </c>
      <c r="F12" s="35">
        <v>50309</v>
      </c>
      <c r="H12" s="51"/>
      <c r="I12" s="51">
        <v>42138.40574</v>
      </c>
      <c r="J12" s="51">
        <f t="shared" si="1"/>
        <v>42138.40574</v>
      </c>
      <c r="K12" s="51">
        <v>5097.237447400002</v>
      </c>
      <c r="M12" s="51">
        <f t="shared" si="2"/>
        <v>0</v>
      </c>
      <c r="N12" s="41">
        <f t="shared" si="3"/>
        <v>373761.59426000004</v>
      </c>
      <c r="O12" s="33">
        <f t="shared" si="4"/>
        <v>373761.59426000004</v>
      </c>
      <c r="P12" s="41">
        <f t="shared" si="3"/>
        <v>45211.76255259999</v>
      </c>
      <c r="R12" s="65"/>
      <c r="S12" s="65">
        <f t="shared" si="5"/>
        <v>104122.14542</v>
      </c>
      <c r="T12" s="20">
        <f t="shared" si="6"/>
        <v>104122.14542</v>
      </c>
      <c r="U12" s="20">
        <f t="shared" si="7"/>
        <v>12595.049324200001</v>
      </c>
      <c r="W12" s="65"/>
      <c r="X12" s="65">
        <f t="shared" si="8"/>
        <v>8033.524399999999</v>
      </c>
      <c r="Y12" s="20">
        <f t="shared" si="9"/>
        <v>8033.524399999999</v>
      </c>
      <c r="Z12" s="20">
        <f t="shared" si="10"/>
        <v>971.768644</v>
      </c>
      <c r="AC12" s="33">
        <f t="shared" si="11"/>
        <v>9950.4075</v>
      </c>
      <c r="AD12" s="33">
        <f t="shared" si="12"/>
        <v>9950.4075</v>
      </c>
      <c r="AE12" s="20">
        <f t="shared" si="13"/>
        <v>1203.642825</v>
      </c>
      <c r="AG12" s="65"/>
      <c r="AH12" s="65">
        <f t="shared" si="14"/>
        <v>4930.120190000001</v>
      </c>
      <c r="AI12" s="20">
        <f t="shared" si="15"/>
        <v>4930.120190000001</v>
      </c>
      <c r="AJ12" s="20">
        <f t="shared" si="16"/>
        <v>596.3679169</v>
      </c>
      <c r="AL12" s="65"/>
      <c r="AM12" s="65">
        <f t="shared" si="17"/>
        <v>89881.47988</v>
      </c>
      <c r="AN12" s="20">
        <f t="shared" si="18"/>
        <v>89881.47988</v>
      </c>
      <c r="AO12" s="20">
        <f t="shared" si="19"/>
        <v>10872.4389788</v>
      </c>
      <c r="AP12" s="33"/>
      <c r="AQ12" s="65"/>
      <c r="AR12" s="65">
        <f t="shared" si="20"/>
        <v>11852.11025</v>
      </c>
      <c r="AS12" s="20">
        <f t="shared" si="21"/>
        <v>11852.11025</v>
      </c>
      <c r="AT12" s="20">
        <f t="shared" si="22"/>
        <v>1433.6807274999999</v>
      </c>
      <c r="AU12" s="33"/>
      <c r="AV12" s="51"/>
      <c r="AW12" s="51">
        <f t="shared" si="23"/>
        <v>3515.6027000000004</v>
      </c>
      <c r="AX12" s="33">
        <f t="shared" si="24"/>
        <v>3515.6027000000004</v>
      </c>
      <c r="AY12" s="20">
        <f t="shared" si="25"/>
        <v>425.261977</v>
      </c>
      <c r="AZ12" s="33"/>
      <c r="BA12" s="33"/>
      <c r="BB12" s="33">
        <f t="shared" si="26"/>
        <v>1546.1082500000002</v>
      </c>
      <c r="BC12" s="33">
        <f t="shared" si="27"/>
        <v>1546.1082500000002</v>
      </c>
      <c r="BD12" s="20">
        <f t="shared" si="28"/>
        <v>187.0237075</v>
      </c>
      <c r="BE12" s="33"/>
      <c r="BF12" s="51"/>
      <c r="BG12" s="51">
        <f t="shared" si="29"/>
        <v>13549.647689999998</v>
      </c>
      <c r="BH12" s="33">
        <f t="shared" si="30"/>
        <v>13549.647689999998</v>
      </c>
      <c r="BI12" s="20">
        <f t="shared" si="31"/>
        <v>1639.0219419</v>
      </c>
      <c r="BJ12" s="33"/>
      <c r="BK12" s="51"/>
      <c r="BL12" s="51">
        <f t="shared" si="32"/>
        <v>1049.3157</v>
      </c>
      <c r="BM12" s="33">
        <f t="shared" si="33"/>
        <v>1049.3157</v>
      </c>
      <c r="BN12" s="20">
        <f t="shared" si="34"/>
        <v>126.929607</v>
      </c>
      <c r="BO12" s="33"/>
      <c r="BP12" s="51"/>
      <c r="BQ12" s="51">
        <f t="shared" si="35"/>
        <v>45191.36128</v>
      </c>
      <c r="BR12" s="33">
        <f t="shared" si="36"/>
        <v>45191.36128</v>
      </c>
      <c r="BS12" s="20">
        <f t="shared" si="37"/>
        <v>5466.5356928</v>
      </c>
      <c r="BT12" s="33"/>
      <c r="BU12" s="51"/>
      <c r="BV12" s="51">
        <f t="shared" si="38"/>
        <v>1919.2121399999999</v>
      </c>
      <c r="BW12" s="33">
        <f t="shared" si="39"/>
        <v>1919.2121399999999</v>
      </c>
      <c r="BX12" s="20">
        <f t="shared" si="40"/>
        <v>232.1559114</v>
      </c>
      <c r="BY12" s="33"/>
      <c r="BZ12" s="33"/>
      <c r="CA12" s="33">
        <f t="shared" si="41"/>
        <v>5.28193</v>
      </c>
      <c r="CB12" s="33">
        <f t="shared" si="42"/>
        <v>5.28193</v>
      </c>
      <c r="CC12" s="20">
        <f t="shared" si="43"/>
        <v>0.6389243</v>
      </c>
      <c r="CD12" s="33"/>
      <c r="CE12" s="51"/>
      <c r="CF12" s="51">
        <f t="shared" si="44"/>
        <v>1332.91791</v>
      </c>
      <c r="CG12" s="33">
        <f t="shared" si="45"/>
        <v>1332.91791</v>
      </c>
      <c r="CH12" s="20">
        <f t="shared" si="46"/>
        <v>161.2353141</v>
      </c>
      <c r="CI12" s="33"/>
      <c r="CJ12" s="51"/>
      <c r="CK12" s="51">
        <f t="shared" si="47"/>
        <v>3405.51397</v>
      </c>
      <c r="CL12" s="33">
        <f t="shared" si="48"/>
        <v>3405.51397</v>
      </c>
      <c r="CM12" s="20">
        <f t="shared" si="49"/>
        <v>411.9451847</v>
      </c>
      <c r="CN12" s="33"/>
      <c r="CO12" s="51"/>
      <c r="CP12" s="51">
        <f t="shared" si="50"/>
        <v>5755.80646</v>
      </c>
      <c r="CQ12" s="33">
        <f t="shared" si="51"/>
        <v>5755.80646</v>
      </c>
      <c r="CR12" s="20">
        <f t="shared" si="52"/>
        <v>696.2463746</v>
      </c>
      <c r="CS12" s="33"/>
      <c r="CT12" s="51"/>
      <c r="CU12" s="51">
        <f t="shared" si="53"/>
        <v>47347.80278</v>
      </c>
      <c r="CV12" s="33">
        <f t="shared" si="54"/>
        <v>47347.80278</v>
      </c>
      <c r="CW12" s="20">
        <f t="shared" si="55"/>
        <v>5727.3878578</v>
      </c>
      <c r="CX12" s="33"/>
      <c r="CY12" s="51"/>
      <c r="CZ12" s="51">
        <f t="shared" si="56"/>
        <v>888.98625</v>
      </c>
      <c r="DA12" s="33">
        <f t="shared" si="57"/>
        <v>888.98625</v>
      </c>
      <c r="DB12" s="20">
        <f t="shared" si="58"/>
        <v>107.5354875</v>
      </c>
      <c r="DC12" s="33"/>
      <c r="DD12" s="51"/>
      <c r="DE12" s="51">
        <f t="shared" si="59"/>
        <v>4236.69012</v>
      </c>
      <c r="DF12" s="33">
        <f t="shared" si="60"/>
        <v>4236.69012</v>
      </c>
      <c r="DG12" s="20">
        <f t="shared" si="61"/>
        <v>512.4877212</v>
      </c>
      <c r="DH12" s="33"/>
      <c r="DI12" s="33"/>
      <c r="DJ12" s="33">
        <f t="shared" si="62"/>
        <v>7628.936879999999</v>
      </c>
      <c r="DK12" s="33">
        <f t="shared" si="63"/>
        <v>7628.936879999999</v>
      </c>
      <c r="DL12" s="20">
        <f t="shared" si="64"/>
        <v>922.8280488</v>
      </c>
      <c r="DM12" s="33"/>
      <c r="DN12" s="51"/>
      <c r="DO12" s="51">
        <f t="shared" si="65"/>
        <v>7618.62256</v>
      </c>
      <c r="DP12" s="33">
        <f t="shared" si="66"/>
        <v>7618.62256</v>
      </c>
      <c r="DQ12" s="20">
        <f t="shared" si="67"/>
        <v>921.5803855999999</v>
      </c>
      <c r="DR12" s="33"/>
      <c r="DS12" s="33"/>
      <c r="DT12" s="33"/>
      <c r="DU12" s="33"/>
    </row>
    <row r="13" spans="1:125" ht="12">
      <c r="A13" s="19">
        <v>42826</v>
      </c>
      <c r="C13" s="35">
        <v>4080000</v>
      </c>
      <c r="D13" s="35">
        <v>415900</v>
      </c>
      <c r="E13" s="35">
        <f t="shared" si="0"/>
        <v>4495900</v>
      </c>
      <c r="F13" s="35">
        <v>50309</v>
      </c>
      <c r="H13" s="51">
        <v>413379.88800000004</v>
      </c>
      <c r="I13" s="51">
        <v>42138.40574</v>
      </c>
      <c r="J13" s="51">
        <f t="shared" si="1"/>
        <v>455518.29374000005</v>
      </c>
      <c r="K13" s="51">
        <v>5097.237447400002</v>
      </c>
      <c r="M13" s="51">
        <f t="shared" si="2"/>
        <v>3666620.1119999997</v>
      </c>
      <c r="N13" s="41">
        <f t="shared" si="3"/>
        <v>373761.59426000004</v>
      </c>
      <c r="O13" s="33">
        <f t="shared" si="4"/>
        <v>4040381.70626</v>
      </c>
      <c r="P13" s="41">
        <f t="shared" si="3"/>
        <v>45211.76255259999</v>
      </c>
      <c r="R13" s="65">
        <f t="shared" si="68"/>
        <v>1021443.5040000001</v>
      </c>
      <c r="S13" s="65">
        <f t="shared" si="5"/>
        <v>104122.14542</v>
      </c>
      <c r="T13" s="20">
        <f t="shared" si="6"/>
        <v>1125565.6494200001</v>
      </c>
      <c r="U13" s="20">
        <f t="shared" si="7"/>
        <v>12595.049324200001</v>
      </c>
      <c r="W13" s="65">
        <f t="shared" si="69"/>
        <v>78809.28</v>
      </c>
      <c r="X13" s="65">
        <f t="shared" si="8"/>
        <v>8033.524399999999</v>
      </c>
      <c r="Y13" s="20">
        <f t="shared" si="9"/>
        <v>86842.8044</v>
      </c>
      <c r="Z13" s="20">
        <f t="shared" si="10"/>
        <v>971.768644</v>
      </c>
      <c r="AB13" s="33">
        <f t="shared" si="70"/>
        <v>97614</v>
      </c>
      <c r="AC13" s="33">
        <f t="shared" si="11"/>
        <v>9950.4075</v>
      </c>
      <c r="AD13" s="33">
        <f t="shared" si="12"/>
        <v>107564.4075</v>
      </c>
      <c r="AE13" s="20">
        <f t="shared" si="13"/>
        <v>1203.642825</v>
      </c>
      <c r="AG13" s="65">
        <f t="shared" si="71"/>
        <v>48364.72800000001</v>
      </c>
      <c r="AH13" s="65">
        <f t="shared" si="14"/>
        <v>4930.120190000001</v>
      </c>
      <c r="AI13" s="20">
        <f t="shared" si="15"/>
        <v>53294.84819000001</v>
      </c>
      <c r="AJ13" s="20">
        <f t="shared" si="16"/>
        <v>596.3679169</v>
      </c>
      <c r="AL13" s="65">
        <f t="shared" si="72"/>
        <v>881741.8559999999</v>
      </c>
      <c r="AM13" s="65">
        <f t="shared" si="17"/>
        <v>89881.47988</v>
      </c>
      <c r="AN13" s="20">
        <f t="shared" si="18"/>
        <v>971623.3358799999</v>
      </c>
      <c r="AO13" s="20">
        <f t="shared" si="19"/>
        <v>10872.4389788</v>
      </c>
      <c r="AP13" s="33"/>
      <c r="AQ13" s="65">
        <f t="shared" si="73"/>
        <v>116269.8</v>
      </c>
      <c r="AR13" s="65">
        <f t="shared" si="20"/>
        <v>11852.11025</v>
      </c>
      <c r="AS13" s="20">
        <f t="shared" si="21"/>
        <v>128121.91025</v>
      </c>
      <c r="AT13" s="20">
        <f t="shared" si="22"/>
        <v>1433.6807274999999</v>
      </c>
      <c r="AU13" s="33"/>
      <c r="AV13" s="51">
        <f t="shared" si="74"/>
        <v>34488.24</v>
      </c>
      <c r="AW13" s="51">
        <f t="shared" si="23"/>
        <v>3515.6027000000004</v>
      </c>
      <c r="AX13" s="33">
        <f t="shared" si="24"/>
        <v>38003.8427</v>
      </c>
      <c r="AY13" s="20">
        <f t="shared" si="25"/>
        <v>425.261977</v>
      </c>
      <c r="AZ13" s="33"/>
      <c r="BA13" s="33">
        <f t="shared" si="75"/>
        <v>15167.4</v>
      </c>
      <c r="BB13" s="33">
        <f t="shared" si="26"/>
        <v>1546.1082500000002</v>
      </c>
      <c r="BC13" s="33">
        <f t="shared" si="27"/>
        <v>16713.50825</v>
      </c>
      <c r="BD13" s="20">
        <f t="shared" si="28"/>
        <v>187.0237075</v>
      </c>
      <c r="BE13" s="33"/>
      <c r="BF13" s="51">
        <f t="shared" si="76"/>
        <v>132922.728</v>
      </c>
      <c r="BG13" s="51">
        <f t="shared" si="29"/>
        <v>13549.647689999998</v>
      </c>
      <c r="BH13" s="33">
        <f t="shared" si="30"/>
        <v>146472.37569000002</v>
      </c>
      <c r="BI13" s="20">
        <f t="shared" si="31"/>
        <v>1639.0219419</v>
      </c>
      <c r="BJ13" s="33"/>
      <c r="BK13" s="51">
        <f t="shared" si="77"/>
        <v>10293.840000000002</v>
      </c>
      <c r="BL13" s="51">
        <f t="shared" si="32"/>
        <v>1049.3157</v>
      </c>
      <c r="BM13" s="33">
        <f t="shared" si="33"/>
        <v>11343.155700000003</v>
      </c>
      <c r="BN13" s="20">
        <f t="shared" si="34"/>
        <v>126.929607</v>
      </c>
      <c r="BO13" s="33"/>
      <c r="BP13" s="51">
        <f t="shared" si="78"/>
        <v>443329.53599999996</v>
      </c>
      <c r="BQ13" s="51">
        <f t="shared" si="35"/>
        <v>45191.36128</v>
      </c>
      <c r="BR13" s="33">
        <f t="shared" si="36"/>
        <v>488520.89728</v>
      </c>
      <c r="BS13" s="20">
        <f t="shared" si="37"/>
        <v>5466.5356928</v>
      </c>
      <c r="BT13" s="33"/>
      <c r="BU13" s="51">
        <f t="shared" si="79"/>
        <v>18827.568</v>
      </c>
      <c r="BV13" s="51">
        <f t="shared" si="38"/>
        <v>1919.2121399999999</v>
      </c>
      <c r="BW13" s="33">
        <f t="shared" si="39"/>
        <v>20746.78014</v>
      </c>
      <c r="BX13" s="20">
        <f t="shared" si="40"/>
        <v>232.1559114</v>
      </c>
      <c r="BY13" s="33"/>
      <c r="BZ13" s="33">
        <f t="shared" si="80"/>
        <v>51.816</v>
      </c>
      <c r="CA13" s="33">
        <f t="shared" si="41"/>
        <v>5.28193</v>
      </c>
      <c r="CB13" s="33">
        <f t="shared" si="42"/>
        <v>57.097930000000005</v>
      </c>
      <c r="CC13" s="20">
        <f t="shared" si="43"/>
        <v>0.6389243</v>
      </c>
      <c r="CD13" s="33"/>
      <c r="CE13" s="51">
        <f t="shared" si="81"/>
        <v>13075.992</v>
      </c>
      <c r="CF13" s="51">
        <f t="shared" si="44"/>
        <v>1332.91791</v>
      </c>
      <c r="CG13" s="33">
        <f t="shared" si="45"/>
        <v>14408.90991</v>
      </c>
      <c r="CH13" s="20">
        <f t="shared" si="46"/>
        <v>161.2353141</v>
      </c>
      <c r="CI13" s="33"/>
      <c r="CJ13" s="51">
        <f t="shared" si="82"/>
        <v>33408.263999999996</v>
      </c>
      <c r="CK13" s="51">
        <f t="shared" si="47"/>
        <v>3405.51397</v>
      </c>
      <c r="CL13" s="33">
        <f t="shared" si="48"/>
        <v>36813.777969999996</v>
      </c>
      <c r="CM13" s="20">
        <f t="shared" si="49"/>
        <v>411.9451847</v>
      </c>
      <c r="CN13" s="33"/>
      <c r="CO13" s="51">
        <f t="shared" si="83"/>
        <v>56464.752</v>
      </c>
      <c r="CP13" s="51">
        <f t="shared" si="50"/>
        <v>5755.80646</v>
      </c>
      <c r="CQ13" s="33">
        <f t="shared" si="51"/>
        <v>62220.55846</v>
      </c>
      <c r="CR13" s="20">
        <f t="shared" si="52"/>
        <v>696.2463746</v>
      </c>
      <c r="CS13" s="33"/>
      <c r="CT13" s="51">
        <f t="shared" si="84"/>
        <v>464484.336</v>
      </c>
      <c r="CU13" s="51">
        <f t="shared" si="53"/>
        <v>47347.80278</v>
      </c>
      <c r="CV13" s="33">
        <f t="shared" si="54"/>
        <v>511832.13878000004</v>
      </c>
      <c r="CW13" s="20">
        <f t="shared" si="55"/>
        <v>5727.3878578</v>
      </c>
      <c r="CX13" s="33"/>
      <c r="CY13" s="51">
        <f t="shared" si="85"/>
        <v>8721</v>
      </c>
      <c r="CZ13" s="51">
        <f t="shared" si="56"/>
        <v>888.98625</v>
      </c>
      <c r="DA13" s="33">
        <f t="shared" si="57"/>
        <v>9609.98625</v>
      </c>
      <c r="DB13" s="20">
        <f t="shared" si="58"/>
        <v>107.5354875</v>
      </c>
      <c r="DC13" s="33"/>
      <c r="DD13" s="51">
        <f t="shared" si="86"/>
        <v>41562.144</v>
      </c>
      <c r="DE13" s="51">
        <f t="shared" si="59"/>
        <v>4236.69012</v>
      </c>
      <c r="DF13" s="33">
        <f t="shared" si="60"/>
        <v>45798.83412</v>
      </c>
      <c r="DG13" s="20">
        <f t="shared" si="61"/>
        <v>512.4877212</v>
      </c>
      <c r="DH13" s="33"/>
      <c r="DI13" s="33">
        <f t="shared" si="87"/>
        <v>74840.256</v>
      </c>
      <c r="DJ13" s="33">
        <f t="shared" si="62"/>
        <v>7628.936879999999</v>
      </c>
      <c r="DK13" s="33">
        <f t="shared" si="63"/>
        <v>82469.19287999999</v>
      </c>
      <c r="DL13" s="20">
        <f t="shared" si="64"/>
        <v>922.8280488</v>
      </c>
      <c r="DM13" s="33"/>
      <c r="DN13" s="51">
        <f t="shared" si="88"/>
        <v>74739.07199999999</v>
      </c>
      <c r="DO13" s="51">
        <f t="shared" si="65"/>
        <v>7618.62256</v>
      </c>
      <c r="DP13" s="33">
        <f t="shared" si="66"/>
        <v>82357.69455999999</v>
      </c>
      <c r="DQ13" s="20">
        <f t="shared" si="67"/>
        <v>921.5803855999999</v>
      </c>
      <c r="DR13" s="33"/>
      <c r="DS13" s="33"/>
      <c r="DT13" s="33"/>
      <c r="DU13" s="33"/>
    </row>
    <row r="14" spans="1:125" ht="12">
      <c r="A14" s="19">
        <v>43009</v>
      </c>
      <c r="B14" s="27"/>
      <c r="D14" s="35">
        <v>313900</v>
      </c>
      <c r="E14" s="35">
        <f t="shared" si="0"/>
        <v>313900</v>
      </c>
      <c r="F14" s="35">
        <v>50309</v>
      </c>
      <c r="H14" s="51"/>
      <c r="I14" s="51">
        <v>31803.908540000004</v>
      </c>
      <c r="J14" s="51">
        <f t="shared" si="1"/>
        <v>31803.908540000004</v>
      </c>
      <c r="K14" s="51">
        <v>5097.237447400002</v>
      </c>
      <c r="M14" s="51">
        <f t="shared" si="2"/>
        <v>0</v>
      </c>
      <c r="N14" s="41">
        <f t="shared" si="3"/>
        <v>282096.0914599999</v>
      </c>
      <c r="O14" s="33">
        <f t="shared" si="4"/>
        <v>282096.0914599999</v>
      </c>
      <c r="P14" s="41">
        <f t="shared" si="3"/>
        <v>45211.76255259999</v>
      </c>
      <c r="R14" s="65"/>
      <c r="S14" s="65">
        <f t="shared" si="5"/>
        <v>78586.05782</v>
      </c>
      <c r="T14" s="20">
        <f t="shared" si="6"/>
        <v>78586.05782</v>
      </c>
      <c r="U14" s="20">
        <f t="shared" si="7"/>
        <v>12595.049324200001</v>
      </c>
      <c r="W14" s="65"/>
      <c r="X14" s="65">
        <f t="shared" si="8"/>
        <v>6063.2924</v>
      </c>
      <c r="Y14" s="20">
        <f t="shared" si="9"/>
        <v>6063.2924</v>
      </c>
      <c r="Z14" s="20">
        <f t="shared" si="10"/>
        <v>971.768644</v>
      </c>
      <c r="AC14" s="33">
        <f t="shared" si="11"/>
        <v>7510.0575</v>
      </c>
      <c r="AD14" s="33">
        <f t="shared" si="12"/>
        <v>7510.0575</v>
      </c>
      <c r="AE14" s="20">
        <f t="shared" si="13"/>
        <v>1203.642825</v>
      </c>
      <c r="AG14" s="65"/>
      <c r="AH14" s="65">
        <f t="shared" si="14"/>
        <v>3721.00199</v>
      </c>
      <c r="AI14" s="20">
        <f t="shared" si="15"/>
        <v>3721.00199</v>
      </c>
      <c r="AJ14" s="20">
        <f t="shared" si="16"/>
        <v>596.3679169</v>
      </c>
      <c r="AL14" s="65"/>
      <c r="AM14" s="65">
        <f t="shared" si="17"/>
        <v>67837.93347999999</v>
      </c>
      <c r="AN14" s="20">
        <f t="shared" si="18"/>
        <v>67837.93347999999</v>
      </c>
      <c r="AO14" s="20">
        <f t="shared" si="19"/>
        <v>10872.4389788</v>
      </c>
      <c r="AP14" s="33"/>
      <c r="AQ14" s="65"/>
      <c r="AR14" s="65">
        <f t="shared" si="20"/>
        <v>8945.365249999999</v>
      </c>
      <c r="AS14" s="20">
        <f t="shared" si="21"/>
        <v>8945.365249999999</v>
      </c>
      <c r="AT14" s="20">
        <f t="shared" si="22"/>
        <v>1433.6807274999999</v>
      </c>
      <c r="AU14" s="33"/>
      <c r="AV14" s="51"/>
      <c r="AW14" s="51">
        <f t="shared" si="23"/>
        <v>2653.3967000000002</v>
      </c>
      <c r="AX14" s="33">
        <f t="shared" si="24"/>
        <v>2653.3967000000002</v>
      </c>
      <c r="AY14" s="20">
        <f t="shared" si="25"/>
        <v>425.261977</v>
      </c>
      <c r="AZ14" s="33"/>
      <c r="BA14" s="33"/>
      <c r="BB14" s="33">
        <f t="shared" si="26"/>
        <v>1166.92325</v>
      </c>
      <c r="BC14" s="33">
        <f t="shared" si="27"/>
        <v>1166.92325</v>
      </c>
      <c r="BD14" s="20">
        <f t="shared" si="28"/>
        <v>187.0237075</v>
      </c>
      <c r="BE14" s="33"/>
      <c r="BF14" s="51"/>
      <c r="BG14" s="51">
        <f t="shared" si="29"/>
        <v>10226.579489999998</v>
      </c>
      <c r="BH14" s="33">
        <f t="shared" si="30"/>
        <v>10226.579489999998</v>
      </c>
      <c r="BI14" s="20">
        <f t="shared" si="31"/>
        <v>1639.0219419</v>
      </c>
      <c r="BJ14" s="33"/>
      <c r="BK14" s="51"/>
      <c r="BL14" s="51">
        <f t="shared" si="32"/>
        <v>791.9697</v>
      </c>
      <c r="BM14" s="33">
        <f t="shared" si="33"/>
        <v>791.9697</v>
      </c>
      <c r="BN14" s="20">
        <f t="shared" si="34"/>
        <v>126.929607</v>
      </c>
      <c r="BO14" s="33"/>
      <c r="BP14" s="51"/>
      <c r="BQ14" s="51">
        <f t="shared" si="35"/>
        <v>34108.122879999995</v>
      </c>
      <c r="BR14" s="33">
        <f t="shared" si="36"/>
        <v>34108.122879999995</v>
      </c>
      <c r="BS14" s="20">
        <f t="shared" si="37"/>
        <v>5466.5356928</v>
      </c>
      <c r="BT14" s="33"/>
      <c r="BU14" s="51"/>
      <c r="BV14" s="51">
        <f t="shared" si="38"/>
        <v>1448.5229399999998</v>
      </c>
      <c r="BW14" s="33">
        <f t="shared" si="39"/>
        <v>1448.5229399999998</v>
      </c>
      <c r="BX14" s="20">
        <f t="shared" si="40"/>
        <v>232.1559114</v>
      </c>
      <c r="BY14" s="33"/>
      <c r="BZ14" s="33"/>
      <c r="CA14" s="33">
        <f t="shared" si="41"/>
        <v>3.98653</v>
      </c>
      <c r="CB14" s="33">
        <f t="shared" si="42"/>
        <v>3.98653</v>
      </c>
      <c r="CC14" s="20">
        <f t="shared" si="43"/>
        <v>0.6389243</v>
      </c>
      <c r="CD14" s="33"/>
      <c r="CE14" s="51"/>
      <c r="CF14" s="51">
        <f t="shared" si="44"/>
        <v>1006.01811</v>
      </c>
      <c r="CG14" s="33">
        <f t="shared" si="45"/>
        <v>1006.01811</v>
      </c>
      <c r="CH14" s="20">
        <f t="shared" si="46"/>
        <v>161.2353141</v>
      </c>
      <c r="CI14" s="33"/>
      <c r="CJ14" s="51"/>
      <c r="CK14" s="51">
        <f t="shared" si="47"/>
        <v>2570.30737</v>
      </c>
      <c r="CL14" s="33">
        <f t="shared" si="48"/>
        <v>2570.30737</v>
      </c>
      <c r="CM14" s="20">
        <f t="shared" si="49"/>
        <v>411.9451847</v>
      </c>
      <c r="CN14" s="33"/>
      <c r="CO14" s="51"/>
      <c r="CP14" s="51">
        <f t="shared" si="50"/>
        <v>4344.18766</v>
      </c>
      <c r="CQ14" s="33">
        <f t="shared" si="51"/>
        <v>4344.18766</v>
      </c>
      <c r="CR14" s="20">
        <f t="shared" si="52"/>
        <v>696.2463746</v>
      </c>
      <c r="CS14" s="33"/>
      <c r="CT14" s="51"/>
      <c r="CU14" s="51">
        <f t="shared" si="53"/>
        <v>35735.69438</v>
      </c>
      <c r="CV14" s="33">
        <f t="shared" si="54"/>
        <v>35735.69438</v>
      </c>
      <c r="CW14" s="20">
        <f t="shared" si="55"/>
        <v>5727.3878578</v>
      </c>
      <c r="CX14" s="33"/>
      <c r="CY14" s="51"/>
      <c r="CZ14" s="51">
        <f t="shared" si="56"/>
        <v>670.96125</v>
      </c>
      <c r="DA14" s="33">
        <f t="shared" si="57"/>
        <v>670.96125</v>
      </c>
      <c r="DB14" s="20">
        <f t="shared" si="58"/>
        <v>107.5354875</v>
      </c>
      <c r="DC14" s="33"/>
      <c r="DD14" s="51"/>
      <c r="DE14" s="51">
        <f t="shared" si="59"/>
        <v>3197.63652</v>
      </c>
      <c r="DF14" s="33">
        <f t="shared" si="60"/>
        <v>3197.63652</v>
      </c>
      <c r="DG14" s="20">
        <f t="shared" si="61"/>
        <v>512.4877212</v>
      </c>
      <c r="DH14" s="33"/>
      <c r="DI14" s="33"/>
      <c r="DJ14" s="33">
        <f t="shared" si="62"/>
        <v>5757.930479999999</v>
      </c>
      <c r="DK14" s="33">
        <f t="shared" si="63"/>
        <v>5757.930479999999</v>
      </c>
      <c r="DL14" s="20">
        <f t="shared" si="64"/>
        <v>922.8280488</v>
      </c>
      <c r="DM14" s="33"/>
      <c r="DN14" s="51"/>
      <c r="DO14" s="51">
        <f t="shared" si="65"/>
        <v>5750.14576</v>
      </c>
      <c r="DP14" s="33">
        <f t="shared" si="66"/>
        <v>5750.14576</v>
      </c>
      <c r="DQ14" s="20">
        <f t="shared" si="67"/>
        <v>921.5803855999999</v>
      </c>
      <c r="DR14" s="33"/>
      <c r="DS14" s="33"/>
      <c r="DT14" s="33"/>
      <c r="DU14" s="33"/>
    </row>
    <row r="15" spans="1:125" ht="12">
      <c r="A15" s="19">
        <v>43191</v>
      </c>
      <c r="C15" s="35">
        <v>4285000</v>
      </c>
      <c r="D15" s="35">
        <v>313900</v>
      </c>
      <c r="E15" s="35">
        <f t="shared" si="0"/>
        <v>4598900</v>
      </c>
      <c r="F15" s="35">
        <v>50309</v>
      </c>
      <c r="H15" s="51">
        <v>434150.201</v>
      </c>
      <c r="I15" s="51">
        <v>31803.908540000004</v>
      </c>
      <c r="J15" s="51">
        <f t="shared" si="1"/>
        <v>465954.10954</v>
      </c>
      <c r="K15" s="51">
        <v>5097.237447400002</v>
      </c>
      <c r="M15" s="51">
        <f t="shared" si="2"/>
        <v>3850849.799</v>
      </c>
      <c r="N15" s="41">
        <f t="shared" si="3"/>
        <v>282096.0914599999</v>
      </c>
      <c r="O15" s="33">
        <f t="shared" si="4"/>
        <v>4132945.89046</v>
      </c>
      <c r="P15" s="41">
        <f t="shared" si="3"/>
        <v>45211.76255259999</v>
      </c>
      <c r="R15" s="65">
        <f t="shared" si="68"/>
        <v>1072766.033</v>
      </c>
      <c r="S15" s="65">
        <f t="shared" si="5"/>
        <v>78586.05782</v>
      </c>
      <c r="T15" s="20">
        <f t="shared" si="6"/>
        <v>1151352.09082</v>
      </c>
      <c r="U15" s="20">
        <f t="shared" si="7"/>
        <v>12595.049324200001</v>
      </c>
      <c r="W15" s="65">
        <f t="shared" si="69"/>
        <v>82769.06</v>
      </c>
      <c r="X15" s="65">
        <f t="shared" si="8"/>
        <v>6063.2924</v>
      </c>
      <c r="Y15" s="20">
        <f t="shared" si="9"/>
        <v>88832.3524</v>
      </c>
      <c r="Z15" s="20">
        <f t="shared" si="10"/>
        <v>971.768644</v>
      </c>
      <c r="AB15" s="33">
        <f t="shared" si="70"/>
        <v>102518.625</v>
      </c>
      <c r="AC15" s="33">
        <f t="shared" si="11"/>
        <v>7510.0575</v>
      </c>
      <c r="AD15" s="33">
        <f t="shared" si="12"/>
        <v>110028.6825</v>
      </c>
      <c r="AE15" s="20">
        <f t="shared" si="13"/>
        <v>1203.642825</v>
      </c>
      <c r="AG15" s="65">
        <f t="shared" si="71"/>
        <v>50794.81850000001</v>
      </c>
      <c r="AH15" s="65">
        <f t="shared" si="14"/>
        <v>3721.00199</v>
      </c>
      <c r="AI15" s="20">
        <f t="shared" si="15"/>
        <v>54515.820490000006</v>
      </c>
      <c r="AJ15" s="20">
        <f t="shared" si="16"/>
        <v>596.3679169</v>
      </c>
      <c r="AL15" s="65">
        <f t="shared" si="72"/>
        <v>926045.062</v>
      </c>
      <c r="AM15" s="65">
        <f t="shared" si="17"/>
        <v>67837.93347999999</v>
      </c>
      <c r="AN15" s="20">
        <f t="shared" si="18"/>
        <v>993882.99548</v>
      </c>
      <c r="AO15" s="20">
        <f t="shared" si="19"/>
        <v>10872.4389788</v>
      </c>
      <c r="AP15" s="33"/>
      <c r="AQ15" s="65">
        <f t="shared" si="73"/>
        <v>122111.7875</v>
      </c>
      <c r="AR15" s="65">
        <f t="shared" si="20"/>
        <v>8945.365249999999</v>
      </c>
      <c r="AS15" s="20">
        <f t="shared" si="21"/>
        <v>131057.15275000001</v>
      </c>
      <c r="AT15" s="20">
        <f t="shared" si="22"/>
        <v>1433.6807274999999</v>
      </c>
      <c r="AU15" s="33"/>
      <c r="AV15" s="51">
        <f t="shared" si="74"/>
        <v>36221.105</v>
      </c>
      <c r="AW15" s="51">
        <f t="shared" si="23"/>
        <v>2653.3967000000002</v>
      </c>
      <c r="AX15" s="33">
        <f t="shared" si="24"/>
        <v>38874.5017</v>
      </c>
      <c r="AY15" s="20">
        <f t="shared" si="25"/>
        <v>425.261977</v>
      </c>
      <c r="AZ15" s="33"/>
      <c r="BA15" s="33">
        <f t="shared" si="75"/>
        <v>15929.4875</v>
      </c>
      <c r="BB15" s="33">
        <f t="shared" si="26"/>
        <v>1166.92325</v>
      </c>
      <c r="BC15" s="33">
        <f t="shared" si="27"/>
        <v>17096.41075</v>
      </c>
      <c r="BD15" s="20">
        <f t="shared" si="28"/>
        <v>187.0237075</v>
      </c>
      <c r="BE15" s="33"/>
      <c r="BF15" s="51">
        <f t="shared" si="76"/>
        <v>139601.4435</v>
      </c>
      <c r="BG15" s="51">
        <f t="shared" si="29"/>
        <v>10226.579489999998</v>
      </c>
      <c r="BH15" s="33">
        <f t="shared" si="30"/>
        <v>149828.02299</v>
      </c>
      <c r="BI15" s="20">
        <f t="shared" si="31"/>
        <v>1639.0219419</v>
      </c>
      <c r="BJ15" s="33"/>
      <c r="BK15" s="51">
        <f t="shared" si="77"/>
        <v>10811.055</v>
      </c>
      <c r="BL15" s="51">
        <f t="shared" si="32"/>
        <v>791.9697</v>
      </c>
      <c r="BM15" s="33">
        <f t="shared" si="33"/>
        <v>11603.0247</v>
      </c>
      <c r="BN15" s="20">
        <f t="shared" si="34"/>
        <v>126.929607</v>
      </c>
      <c r="BO15" s="33"/>
      <c r="BP15" s="51">
        <f t="shared" si="78"/>
        <v>465604.67199999996</v>
      </c>
      <c r="BQ15" s="51">
        <f t="shared" si="35"/>
        <v>34108.122879999995</v>
      </c>
      <c r="BR15" s="33">
        <f t="shared" si="36"/>
        <v>499712.79487999994</v>
      </c>
      <c r="BS15" s="20">
        <f t="shared" si="37"/>
        <v>5466.5356928</v>
      </c>
      <c r="BT15" s="33"/>
      <c r="BU15" s="51">
        <f t="shared" si="79"/>
        <v>19773.560999999998</v>
      </c>
      <c r="BV15" s="51">
        <f t="shared" si="38"/>
        <v>1448.5229399999998</v>
      </c>
      <c r="BW15" s="33">
        <f t="shared" si="39"/>
        <v>21222.083939999997</v>
      </c>
      <c r="BX15" s="20">
        <f t="shared" si="40"/>
        <v>232.1559114</v>
      </c>
      <c r="BY15" s="33"/>
      <c r="BZ15" s="33">
        <f t="shared" si="80"/>
        <v>54.419500000000006</v>
      </c>
      <c r="CA15" s="33">
        <f t="shared" si="41"/>
        <v>3.98653</v>
      </c>
      <c r="CB15" s="33">
        <f t="shared" si="42"/>
        <v>58.40603000000001</v>
      </c>
      <c r="CC15" s="20">
        <f t="shared" si="43"/>
        <v>0.6389243</v>
      </c>
      <c r="CD15" s="33"/>
      <c r="CE15" s="51">
        <f t="shared" si="81"/>
        <v>13732.9965</v>
      </c>
      <c r="CF15" s="51">
        <f t="shared" si="44"/>
        <v>1006.01811</v>
      </c>
      <c r="CG15" s="33">
        <f t="shared" si="45"/>
        <v>14739.014609999998</v>
      </c>
      <c r="CH15" s="20">
        <f t="shared" si="46"/>
        <v>161.2353141</v>
      </c>
      <c r="CI15" s="33"/>
      <c r="CJ15" s="51">
        <f t="shared" si="82"/>
        <v>35086.8655</v>
      </c>
      <c r="CK15" s="51">
        <f t="shared" si="47"/>
        <v>2570.30737</v>
      </c>
      <c r="CL15" s="33">
        <f t="shared" si="48"/>
        <v>37657.17287</v>
      </c>
      <c r="CM15" s="20">
        <f t="shared" si="49"/>
        <v>411.9451847</v>
      </c>
      <c r="CN15" s="33"/>
      <c r="CO15" s="51">
        <f t="shared" si="83"/>
        <v>59301.829</v>
      </c>
      <c r="CP15" s="51">
        <f t="shared" si="50"/>
        <v>4344.18766</v>
      </c>
      <c r="CQ15" s="33">
        <f t="shared" si="51"/>
        <v>63646.016659999994</v>
      </c>
      <c r="CR15" s="20">
        <f t="shared" si="52"/>
        <v>696.2463746</v>
      </c>
      <c r="CS15" s="33"/>
      <c r="CT15" s="51">
        <f t="shared" si="84"/>
        <v>487822.39700000006</v>
      </c>
      <c r="CU15" s="51">
        <f t="shared" si="53"/>
        <v>35735.69438</v>
      </c>
      <c r="CV15" s="33">
        <f t="shared" si="54"/>
        <v>523558.09138000006</v>
      </c>
      <c r="CW15" s="20">
        <f t="shared" si="55"/>
        <v>5727.3878578</v>
      </c>
      <c r="CX15" s="33"/>
      <c r="CY15" s="51">
        <f t="shared" si="85"/>
        <v>9159.1875</v>
      </c>
      <c r="CZ15" s="51">
        <f t="shared" si="56"/>
        <v>670.96125</v>
      </c>
      <c r="DA15" s="33">
        <f t="shared" si="57"/>
        <v>9830.14875</v>
      </c>
      <c r="DB15" s="20">
        <f t="shared" si="58"/>
        <v>107.5354875</v>
      </c>
      <c r="DC15" s="33"/>
      <c r="DD15" s="51">
        <f t="shared" si="86"/>
        <v>43650.437999999995</v>
      </c>
      <c r="DE15" s="51">
        <f t="shared" si="59"/>
        <v>3197.63652</v>
      </c>
      <c r="DF15" s="33">
        <f t="shared" si="60"/>
        <v>46848.074519999995</v>
      </c>
      <c r="DG15" s="20">
        <f t="shared" si="61"/>
        <v>512.4877212</v>
      </c>
      <c r="DH15" s="33"/>
      <c r="DI15" s="33">
        <f t="shared" si="87"/>
        <v>78600.61200000001</v>
      </c>
      <c r="DJ15" s="33">
        <f t="shared" si="62"/>
        <v>5757.930479999999</v>
      </c>
      <c r="DK15" s="33">
        <f t="shared" si="63"/>
        <v>84358.54248</v>
      </c>
      <c r="DL15" s="20">
        <f t="shared" si="64"/>
        <v>922.8280488</v>
      </c>
      <c r="DM15" s="33"/>
      <c r="DN15" s="51">
        <f t="shared" si="88"/>
        <v>78494.344</v>
      </c>
      <c r="DO15" s="51">
        <f t="shared" si="65"/>
        <v>5750.14576</v>
      </c>
      <c r="DP15" s="33">
        <f t="shared" si="66"/>
        <v>84244.48976</v>
      </c>
      <c r="DQ15" s="20">
        <f t="shared" si="67"/>
        <v>921.5803855999999</v>
      </c>
      <c r="DR15" s="33"/>
      <c r="DS15" s="33"/>
      <c r="DT15" s="33"/>
      <c r="DU15" s="33"/>
    </row>
    <row r="16" spans="1:125" ht="12">
      <c r="A16" s="19">
        <v>43374</v>
      </c>
      <c r="D16" s="35">
        <v>206775</v>
      </c>
      <c r="E16" s="35">
        <f t="shared" si="0"/>
        <v>206775</v>
      </c>
      <c r="F16" s="35">
        <v>50309</v>
      </c>
      <c r="H16" s="51"/>
      <c r="I16" s="51">
        <v>20950.153515000005</v>
      </c>
      <c r="J16" s="51">
        <f t="shared" si="1"/>
        <v>20950.153515000005</v>
      </c>
      <c r="K16" s="51">
        <v>5097.237447400002</v>
      </c>
      <c r="M16" s="51">
        <f t="shared" si="2"/>
        <v>0</v>
      </c>
      <c r="N16" s="41">
        <f t="shared" si="3"/>
        <v>185824.846485</v>
      </c>
      <c r="O16" s="33">
        <f t="shared" si="4"/>
        <v>185824.846485</v>
      </c>
      <c r="P16" s="41">
        <f t="shared" si="3"/>
        <v>45211.76255259999</v>
      </c>
      <c r="R16" s="65"/>
      <c r="S16" s="65">
        <f t="shared" si="5"/>
        <v>51766.906995</v>
      </c>
      <c r="T16" s="20">
        <f t="shared" si="6"/>
        <v>51766.906995</v>
      </c>
      <c r="U16" s="20">
        <f t="shared" si="7"/>
        <v>12595.049324200001</v>
      </c>
      <c r="W16" s="65"/>
      <c r="X16" s="65">
        <f t="shared" si="8"/>
        <v>3994.0659</v>
      </c>
      <c r="Y16" s="20">
        <f t="shared" si="9"/>
        <v>3994.0659</v>
      </c>
      <c r="Z16" s="20">
        <f t="shared" si="10"/>
        <v>971.768644</v>
      </c>
      <c r="AC16" s="33">
        <f t="shared" si="11"/>
        <v>4947.091875</v>
      </c>
      <c r="AD16" s="33">
        <f t="shared" si="12"/>
        <v>4947.091875</v>
      </c>
      <c r="AE16" s="20">
        <f t="shared" si="13"/>
        <v>1203.642825</v>
      </c>
      <c r="AG16" s="65"/>
      <c r="AH16" s="65">
        <f t="shared" si="14"/>
        <v>2451.1315275</v>
      </c>
      <c r="AI16" s="20">
        <f t="shared" si="15"/>
        <v>2451.1315275</v>
      </c>
      <c r="AJ16" s="20">
        <f t="shared" si="16"/>
        <v>596.3679169</v>
      </c>
      <c r="AL16" s="65"/>
      <c r="AM16" s="65">
        <f t="shared" si="17"/>
        <v>44686.80693</v>
      </c>
      <c r="AN16" s="20">
        <f t="shared" si="18"/>
        <v>44686.80693</v>
      </c>
      <c r="AO16" s="20">
        <f t="shared" si="19"/>
        <v>10872.4389788</v>
      </c>
      <c r="AP16" s="33"/>
      <c r="AQ16" s="65"/>
      <c r="AR16" s="65">
        <f t="shared" si="20"/>
        <v>5892.570562499999</v>
      </c>
      <c r="AS16" s="20">
        <f t="shared" si="21"/>
        <v>5892.570562499999</v>
      </c>
      <c r="AT16" s="20">
        <f t="shared" si="22"/>
        <v>1433.6807274999999</v>
      </c>
      <c r="AU16" s="33"/>
      <c r="AV16" s="51"/>
      <c r="AW16" s="51">
        <f t="shared" si="23"/>
        <v>1747.869075</v>
      </c>
      <c r="AX16" s="33">
        <f t="shared" si="24"/>
        <v>1747.869075</v>
      </c>
      <c r="AY16" s="20">
        <f t="shared" si="25"/>
        <v>425.261977</v>
      </c>
      <c r="AZ16" s="33"/>
      <c r="BA16" s="33"/>
      <c r="BB16" s="33">
        <f t="shared" si="26"/>
        <v>768.6860625000002</v>
      </c>
      <c r="BC16" s="33">
        <f t="shared" si="27"/>
        <v>768.6860625000002</v>
      </c>
      <c r="BD16" s="20">
        <f t="shared" si="28"/>
        <v>187.0237075</v>
      </c>
      <c r="BE16" s="33"/>
      <c r="BF16" s="51"/>
      <c r="BG16" s="51">
        <f t="shared" si="29"/>
        <v>6736.5434025</v>
      </c>
      <c r="BH16" s="33">
        <f t="shared" si="30"/>
        <v>6736.5434025</v>
      </c>
      <c r="BI16" s="20">
        <f t="shared" si="31"/>
        <v>1639.0219419</v>
      </c>
      <c r="BJ16" s="33"/>
      <c r="BK16" s="51"/>
      <c r="BL16" s="51">
        <f t="shared" si="32"/>
        <v>521.6933250000001</v>
      </c>
      <c r="BM16" s="33">
        <f t="shared" si="33"/>
        <v>521.6933250000001</v>
      </c>
      <c r="BN16" s="20">
        <f t="shared" si="34"/>
        <v>126.929607</v>
      </c>
      <c r="BO16" s="33"/>
      <c r="BP16" s="51"/>
      <c r="BQ16" s="51">
        <f t="shared" si="35"/>
        <v>22468.00608</v>
      </c>
      <c r="BR16" s="33">
        <f t="shared" si="36"/>
        <v>22468.00608</v>
      </c>
      <c r="BS16" s="20">
        <f t="shared" si="37"/>
        <v>5466.5356928</v>
      </c>
      <c r="BT16" s="33"/>
      <c r="BU16" s="51"/>
      <c r="BV16" s="51">
        <f t="shared" si="38"/>
        <v>954.183915</v>
      </c>
      <c r="BW16" s="33">
        <f t="shared" si="39"/>
        <v>954.183915</v>
      </c>
      <c r="BX16" s="20">
        <f t="shared" si="40"/>
        <v>232.1559114</v>
      </c>
      <c r="BY16" s="33"/>
      <c r="BZ16" s="33"/>
      <c r="CA16" s="33">
        <f t="shared" si="41"/>
        <v>2.6260425000000005</v>
      </c>
      <c r="CB16" s="33">
        <f t="shared" si="42"/>
        <v>2.6260425000000005</v>
      </c>
      <c r="CC16" s="20">
        <f t="shared" si="43"/>
        <v>0.6389243</v>
      </c>
      <c r="CD16" s="33"/>
      <c r="CE16" s="51"/>
      <c r="CF16" s="51">
        <f t="shared" si="44"/>
        <v>662.6931975</v>
      </c>
      <c r="CG16" s="33">
        <f t="shared" si="45"/>
        <v>662.6931975</v>
      </c>
      <c r="CH16" s="20">
        <f t="shared" si="46"/>
        <v>161.2353141</v>
      </c>
      <c r="CI16" s="33"/>
      <c r="CJ16" s="51"/>
      <c r="CK16" s="51">
        <f t="shared" si="47"/>
        <v>1693.1357325</v>
      </c>
      <c r="CL16" s="33">
        <f t="shared" si="48"/>
        <v>1693.1357325</v>
      </c>
      <c r="CM16" s="20">
        <f t="shared" si="49"/>
        <v>411.9451847</v>
      </c>
      <c r="CN16" s="33"/>
      <c r="CO16" s="51"/>
      <c r="CP16" s="51">
        <f t="shared" si="50"/>
        <v>2861.641935</v>
      </c>
      <c r="CQ16" s="33">
        <f t="shared" si="51"/>
        <v>2861.641935</v>
      </c>
      <c r="CR16" s="20">
        <f t="shared" si="52"/>
        <v>696.2463746</v>
      </c>
      <c r="CS16" s="33"/>
      <c r="CT16" s="51"/>
      <c r="CU16" s="51">
        <f t="shared" si="53"/>
        <v>23540.134455</v>
      </c>
      <c r="CV16" s="33">
        <f t="shared" si="54"/>
        <v>23540.134455</v>
      </c>
      <c r="CW16" s="20">
        <f t="shared" si="55"/>
        <v>5727.3878578</v>
      </c>
      <c r="CX16" s="33"/>
      <c r="CY16" s="51"/>
      <c r="CZ16" s="51">
        <f t="shared" si="56"/>
        <v>441.9815625</v>
      </c>
      <c r="DA16" s="33">
        <f t="shared" si="57"/>
        <v>441.9815625</v>
      </c>
      <c r="DB16" s="20">
        <f t="shared" si="58"/>
        <v>107.5354875</v>
      </c>
      <c r="DC16" s="33"/>
      <c r="DD16" s="51"/>
      <c r="DE16" s="51">
        <f t="shared" si="59"/>
        <v>2106.37557</v>
      </c>
      <c r="DF16" s="33">
        <f t="shared" si="60"/>
        <v>2106.37557</v>
      </c>
      <c r="DG16" s="20">
        <f t="shared" si="61"/>
        <v>512.4877212</v>
      </c>
      <c r="DH16" s="33"/>
      <c r="DI16" s="33"/>
      <c r="DJ16" s="33">
        <f t="shared" si="62"/>
        <v>3792.91518</v>
      </c>
      <c r="DK16" s="33">
        <f t="shared" si="63"/>
        <v>3792.91518</v>
      </c>
      <c r="DL16" s="20">
        <f t="shared" si="64"/>
        <v>922.8280488</v>
      </c>
      <c r="DM16" s="33"/>
      <c r="DN16" s="51"/>
      <c r="DO16" s="51">
        <f t="shared" si="65"/>
        <v>3787.7871599999994</v>
      </c>
      <c r="DP16" s="33">
        <f t="shared" si="66"/>
        <v>3787.7871599999994</v>
      </c>
      <c r="DQ16" s="20">
        <f t="shared" si="67"/>
        <v>921.5803855999999</v>
      </c>
      <c r="DR16" s="33"/>
      <c r="DS16" s="33"/>
      <c r="DT16" s="33"/>
      <c r="DU16" s="33"/>
    </row>
    <row r="17" spans="1:125" ht="12">
      <c r="A17" s="19">
        <v>43556</v>
      </c>
      <c r="C17" s="35">
        <v>4495000</v>
      </c>
      <c r="D17" s="35">
        <v>206775</v>
      </c>
      <c r="E17" s="35">
        <f t="shared" si="0"/>
        <v>4701775</v>
      </c>
      <c r="F17" s="35">
        <v>50309</v>
      </c>
      <c r="H17" s="51">
        <v>455427.10699999996</v>
      </c>
      <c r="I17" s="51">
        <v>20950.153515000005</v>
      </c>
      <c r="J17" s="51">
        <f t="shared" si="1"/>
        <v>476377.260515</v>
      </c>
      <c r="K17" s="51">
        <v>5097.237447400002</v>
      </c>
      <c r="M17" s="51">
        <f t="shared" si="2"/>
        <v>4039572.893</v>
      </c>
      <c r="N17" s="41">
        <f t="shared" si="3"/>
        <v>185824.846485</v>
      </c>
      <c r="O17" s="33">
        <f t="shared" si="4"/>
        <v>4225397.739485</v>
      </c>
      <c r="P17" s="41">
        <f t="shared" si="3"/>
        <v>45211.76255259999</v>
      </c>
      <c r="R17" s="65">
        <f t="shared" si="68"/>
        <v>1125340.331</v>
      </c>
      <c r="S17" s="65">
        <f t="shared" si="5"/>
        <v>51766.906995</v>
      </c>
      <c r="T17" s="20">
        <f t="shared" si="6"/>
        <v>1177107.237995</v>
      </c>
      <c r="U17" s="20">
        <f t="shared" si="7"/>
        <v>12595.049324200001</v>
      </c>
      <c r="W17" s="65">
        <f t="shared" si="69"/>
        <v>86825.42</v>
      </c>
      <c r="X17" s="65">
        <f t="shared" si="8"/>
        <v>3994.0659</v>
      </c>
      <c r="Y17" s="20">
        <f t="shared" si="9"/>
        <v>90819.4859</v>
      </c>
      <c r="Z17" s="20">
        <f t="shared" si="10"/>
        <v>971.768644</v>
      </c>
      <c r="AB17" s="33">
        <f t="shared" si="70"/>
        <v>107542.875</v>
      </c>
      <c r="AC17" s="33">
        <f t="shared" si="11"/>
        <v>4947.091875</v>
      </c>
      <c r="AD17" s="33">
        <f t="shared" si="12"/>
        <v>112489.966875</v>
      </c>
      <c r="AE17" s="20">
        <f t="shared" si="13"/>
        <v>1203.642825</v>
      </c>
      <c r="AG17" s="65">
        <f t="shared" si="71"/>
        <v>53284.1795</v>
      </c>
      <c r="AH17" s="65">
        <f t="shared" si="14"/>
        <v>2451.1315275</v>
      </c>
      <c r="AI17" s="20">
        <f t="shared" si="15"/>
        <v>55735.3110275</v>
      </c>
      <c r="AJ17" s="20">
        <f t="shared" si="16"/>
        <v>596.3679169</v>
      </c>
      <c r="AL17" s="65">
        <f t="shared" si="72"/>
        <v>971428.8339999999</v>
      </c>
      <c r="AM17" s="65">
        <f t="shared" si="17"/>
        <v>44686.80693</v>
      </c>
      <c r="AN17" s="20">
        <f t="shared" si="18"/>
        <v>1016115.6409299999</v>
      </c>
      <c r="AO17" s="20">
        <f t="shared" si="19"/>
        <v>10872.4389788</v>
      </c>
      <c r="AP17" s="33"/>
      <c r="AQ17" s="65">
        <f t="shared" si="73"/>
        <v>128096.26249999998</v>
      </c>
      <c r="AR17" s="65">
        <f t="shared" si="20"/>
        <v>5892.570562499999</v>
      </c>
      <c r="AS17" s="20">
        <f t="shared" si="21"/>
        <v>133988.8330625</v>
      </c>
      <c r="AT17" s="20">
        <f t="shared" si="22"/>
        <v>1433.6807274999999</v>
      </c>
      <c r="AU17" s="33"/>
      <c r="AV17" s="51">
        <f t="shared" si="74"/>
        <v>37996.235</v>
      </c>
      <c r="AW17" s="51">
        <f t="shared" si="23"/>
        <v>1747.869075</v>
      </c>
      <c r="AX17" s="33">
        <f t="shared" si="24"/>
        <v>39744.104075</v>
      </c>
      <c r="AY17" s="20">
        <f t="shared" si="25"/>
        <v>425.261977</v>
      </c>
      <c r="AZ17" s="33"/>
      <c r="BA17" s="33">
        <f t="shared" si="75"/>
        <v>16710.1625</v>
      </c>
      <c r="BB17" s="33">
        <f t="shared" si="26"/>
        <v>768.6860625000002</v>
      </c>
      <c r="BC17" s="33">
        <f t="shared" si="27"/>
        <v>17478.8485625</v>
      </c>
      <c r="BD17" s="20">
        <f t="shared" si="28"/>
        <v>187.0237075</v>
      </c>
      <c r="BE17" s="33"/>
      <c r="BF17" s="51">
        <f t="shared" si="76"/>
        <v>146443.0545</v>
      </c>
      <c r="BG17" s="51">
        <f t="shared" si="29"/>
        <v>6736.5434025</v>
      </c>
      <c r="BH17" s="33">
        <f t="shared" si="30"/>
        <v>153179.5979025</v>
      </c>
      <c r="BI17" s="20">
        <f t="shared" si="31"/>
        <v>1639.0219419</v>
      </c>
      <c r="BJ17" s="33"/>
      <c r="BK17" s="51">
        <f t="shared" si="77"/>
        <v>11340.885</v>
      </c>
      <c r="BL17" s="51">
        <f t="shared" si="32"/>
        <v>521.6933250000001</v>
      </c>
      <c r="BM17" s="33">
        <f t="shared" si="33"/>
        <v>11862.578325</v>
      </c>
      <c r="BN17" s="20">
        <f t="shared" si="34"/>
        <v>126.929607</v>
      </c>
      <c r="BO17" s="33"/>
      <c r="BP17" s="51">
        <f t="shared" si="78"/>
        <v>488423.104</v>
      </c>
      <c r="BQ17" s="51">
        <f t="shared" si="35"/>
        <v>22468.00608</v>
      </c>
      <c r="BR17" s="33">
        <f t="shared" si="36"/>
        <v>510891.11008</v>
      </c>
      <c r="BS17" s="20">
        <f t="shared" si="37"/>
        <v>5466.5356928</v>
      </c>
      <c r="BT17" s="33"/>
      <c r="BU17" s="51">
        <f t="shared" si="79"/>
        <v>20742.627</v>
      </c>
      <c r="BV17" s="51">
        <f t="shared" si="38"/>
        <v>954.183915</v>
      </c>
      <c r="BW17" s="33">
        <f t="shared" si="39"/>
        <v>21696.810915000002</v>
      </c>
      <c r="BX17" s="20">
        <f t="shared" si="40"/>
        <v>232.1559114</v>
      </c>
      <c r="BY17" s="33"/>
      <c r="BZ17" s="33">
        <f t="shared" si="80"/>
        <v>57.08650000000001</v>
      </c>
      <c r="CA17" s="33">
        <f t="shared" si="41"/>
        <v>2.6260425000000005</v>
      </c>
      <c r="CB17" s="33">
        <f t="shared" si="42"/>
        <v>59.71254250000001</v>
      </c>
      <c r="CC17" s="20">
        <f t="shared" si="43"/>
        <v>0.6389243</v>
      </c>
      <c r="CD17" s="33"/>
      <c r="CE17" s="51">
        <f t="shared" si="81"/>
        <v>14406.0255</v>
      </c>
      <c r="CF17" s="51">
        <f t="shared" si="44"/>
        <v>662.6931975</v>
      </c>
      <c r="CG17" s="33">
        <f t="shared" si="45"/>
        <v>15068.7186975</v>
      </c>
      <c r="CH17" s="20">
        <f t="shared" si="46"/>
        <v>161.2353141</v>
      </c>
      <c r="CI17" s="33"/>
      <c r="CJ17" s="51">
        <f t="shared" si="82"/>
        <v>36806.4085</v>
      </c>
      <c r="CK17" s="51">
        <f t="shared" si="47"/>
        <v>1693.1357325</v>
      </c>
      <c r="CL17" s="33">
        <f t="shared" si="48"/>
        <v>38499.5442325</v>
      </c>
      <c r="CM17" s="20">
        <f t="shared" si="49"/>
        <v>411.9451847</v>
      </c>
      <c r="CN17" s="33"/>
      <c r="CO17" s="51">
        <f t="shared" si="83"/>
        <v>62208.102999999996</v>
      </c>
      <c r="CP17" s="51">
        <f t="shared" si="50"/>
        <v>2861.641935</v>
      </c>
      <c r="CQ17" s="33">
        <f t="shared" si="51"/>
        <v>65069.744934999995</v>
      </c>
      <c r="CR17" s="20">
        <f t="shared" si="52"/>
        <v>696.2463746</v>
      </c>
      <c r="CS17" s="33"/>
      <c r="CT17" s="51">
        <f t="shared" si="84"/>
        <v>511729.679</v>
      </c>
      <c r="CU17" s="51">
        <f t="shared" si="53"/>
        <v>23540.134455</v>
      </c>
      <c r="CV17" s="33">
        <f t="shared" si="54"/>
        <v>535269.813455</v>
      </c>
      <c r="CW17" s="20">
        <f t="shared" si="55"/>
        <v>5727.3878578</v>
      </c>
      <c r="CX17" s="33"/>
      <c r="CY17" s="51">
        <f t="shared" si="85"/>
        <v>9608.0625</v>
      </c>
      <c r="CZ17" s="51">
        <f t="shared" si="56"/>
        <v>441.9815625</v>
      </c>
      <c r="DA17" s="33">
        <f t="shared" si="57"/>
        <v>10050.0440625</v>
      </c>
      <c r="DB17" s="20">
        <f t="shared" si="58"/>
        <v>107.5354875</v>
      </c>
      <c r="DC17" s="33"/>
      <c r="DD17" s="51">
        <f t="shared" si="86"/>
        <v>45789.666000000005</v>
      </c>
      <c r="DE17" s="51">
        <f t="shared" si="59"/>
        <v>2106.37557</v>
      </c>
      <c r="DF17" s="33">
        <f t="shared" si="60"/>
        <v>47896.04157</v>
      </c>
      <c r="DG17" s="20">
        <f t="shared" si="61"/>
        <v>512.4877212</v>
      </c>
      <c r="DH17" s="33"/>
      <c r="DI17" s="33">
        <f t="shared" si="87"/>
        <v>82452.684</v>
      </c>
      <c r="DJ17" s="33">
        <f t="shared" si="62"/>
        <v>3792.91518</v>
      </c>
      <c r="DK17" s="33">
        <f t="shared" si="63"/>
        <v>86245.59917999999</v>
      </c>
      <c r="DL17" s="20">
        <f t="shared" si="64"/>
        <v>922.8280488</v>
      </c>
      <c r="DM17" s="33"/>
      <c r="DN17" s="51">
        <f t="shared" si="88"/>
        <v>82341.208</v>
      </c>
      <c r="DO17" s="51">
        <f t="shared" si="65"/>
        <v>3787.7871599999994</v>
      </c>
      <c r="DP17" s="33">
        <f t="shared" si="66"/>
        <v>86128.99515999999</v>
      </c>
      <c r="DQ17" s="20">
        <f t="shared" si="67"/>
        <v>921.5803855999999</v>
      </c>
      <c r="DR17" s="33"/>
      <c r="DS17" s="33"/>
      <c r="DT17" s="33"/>
      <c r="DU17" s="33"/>
    </row>
    <row r="18" spans="1:125" ht="12">
      <c r="A18" s="19">
        <v>43739</v>
      </c>
      <c r="D18" s="35">
        <v>94400</v>
      </c>
      <c r="E18" s="35">
        <f t="shared" si="0"/>
        <v>94400</v>
      </c>
      <c r="F18" s="35">
        <v>50309</v>
      </c>
      <c r="H18" s="51"/>
      <c r="I18" s="51">
        <v>9564.47584</v>
      </c>
      <c r="J18" s="51">
        <f t="shared" si="1"/>
        <v>9564.47584</v>
      </c>
      <c r="K18" s="51">
        <v>5097.237447400002</v>
      </c>
      <c r="M18" s="51">
        <f t="shared" si="2"/>
        <v>0</v>
      </c>
      <c r="N18" s="41">
        <f t="shared" si="3"/>
        <v>84835.52415999997</v>
      </c>
      <c r="O18" s="33">
        <f t="shared" si="4"/>
        <v>84835.52415999997</v>
      </c>
      <c r="P18" s="41">
        <f t="shared" si="3"/>
        <v>45211.76255259999</v>
      </c>
      <c r="R18" s="65"/>
      <c r="S18" s="65">
        <f t="shared" si="5"/>
        <v>23633.39872</v>
      </c>
      <c r="T18" s="20">
        <f t="shared" si="6"/>
        <v>23633.39872</v>
      </c>
      <c r="U18" s="20">
        <f t="shared" si="7"/>
        <v>12595.049324200001</v>
      </c>
      <c r="W18" s="65"/>
      <c r="X18" s="65">
        <f t="shared" si="8"/>
        <v>1823.4304000000002</v>
      </c>
      <c r="Y18" s="20">
        <f t="shared" si="9"/>
        <v>1823.4304000000002</v>
      </c>
      <c r="Z18" s="20">
        <f t="shared" si="10"/>
        <v>971.768644</v>
      </c>
      <c r="AC18" s="33">
        <f t="shared" si="11"/>
        <v>2258.52</v>
      </c>
      <c r="AD18" s="33">
        <f t="shared" si="12"/>
        <v>2258.52</v>
      </c>
      <c r="AE18" s="20">
        <f t="shared" si="13"/>
        <v>1203.642825</v>
      </c>
      <c r="AG18" s="65"/>
      <c r="AH18" s="65">
        <f t="shared" si="14"/>
        <v>1119.0270400000002</v>
      </c>
      <c r="AI18" s="20">
        <f t="shared" si="15"/>
        <v>1119.0270400000002</v>
      </c>
      <c r="AJ18" s="20">
        <f t="shared" si="16"/>
        <v>596.3679169</v>
      </c>
      <c r="AL18" s="65"/>
      <c r="AM18" s="65">
        <f t="shared" si="17"/>
        <v>20401.08608</v>
      </c>
      <c r="AN18" s="20">
        <f t="shared" si="18"/>
        <v>20401.08608</v>
      </c>
      <c r="AO18" s="20">
        <f t="shared" si="19"/>
        <v>10872.4389788</v>
      </c>
      <c r="AP18" s="33"/>
      <c r="AQ18" s="65"/>
      <c r="AR18" s="65">
        <f t="shared" si="20"/>
        <v>2690.1639999999998</v>
      </c>
      <c r="AS18" s="20">
        <f t="shared" si="21"/>
        <v>2690.1639999999998</v>
      </c>
      <c r="AT18" s="20">
        <f t="shared" si="22"/>
        <v>1433.6807274999999</v>
      </c>
      <c r="AU18" s="33"/>
      <c r="AV18" s="51"/>
      <c r="AW18" s="51">
        <f t="shared" si="23"/>
        <v>797.9632</v>
      </c>
      <c r="AX18" s="33">
        <f t="shared" si="24"/>
        <v>797.9632</v>
      </c>
      <c r="AY18" s="20">
        <f t="shared" si="25"/>
        <v>425.261977</v>
      </c>
      <c r="AZ18" s="33"/>
      <c r="BA18" s="33"/>
      <c r="BB18" s="33">
        <f t="shared" si="26"/>
        <v>350.932</v>
      </c>
      <c r="BC18" s="33">
        <f t="shared" si="27"/>
        <v>350.932</v>
      </c>
      <c r="BD18" s="20">
        <f t="shared" si="28"/>
        <v>187.0237075</v>
      </c>
      <c r="BE18" s="33"/>
      <c r="BF18" s="51"/>
      <c r="BG18" s="51">
        <f t="shared" si="29"/>
        <v>3075.4670399999995</v>
      </c>
      <c r="BH18" s="33">
        <f t="shared" si="30"/>
        <v>3075.4670399999995</v>
      </c>
      <c r="BI18" s="20">
        <f t="shared" si="31"/>
        <v>1639.0219419</v>
      </c>
      <c r="BJ18" s="33"/>
      <c r="BK18" s="51"/>
      <c r="BL18" s="51">
        <f t="shared" si="32"/>
        <v>238.17120000000003</v>
      </c>
      <c r="BM18" s="33">
        <f t="shared" si="33"/>
        <v>238.17120000000003</v>
      </c>
      <c r="BN18" s="20">
        <f t="shared" si="34"/>
        <v>126.929607</v>
      </c>
      <c r="BO18" s="33"/>
      <c r="BP18" s="51"/>
      <c r="BQ18" s="51">
        <f t="shared" si="35"/>
        <v>10257.428479999999</v>
      </c>
      <c r="BR18" s="33">
        <f t="shared" si="36"/>
        <v>10257.428479999999</v>
      </c>
      <c r="BS18" s="20">
        <f t="shared" si="37"/>
        <v>5466.5356928</v>
      </c>
      <c r="BT18" s="33"/>
      <c r="BU18" s="51"/>
      <c r="BV18" s="51">
        <f t="shared" si="38"/>
        <v>435.61824</v>
      </c>
      <c r="BW18" s="33">
        <f t="shared" si="39"/>
        <v>435.61824</v>
      </c>
      <c r="BX18" s="20">
        <f t="shared" si="40"/>
        <v>232.1559114</v>
      </c>
      <c r="BY18" s="33"/>
      <c r="BZ18" s="33"/>
      <c r="CA18" s="33">
        <f t="shared" si="41"/>
        <v>1.19888</v>
      </c>
      <c r="CB18" s="33">
        <f t="shared" si="42"/>
        <v>1.19888</v>
      </c>
      <c r="CC18" s="20">
        <f t="shared" si="43"/>
        <v>0.6389243</v>
      </c>
      <c r="CD18" s="33"/>
      <c r="CE18" s="51"/>
      <c r="CF18" s="51">
        <f t="shared" si="44"/>
        <v>302.54256000000004</v>
      </c>
      <c r="CG18" s="33">
        <f t="shared" si="45"/>
        <v>302.54256000000004</v>
      </c>
      <c r="CH18" s="20">
        <f t="shared" si="46"/>
        <v>161.2353141</v>
      </c>
      <c r="CI18" s="33"/>
      <c r="CJ18" s="51"/>
      <c r="CK18" s="51">
        <f t="shared" si="47"/>
        <v>772.97552</v>
      </c>
      <c r="CL18" s="33">
        <f t="shared" si="48"/>
        <v>772.97552</v>
      </c>
      <c r="CM18" s="20">
        <f t="shared" si="49"/>
        <v>411.9451847</v>
      </c>
      <c r="CN18" s="33"/>
      <c r="CO18" s="51"/>
      <c r="CP18" s="51">
        <f t="shared" si="50"/>
        <v>1306.43936</v>
      </c>
      <c r="CQ18" s="33">
        <f t="shared" si="51"/>
        <v>1306.43936</v>
      </c>
      <c r="CR18" s="20">
        <f t="shared" si="52"/>
        <v>696.2463746</v>
      </c>
      <c r="CS18" s="33"/>
      <c r="CT18" s="51"/>
      <c r="CU18" s="51">
        <f t="shared" si="53"/>
        <v>10746.892480000002</v>
      </c>
      <c r="CV18" s="33">
        <f t="shared" si="54"/>
        <v>10746.892480000002</v>
      </c>
      <c r="CW18" s="20">
        <f t="shared" si="55"/>
        <v>5727.3878578</v>
      </c>
      <c r="CX18" s="33"/>
      <c r="CY18" s="51"/>
      <c r="CZ18" s="51">
        <f t="shared" si="56"/>
        <v>201.78</v>
      </c>
      <c r="DA18" s="33">
        <f t="shared" si="57"/>
        <v>201.78</v>
      </c>
      <c r="DB18" s="20">
        <f t="shared" si="58"/>
        <v>107.5354875</v>
      </c>
      <c r="DC18" s="33"/>
      <c r="DD18" s="51"/>
      <c r="DE18" s="51">
        <f t="shared" si="59"/>
        <v>961.6339200000001</v>
      </c>
      <c r="DF18" s="33">
        <f t="shared" si="60"/>
        <v>961.6339200000001</v>
      </c>
      <c r="DG18" s="20">
        <f t="shared" si="61"/>
        <v>512.4877212</v>
      </c>
      <c r="DH18" s="33"/>
      <c r="DI18" s="33"/>
      <c r="DJ18" s="33">
        <f t="shared" si="62"/>
        <v>1731.59808</v>
      </c>
      <c r="DK18" s="33">
        <f t="shared" si="63"/>
        <v>1731.59808</v>
      </c>
      <c r="DL18" s="20">
        <f t="shared" si="64"/>
        <v>922.8280488</v>
      </c>
      <c r="DM18" s="33"/>
      <c r="DN18" s="51"/>
      <c r="DO18" s="51">
        <f t="shared" si="65"/>
        <v>1729.25696</v>
      </c>
      <c r="DP18" s="33">
        <f t="shared" si="66"/>
        <v>1729.25696</v>
      </c>
      <c r="DQ18" s="20">
        <f t="shared" si="67"/>
        <v>921.5803855999999</v>
      </c>
      <c r="DR18" s="33"/>
      <c r="DS18" s="33"/>
      <c r="DT18" s="33"/>
      <c r="DU18" s="33"/>
    </row>
    <row r="19" spans="1:125" ht="12">
      <c r="A19" s="52">
        <v>43922</v>
      </c>
      <c r="C19" s="35">
        <v>4720000</v>
      </c>
      <c r="D19" s="35">
        <v>94400</v>
      </c>
      <c r="E19" s="35">
        <f t="shared" si="0"/>
        <v>4814400</v>
      </c>
      <c r="F19" s="35">
        <v>50309</v>
      </c>
      <c r="H19" s="51">
        <v>478223.7920000001</v>
      </c>
      <c r="I19" s="51">
        <v>9564.47584</v>
      </c>
      <c r="J19" s="51">
        <f t="shared" si="1"/>
        <v>487788.2678400001</v>
      </c>
      <c r="K19" s="51">
        <v>5097.237447400002</v>
      </c>
      <c r="M19" s="51">
        <f t="shared" si="2"/>
        <v>4241776.208000001</v>
      </c>
      <c r="N19" s="41">
        <f t="shared" si="3"/>
        <v>84835.52415999997</v>
      </c>
      <c r="O19" s="33">
        <f t="shared" si="4"/>
        <v>4326611.73216</v>
      </c>
      <c r="P19" s="41">
        <f t="shared" si="3"/>
        <v>45211.76255259999</v>
      </c>
      <c r="R19" s="65">
        <f t="shared" si="68"/>
        <v>1181669.936</v>
      </c>
      <c r="S19" s="65">
        <f t="shared" si="5"/>
        <v>23633.39872</v>
      </c>
      <c r="T19" s="20">
        <f t="shared" si="6"/>
        <v>1205303.33472</v>
      </c>
      <c r="U19" s="20">
        <f t="shared" si="7"/>
        <v>12595.049324200001</v>
      </c>
      <c r="W19" s="65">
        <f t="shared" si="69"/>
        <v>91171.52</v>
      </c>
      <c r="X19" s="65">
        <f t="shared" si="8"/>
        <v>1823.4304000000002</v>
      </c>
      <c r="Y19" s="20">
        <f t="shared" si="9"/>
        <v>92994.9504</v>
      </c>
      <c r="Z19" s="20">
        <f t="shared" si="10"/>
        <v>971.768644</v>
      </c>
      <c r="AB19" s="33">
        <f t="shared" si="70"/>
        <v>112926</v>
      </c>
      <c r="AC19" s="33">
        <f t="shared" si="11"/>
        <v>2258.52</v>
      </c>
      <c r="AD19" s="33">
        <f t="shared" si="12"/>
        <v>115184.52</v>
      </c>
      <c r="AE19" s="20">
        <f t="shared" si="13"/>
        <v>1203.642825</v>
      </c>
      <c r="AG19" s="65">
        <f t="shared" si="71"/>
        <v>55951.352</v>
      </c>
      <c r="AH19" s="65">
        <f t="shared" si="14"/>
        <v>1119.0270400000002</v>
      </c>
      <c r="AI19" s="20">
        <f t="shared" si="15"/>
        <v>57070.37904</v>
      </c>
      <c r="AJ19" s="20">
        <f t="shared" si="16"/>
        <v>596.3679169</v>
      </c>
      <c r="AL19" s="65">
        <f t="shared" si="72"/>
        <v>1020054.3039999999</v>
      </c>
      <c r="AM19" s="65">
        <f t="shared" si="17"/>
        <v>20401.08608</v>
      </c>
      <c r="AN19" s="20">
        <f t="shared" si="18"/>
        <v>1040455.3900799999</v>
      </c>
      <c r="AO19" s="20">
        <f t="shared" si="19"/>
        <v>10872.4389788</v>
      </c>
      <c r="AP19" s="33"/>
      <c r="AQ19" s="65">
        <f t="shared" si="73"/>
        <v>134508.19999999998</v>
      </c>
      <c r="AR19" s="65">
        <f t="shared" si="20"/>
        <v>2690.1639999999998</v>
      </c>
      <c r="AS19" s="20">
        <f t="shared" si="21"/>
        <v>137198.36399999997</v>
      </c>
      <c r="AT19" s="20">
        <f t="shared" si="22"/>
        <v>1433.6807274999999</v>
      </c>
      <c r="AU19" s="33"/>
      <c r="AV19" s="51">
        <f t="shared" si="74"/>
        <v>39898.16</v>
      </c>
      <c r="AW19" s="51">
        <f t="shared" si="23"/>
        <v>797.9632</v>
      </c>
      <c r="AX19" s="33">
        <f t="shared" si="24"/>
        <v>40696.1232</v>
      </c>
      <c r="AY19" s="20">
        <f t="shared" si="25"/>
        <v>425.261977</v>
      </c>
      <c r="AZ19" s="33"/>
      <c r="BA19" s="33">
        <f t="shared" si="75"/>
        <v>17546.600000000002</v>
      </c>
      <c r="BB19" s="33">
        <f t="shared" si="26"/>
        <v>350.932</v>
      </c>
      <c r="BC19" s="33">
        <f t="shared" si="27"/>
        <v>17897.532000000003</v>
      </c>
      <c r="BD19" s="20">
        <f t="shared" si="28"/>
        <v>187.0237075</v>
      </c>
      <c r="BE19" s="33"/>
      <c r="BF19" s="51">
        <f t="shared" si="76"/>
        <v>153773.35199999998</v>
      </c>
      <c r="BG19" s="51">
        <f t="shared" si="29"/>
        <v>3075.4670399999995</v>
      </c>
      <c r="BH19" s="33">
        <f t="shared" si="30"/>
        <v>156848.81903999997</v>
      </c>
      <c r="BI19" s="20">
        <f t="shared" si="31"/>
        <v>1639.0219419</v>
      </c>
      <c r="BJ19" s="33"/>
      <c r="BK19" s="51">
        <f t="shared" si="77"/>
        <v>11908.56</v>
      </c>
      <c r="BL19" s="51">
        <f t="shared" si="32"/>
        <v>238.17120000000003</v>
      </c>
      <c r="BM19" s="33">
        <f t="shared" si="33"/>
        <v>12146.7312</v>
      </c>
      <c r="BN19" s="20">
        <f t="shared" si="34"/>
        <v>126.929607</v>
      </c>
      <c r="BO19" s="33"/>
      <c r="BP19" s="51">
        <f t="shared" si="78"/>
        <v>512871.424</v>
      </c>
      <c r="BQ19" s="51">
        <f t="shared" si="35"/>
        <v>10257.428479999999</v>
      </c>
      <c r="BR19" s="33">
        <f t="shared" si="36"/>
        <v>523128.85248</v>
      </c>
      <c r="BS19" s="20">
        <f t="shared" si="37"/>
        <v>5466.5356928</v>
      </c>
      <c r="BT19" s="33"/>
      <c r="BU19" s="51">
        <f t="shared" si="79"/>
        <v>21780.911999999997</v>
      </c>
      <c r="BV19" s="51">
        <f t="shared" si="38"/>
        <v>435.61824</v>
      </c>
      <c r="BW19" s="33">
        <f t="shared" si="39"/>
        <v>22216.530239999996</v>
      </c>
      <c r="BX19" s="20">
        <f t="shared" si="40"/>
        <v>232.1559114</v>
      </c>
      <c r="BY19" s="33"/>
      <c r="BZ19" s="33">
        <f t="shared" si="80"/>
        <v>59.944</v>
      </c>
      <c r="CA19" s="33">
        <f t="shared" si="41"/>
        <v>1.19888</v>
      </c>
      <c r="CB19" s="33">
        <f t="shared" si="42"/>
        <v>61.142880000000005</v>
      </c>
      <c r="CC19" s="20">
        <f t="shared" si="43"/>
        <v>0.6389243</v>
      </c>
      <c r="CD19" s="33"/>
      <c r="CE19" s="51">
        <f t="shared" si="81"/>
        <v>15127.128</v>
      </c>
      <c r="CF19" s="51">
        <f t="shared" si="44"/>
        <v>302.54256000000004</v>
      </c>
      <c r="CG19" s="33">
        <f t="shared" si="45"/>
        <v>15429.67056</v>
      </c>
      <c r="CH19" s="20">
        <f t="shared" si="46"/>
        <v>161.2353141</v>
      </c>
      <c r="CI19" s="33"/>
      <c r="CJ19" s="51">
        <f t="shared" si="82"/>
        <v>38648.776</v>
      </c>
      <c r="CK19" s="51">
        <f t="shared" si="47"/>
        <v>772.97552</v>
      </c>
      <c r="CL19" s="33">
        <f t="shared" si="48"/>
        <v>39421.75152</v>
      </c>
      <c r="CM19" s="20">
        <f t="shared" si="49"/>
        <v>411.9451847</v>
      </c>
      <c r="CN19" s="33"/>
      <c r="CO19" s="51">
        <f t="shared" si="83"/>
        <v>65321.968</v>
      </c>
      <c r="CP19" s="51">
        <f t="shared" si="50"/>
        <v>1306.43936</v>
      </c>
      <c r="CQ19" s="33">
        <f t="shared" si="51"/>
        <v>66628.40736</v>
      </c>
      <c r="CR19" s="20">
        <f t="shared" si="52"/>
        <v>696.2463746</v>
      </c>
      <c r="CS19" s="33"/>
      <c r="CT19" s="51">
        <f t="shared" si="84"/>
        <v>537344.624</v>
      </c>
      <c r="CU19" s="51">
        <f t="shared" si="53"/>
        <v>10746.892480000002</v>
      </c>
      <c r="CV19" s="33">
        <f t="shared" si="54"/>
        <v>548091.51648</v>
      </c>
      <c r="CW19" s="20">
        <f t="shared" si="55"/>
        <v>5727.3878578</v>
      </c>
      <c r="CX19" s="33"/>
      <c r="CY19" s="51">
        <f t="shared" si="85"/>
        <v>10089</v>
      </c>
      <c r="CZ19" s="51">
        <f t="shared" si="56"/>
        <v>201.78</v>
      </c>
      <c r="DA19" s="33">
        <f t="shared" si="57"/>
        <v>10290.78</v>
      </c>
      <c r="DB19" s="20">
        <f t="shared" si="58"/>
        <v>107.5354875</v>
      </c>
      <c r="DC19" s="33"/>
      <c r="DD19" s="51">
        <f t="shared" si="86"/>
        <v>48081.696</v>
      </c>
      <c r="DE19" s="51">
        <f t="shared" si="59"/>
        <v>961.6339200000001</v>
      </c>
      <c r="DF19" s="33">
        <f t="shared" si="60"/>
        <v>49043.329920000004</v>
      </c>
      <c r="DG19" s="20">
        <f t="shared" si="61"/>
        <v>512.4877212</v>
      </c>
      <c r="DH19" s="33"/>
      <c r="DI19" s="33">
        <f t="shared" si="87"/>
        <v>86579.90400000001</v>
      </c>
      <c r="DJ19" s="33">
        <f t="shared" si="62"/>
        <v>1731.59808</v>
      </c>
      <c r="DK19" s="33">
        <f t="shared" si="63"/>
        <v>88311.50208</v>
      </c>
      <c r="DL19" s="20">
        <f t="shared" si="64"/>
        <v>922.8280488</v>
      </c>
      <c r="DM19" s="33"/>
      <c r="DN19" s="51">
        <f t="shared" si="88"/>
        <v>86462.84799999998</v>
      </c>
      <c r="DO19" s="51">
        <f t="shared" si="65"/>
        <v>1729.25696</v>
      </c>
      <c r="DP19" s="33">
        <f t="shared" si="66"/>
        <v>88192.10495999998</v>
      </c>
      <c r="DQ19" s="20">
        <f t="shared" si="67"/>
        <v>921.5803855999999</v>
      </c>
      <c r="DR19" s="33"/>
      <c r="DS19" s="33"/>
      <c r="DT19" s="33"/>
      <c r="DU19" s="33"/>
    </row>
    <row r="20" spans="1:125" ht="12">
      <c r="A20" s="52">
        <v>44105</v>
      </c>
      <c r="E20" s="35">
        <f t="shared" si="0"/>
        <v>0</v>
      </c>
      <c r="H20" s="51"/>
      <c r="I20" s="51"/>
      <c r="J20" s="51">
        <f t="shared" si="1"/>
        <v>0</v>
      </c>
      <c r="K20" s="51"/>
      <c r="M20" s="51">
        <f t="shared" si="2"/>
        <v>0</v>
      </c>
      <c r="N20" s="41">
        <f t="shared" si="3"/>
        <v>0</v>
      </c>
      <c r="O20" s="33">
        <f t="shared" si="4"/>
        <v>0</v>
      </c>
      <c r="P20" s="41">
        <f t="shared" si="3"/>
        <v>0</v>
      </c>
      <c r="R20" s="65"/>
      <c r="S20" s="65">
        <f t="shared" si="5"/>
        <v>0</v>
      </c>
      <c r="T20" s="20">
        <f t="shared" si="6"/>
        <v>0</v>
      </c>
      <c r="U20" s="20">
        <f t="shared" si="7"/>
        <v>0</v>
      </c>
      <c r="W20" s="65"/>
      <c r="X20" s="65">
        <f t="shared" si="8"/>
        <v>0</v>
      </c>
      <c r="Y20" s="20">
        <f t="shared" si="9"/>
        <v>0</v>
      </c>
      <c r="Z20" s="20">
        <f t="shared" si="10"/>
        <v>0</v>
      </c>
      <c r="AC20" s="33">
        <f t="shared" si="11"/>
        <v>0</v>
      </c>
      <c r="AD20" s="33">
        <f t="shared" si="12"/>
        <v>0</v>
      </c>
      <c r="AE20" s="20">
        <f t="shared" si="13"/>
        <v>0</v>
      </c>
      <c r="AG20" s="65"/>
      <c r="AH20" s="65">
        <f t="shared" si="14"/>
        <v>0</v>
      </c>
      <c r="AI20" s="20">
        <f t="shared" si="15"/>
        <v>0</v>
      </c>
      <c r="AJ20" s="20">
        <f t="shared" si="16"/>
        <v>0</v>
      </c>
      <c r="AL20" s="65"/>
      <c r="AM20" s="65">
        <f t="shared" si="17"/>
        <v>0</v>
      </c>
      <c r="AN20" s="20">
        <f t="shared" si="18"/>
        <v>0</v>
      </c>
      <c r="AO20" s="20">
        <f t="shared" si="19"/>
        <v>0</v>
      </c>
      <c r="AP20" s="33"/>
      <c r="AQ20" s="65"/>
      <c r="AR20" s="65">
        <f t="shared" si="20"/>
        <v>0</v>
      </c>
      <c r="AS20" s="20">
        <f t="shared" si="21"/>
        <v>0</v>
      </c>
      <c r="AT20" s="20">
        <f t="shared" si="22"/>
        <v>0</v>
      </c>
      <c r="AU20" s="33"/>
      <c r="AV20" s="51"/>
      <c r="AW20" s="51">
        <f t="shared" si="23"/>
        <v>0</v>
      </c>
      <c r="AX20" s="33">
        <f t="shared" si="24"/>
        <v>0</v>
      </c>
      <c r="AY20" s="20">
        <f t="shared" si="25"/>
        <v>0</v>
      </c>
      <c r="AZ20" s="33"/>
      <c r="BA20" s="33"/>
      <c r="BB20" s="33">
        <f t="shared" si="26"/>
        <v>0</v>
      </c>
      <c r="BC20" s="33">
        <f t="shared" si="27"/>
        <v>0</v>
      </c>
      <c r="BD20" s="20">
        <f t="shared" si="28"/>
        <v>0</v>
      </c>
      <c r="BE20" s="33"/>
      <c r="BF20" s="51"/>
      <c r="BG20" s="51">
        <f t="shared" si="29"/>
        <v>0</v>
      </c>
      <c r="BH20" s="33">
        <f t="shared" si="30"/>
        <v>0</v>
      </c>
      <c r="BI20" s="20">
        <f t="shared" si="31"/>
        <v>0</v>
      </c>
      <c r="BJ20" s="33"/>
      <c r="BK20" s="51"/>
      <c r="BL20" s="51">
        <f t="shared" si="32"/>
        <v>0</v>
      </c>
      <c r="BM20" s="33">
        <f t="shared" si="33"/>
        <v>0</v>
      </c>
      <c r="BN20" s="20">
        <f t="shared" si="34"/>
        <v>0</v>
      </c>
      <c r="BO20" s="33"/>
      <c r="BP20" s="51"/>
      <c r="BQ20" s="51">
        <f t="shared" si="35"/>
        <v>0</v>
      </c>
      <c r="BR20" s="33">
        <f t="shared" si="36"/>
        <v>0</v>
      </c>
      <c r="BS20" s="20">
        <f t="shared" si="37"/>
        <v>0</v>
      </c>
      <c r="BT20" s="33"/>
      <c r="BU20" s="51"/>
      <c r="BV20" s="51">
        <f t="shared" si="38"/>
        <v>0</v>
      </c>
      <c r="BW20" s="33">
        <f t="shared" si="39"/>
        <v>0</v>
      </c>
      <c r="BX20" s="20">
        <f t="shared" si="40"/>
        <v>0</v>
      </c>
      <c r="BY20" s="33"/>
      <c r="BZ20" s="33"/>
      <c r="CA20" s="33">
        <f t="shared" si="41"/>
        <v>0</v>
      </c>
      <c r="CB20" s="33">
        <f t="shared" si="42"/>
        <v>0</v>
      </c>
      <c r="CC20" s="20">
        <f t="shared" si="43"/>
        <v>0</v>
      </c>
      <c r="CD20" s="33"/>
      <c r="CE20" s="51"/>
      <c r="CF20" s="51">
        <f t="shared" si="44"/>
        <v>0</v>
      </c>
      <c r="CG20" s="33">
        <f t="shared" si="45"/>
        <v>0</v>
      </c>
      <c r="CH20" s="20">
        <f t="shared" si="46"/>
        <v>0</v>
      </c>
      <c r="CI20" s="33"/>
      <c r="CJ20" s="51"/>
      <c r="CK20" s="51">
        <f t="shared" si="47"/>
        <v>0</v>
      </c>
      <c r="CL20" s="33">
        <f t="shared" si="48"/>
        <v>0</v>
      </c>
      <c r="CM20" s="20">
        <f t="shared" si="49"/>
        <v>0</v>
      </c>
      <c r="CN20" s="33"/>
      <c r="CO20" s="51"/>
      <c r="CP20" s="51">
        <f t="shared" si="50"/>
        <v>0</v>
      </c>
      <c r="CQ20" s="33">
        <f t="shared" si="51"/>
        <v>0</v>
      </c>
      <c r="CR20" s="20">
        <f t="shared" si="52"/>
        <v>0</v>
      </c>
      <c r="CS20" s="33"/>
      <c r="CT20" s="51"/>
      <c r="CU20" s="51">
        <f t="shared" si="53"/>
        <v>0</v>
      </c>
      <c r="CV20" s="33">
        <f t="shared" si="54"/>
        <v>0</v>
      </c>
      <c r="CW20" s="20">
        <f t="shared" si="55"/>
        <v>0</v>
      </c>
      <c r="CX20" s="33"/>
      <c r="CY20" s="51"/>
      <c r="CZ20" s="51">
        <f t="shared" si="56"/>
        <v>0</v>
      </c>
      <c r="DA20" s="33">
        <f t="shared" si="57"/>
        <v>0</v>
      </c>
      <c r="DB20" s="20">
        <f t="shared" si="58"/>
        <v>0</v>
      </c>
      <c r="DC20" s="33"/>
      <c r="DD20" s="51"/>
      <c r="DE20" s="51">
        <f t="shared" si="59"/>
        <v>0</v>
      </c>
      <c r="DF20" s="33">
        <f t="shared" si="60"/>
        <v>0</v>
      </c>
      <c r="DG20" s="20">
        <f t="shared" si="61"/>
        <v>0</v>
      </c>
      <c r="DH20" s="33"/>
      <c r="DI20" s="33"/>
      <c r="DJ20" s="33">
        <f t="shared" si="62"/>
        <v>0</v>
      </c>
      <c r="DK20" s="33">
        <f t="shared" si="63"/>
        <v>0</v>
      </c>
      <c r="DL20" s="20">
        <f t="shared" si="64"/>
        <v>0</v>
      </c>
      <c r="DM20" s="33"/>
      <c r="DN20" s="51"/>
      <c r="DO20" s="51">
        <f t="shared" si="65"/>
        <v>0</v>
      </c>
      <c r="DP20" s="33">
        <f t="shared" si="66"/>
        <v>0</v>
      </c>
      <c r="DQ20" s="20">
        <f t="shared" si="67"/>
        <v>0</v>
      </c>
      <c r="DR20" s="33"/>
      <c r="DS20" s="33"/>
      <c r="DT20" s="33"/>
      <c r="DU20" s="33"/>
    </row>
    <row r="21" spans="1:125" ht="12">
      <c r="A21" s="52">
        <v>44287</v>
      </c>
      <c r="E21" s="35">
        <f t="shared" si="0"/>
        <v>0</v>
      </c>
      <c r="H21" s="51"/>
      <c r="I21" s="51"/>
      <c r="J21" s="51">
        <f t="shared" si="1"/>
        <v>0</v>
      </c>
      <c r="K21" s="51"/>
      <c r="M21" s="51">
        <f t="shared" si="2"/>
        <v>0</v>
      </c>
      <c r="N21" s="41">
        <f t="shared" si="3"/>
        <v>0</v>
      </c>
      <c r="O21" s="33">
        <f t="shared" si="4"/>
        <v>0</v>
      </c>
      <c r="P21" s="41">
        <f t="shared" si="3"/>
        <v>0</v>
      </c>
      <c r="R21" s="65">
        <f t="shared" si="68"/>
        <v>0</v>
      </c>
      <c r="S21" s="65">
        <f t="shared" si="5"/>
        <v>0</v>
      </c>
      <c r="T21" s="20">
        <f t="shared" si="6"/>
        <v>0</v>
      </c>
      <c r="U21" s="20">
        <f t="shared" si="7"/>
        <v>0</v>
      </c>
      <c r="W21" s="65">
        <f t="shared" si="69"/>
        <v>0</v>
      </c>
      <c r="X21" s="65">
        <f t="shared" si="8"/>
        <v>0</v>
      </c>
      <c r="Y21" s="20">
        <f t="shared" si="9"/>
        <v>0</v>
      </c>
      <c r="Z21" s="20">
        <f t="shared" si="10"/>
        <v>0</v>
      </c>
      <c r="AB21" s="33">
        <f t="shared" si="70"/>
        <v>0</v>
      </c>
      <c r="AC21" s="33">
        <f t="shared" si="11"/>
        <v>0</v>
      </c>
      <c r="AD21" s="33">
        <f t="shared" si="12"/>
        <v>0</v>
      </c>
      <c r="AE21" s="20">
        <f t="shared" si="13"/>
        <v>0</v>
      </c>
      <c r="AG21" s="65">
        <f t="shared" si="71"/>
        <v>0</v>
      </c>
      <c r="AH21" s="65">
        <f t="shared" si="14"/>
        <v>0</v>
      </c>
      <c r="AI21" s="20">
        <f t="shared" si="15"/>
        <v>0</v>
      </c>
      <c r="AJ21" s="20">
        <f t="shared" si="16"/>
        <v>0</v>
      </c>
      <c r="AL21" s="65">
        <f t="shared" si="72"/>
        <v>0</v>
      </c>
      <c r="AM21" s="65">
        <f t="shared" si="17"/>
        <v>0</v>
      </c>
      <c r="AN21" s="20">
        <f t="shared" si="18"/>
        <v>0</v>
      </c>
      <c r="AO21" s="20">
        <f t="shared" si="19"/>
        <v>0</v>
      </c>
      <c r="AP21" s="33"/>
      <c r="AQ21" s="65">
        <f t="shared" si="73"/>
        <v>0</v>
      </c>
      <c r="AR21" s="65">
        <f t="shared" si="20"/>
        <v>0</v>
      </c>
      <c r="AS21" s="20">
        <f t="shared" si="21"/>
        <v>0</v>
      </c>
      <c r="AT21" s="20">
        <f t="shared" si="22"/>
        <v>0</v>
      </c>
      <c r="AU21" s="33"/>
      <c r="AV21" s="51">
        <f t="shared" si="74"/>
        <v>0</v>
      </c>
      <c r="AW21" s="51">
        <f t="shared" si="23"/>
        <v>0</v>
      </c>
      <c r="AX21" s="33">
        <f t="shared" si="24"/>
        <v>0</v>
      </c>
      <c r="AY21" s="20">
        <f t="shared" si="25"/>
        <v>0</v>
      </c>
      <c r="AZ21" s="33"/>
      <c r="BA21" s="33">
        <f t="shared" si="75"/>
        <v>0</v>
      </c>
      <c r="BB21" s="33">
        <f t="shared" si="26"/>
        <v>0</v>
      </c>
      <c r="BC21" s="33">
        <f t="shared" si="27"/>
        <v>0</v>
      </c>
      <c r="BD21" s="20">
        <f t="shared" si="28"/>
        <v>0</v>
      </c>
      <c r="BE21" s="33"/>
      <c r="BF21" s="51">
        <f t="shared" si="76"/>
        <v>0</v>
      </c>
      <c r="BG21" s="51">
        <f t="shared" si="29"/>
        <v>0</v>
      </c>
      <c r="BH21" s="33">
        <f t="shared" si="30"/>
        <v>0</v>
      </c>
      <c r="BI21" s="20">
        <f t="shared" si="31"/>
        <v>0</v>
      </c>
      <c r="BJ21" s="33"/>
      <c r="BK21" s="51">
        <f t="shared" si="77"/>
        <v>0</v>
      </c>
      <c r="BL21" s="51">
        <f t="shared" si="32"/>
        <v>0</v>
      </c>
      <c r="BM21" s="33">
        <f t="shared" si="33"/>
        <v>0</v>
      </c>
      <c r="BN21" s="20">
        <f t="shared" si="34"/>
        <v>0</v>
      </c>
      <c r="BO21" s="33"/>
      <c r="BP21" s="51">
        <f t="shared" si="78"/>
        <v>0</v>
      </c>
      <c r="BQ21" s="51">
        <f t="shared" si="35"/>
        <v>0</v>
      </c>
      <c r="BR21" s="33">
        <f t="shared" si="36"/>
        <v>0</v>
      </c>
      <c r="BS21" s="20">
        <f t="shared" si="37"/>
        <v>0</v>
      </c>
      <c r="BT21" s="33"/>
      <c r="BU21" s="51">
        <f t="shared" si="79"/>
        <v>0</v>
      </c>
      <c r="BV21" s="51">
        <f t="shared" si="38"/>
        <v>0</v>
      </c>
      <c r="BW21" s="33">
        <f t="shared" si="39"/>
        <v>0</v>
      </c>
      <c r="BX21" s="20">
        <f t="shared" si="40"/>
        <v>0</v>
      </c>
      <c r="BY21" s="33"/>
      <c r="BZ21" s="33">
        <f t="shared" si="80"/>
        <v>0</v>
      </c>
      <c r="CA21" s="33">
        <f t="shared" si="41"/>
        <v>0</v>
      </c>
      <c r="CB21" s="33">
        <f t="shared" si="42"/>
        <v>0</v>
      </c>
      <c r="CC21" s="20">
        <f t="shared" si="43"/>
        <v>0</v>
      </c>
      <c r="CD21" s="33"/>
      <c r="CE21" s="51">
        <f t="shared" si="81"/>
        <v>0</v>
      </c>
      <c r="CF21" s="51">
        <f t="shared" si="44"/>
        <v>0</v>
      </c>
      <c r="CG21" s="33">
        <f t="shared" si="45"/>
        <v>0</v>
      </c>
      <c r="CH21" s="20">
        <f t="shared" si="46"/>
        <v>0</v>
      </c>
      <c r="CI21" s="33"/>
      <c r="CJ21" s="51">
        <f t="shared" si="82"/>
        <v>0</v>
      </c>
      <c r="CK21" s="51">
        <f t="shared" si="47"/>
        <v>0</v>
      </c>
      <c r="CL21" s="33">
        <f t="shared" si="48"/>
        <v>0</v>
      </c>
      <c r="CM21" s="20">
        <f t="shared" si="49"/>
        <v>0</v>
      </c>
      <c r="CN21" s="33"/>
      <c r="CO21" s="51">
        <f t="shared" si="83"/>
        <v>0</v>
      </c>
      <c r="CP21" s="51">
        <f t="shared" si="50"/>
        <v>0</v>
      </c>
      <c r="CQ21" s="33">
        <f t="shared" si="51"/>
        <v>0</v>
      </c>
      <c r="CR21" s="20">
        <f t="shared" si="52"/>
        <v>0</v>
      </c>
      <c r="CS21" s="33"/>
      <c r="CT21" s="51">
        <f t="shared" si="84"/>
        <v>0</v>
      </c>
      <c r="CU21" s="51">
        <f t="shared" si="53"/>
        <v>0</v>
      </c>
      <c r="CV21" s="33">
        <f t="shared" si="54"/>
        <v>0</v>
      </c>
      <c r="CW21" s="20">
        <f t="shared" si="55"/>
        <v>0</v>
      </c>
      <c r="CX21" s="33"/>
      <c r="CY21" s="51">
        <f t="shared" si="85"/>
        <v>0</v>
      </c>
      <c r="CZ21" s="51">
        <f t="shared" si="56"/>
        <v>0</v>
      </c>
      <c r="DA21" s="33">
        <f t="shared" si="57"/>
        <v>0</v>
      </c>
      <c r="DB21" s="20">
        <f t="shared" si="58"/>
        <v>0</v>
      </c>
      <c r="DC21" s="33"/>
      <c r="DD21" s="51">
        <f t="shared" si="86"/>
        <v>0</v>
      </c>
      <c r="DE21" s="51">
        <f t="shared" si="59"/>
        <v>0</v>
      </c>
      <c r="DF21" s="33">
        <f t="shared" si="60"/>
        <v>0</v>
      </c>
      <c r="DG21" s="20">
        <f t="shared" si="61"/>
        <v>0</v>
      </c>
      <c r="DH21" s="33"/>
      <c r="DI21" s="33">
        <f t="shared" si="87"/>
        <v>0</v>
      </c>
      <c r="DJ21" s="33">
        <f t="shared" si="62"/>
        <v>0</v>
      </c>
      <c r="DK21" s="33">
        <f t="shared" si="63"/>
        <v>0</v>
      </c>
      <c r="DL21" s="20">
        <f t="shared" si="64"/>
        <v>0</v>
      </c>
      <c r="DM21" s="33"/>
      <c r="DN21" s="51">
        <f t="shared" si="88"/>
        <v>0</v>
      </c>
      <c r="DO21" s="51">
        <f t="shared" si="65"/>
        <v>0</v>
      </c>
      <c r="DP21" s="33">
        <f t="shared" si="66"/>
        <v>0</v>
      </c>
      <c r="DQ21" s="20">
        <f t="shared" si="67"/>
        <v>0</v>
      </c>
      <c r="DR21" s="33"/>
      <c r="DS21" s="33"/>
      <c r="DT21" s="33"/>
      <c r="DU21" s="33"/>
    </row>
    <row r="22" spans="1:125" ht="12">
      <c r="A22" s="52">
        <v>44470</v>
      </c>
      <c r="E22" s="35">
        <f t="shared" si="0"/>
        <v>0</v>
      </c>
      <c r="H22" s="51"/>
      <c r="I22" s="51"/>
      <c r="J22" s="51">
        <f t="shared" si="1"/>
        <v>0</v>
      </c>
      <c r="K22" s="51"/>
      <c r="M22" s="51">
        <f t="shared" si="2"/>
        <v>0</v>
      </c>
      <c r="N22" s="41">
        <f t="shared" si="3"/>
        <v>0</v>
      </c>
      <c r="O22" s="33">
        <f t="shared" si="4"/>
        <v>0</v>
      </c>
      <c r="P22" s="41">
        <f t="shared" si="3"/>
        <v>0</v>
      </c>
      <c r="R22" s="65"/>
      <c r="S22" s="65">
        <f t="shared" si="5"/>
        <v>0</v>
      </c>
      <c r="T22" s="20">
        <f t="shared" si="6"/>
        <v>0</v>
      </c>
      <c r="U22" s="20">
        <f t="shared" si="7"/>
        <v>0</v>
      </c>
      <c r="W22" s="65"/>
      <c r="X22" s="65">
        <f t="shared" si="8"/>
        <v>0</v>
      </c>
      <c r="Y22" s="20">
        <f t="shared" si="9"/>
        <v>0</v>
      </c>
      <c r="Z22" s="20">
        <f t="shared" si="10"/>
        <v>0</v>
      </c>
      <c r="AC22" s="33">
        <f t="shared" si="11"/>
        <v>0</v>
      </c>
      <c r="AD22" s="33">
        <f t="shared" si="12"/>
        <v>0</v>
      </c>
      <c r="AE22" s="20">
        <f t="shared" si="13"/>
        <v>0</v>
      </c>
      <c r="AG22" s="65"/>
      <c r="AH22" s="65">
        <f t="shared" si="14"/>
        <v>0</v>
      </c>
      <c r="AI22" s="20">
        <f t="shared" si="15"/>
        <v>0</v>
      </c>
      <c r="AJ22" s="20">
        <f t="shared" si="16"/>
        <v>0</v>
      </c>
      <c r="AL22" s="65"/>
      <c r="AM22" s="65">
        <f t="shared" si="17"/>
        <v>0</v>
      </c>
      <c r="AN22" s="20">
        <f t="shared" si="18"/>
        <v>0</v>
      </c>
      <c r="AO22" s="20">
        <f t="shared" si="19"/>
        <v>0</v>
      </c>
      <c r="AP22" s="33"/>
      <c r="AQ22" s="65"/>
      <c r="AR22" s="65">
        <f t="shared" si="20"/>
        <v>0</v>
      </c>
      <c r="AS22" s="20">
        <f t="shared" si="21"/>
        <v>0</v>
      </c>
      <c r="AT22" s="20">
        <f t="shared" si="22"/>
        <v>0</v>
      </c>
      <c r="AU22" s="33"/>
      <c r="AV22" s="51"/>
      <c r="AW22" s="51">
        <f t="shared" si="23"/>
        <v>0</v>
      </c>
      <c r="AX22" s="33">
        <f t="shared" si="24"/>
        <v>0</v>
      </c>
      <c r="AY22" s="20">
        <f t="shared" si="25"/>
        <v>0</v>
      </c>
      <c r="AZ22" s="33"/>
      <c r="BA22" s="33"/>
      <c r="BB22" s="33">
        <f t="shared" si="26"/>
        <v>0</v>
      </c>
      <c r="BC22" s="33">
        <f t="shared" si="27"/>
        <v>0</v>
      </c>
      <c r="BD22" s="20">
        <f t="shared" si="28"/>
        <v>0</v>
      </c>
      <c r="BE22" s="33"/>
      <c r="BF22" s="51"/>
      <c r="BG22" s="51">
        <f t="shared" si="29"/>
        <v>0</v>
      </c>
      <c r="BH22" s="33">
        <f t="shared" si="30"/>
        <v>0</v>
      </c>
      <c r="BI22" s="20">
        <f t="shared" si="31"/>
        <v>0</v>
      </c>
      <c r="BJ22" s="33"/>
      <c r="BK22" s="51"/>
      <c r="BL22" s="51">
        <f t="shared" si="32"/>
        <v>0</v>
      </c>
      <c r="BM22" s="33">
        <f t="shared" si="33"/>
        <v>0</v>
      </c>
      <c r="BN22" s="20">
        <f t="shared" si="34"/>
        <v>0</v>
      </c>
      <c r="BO22" s="33"/>
      <c r="BP22" s="51"/>
      <c r="BQ22" s="51">
        <f t="shared" si="35"/>
        <v>0</v>
      </c>
      <c r="BR22" s="33">
        <f t="shared" si="36"/>
        <v>0</v>
      </c>
      <c r="BS22" s="20">
        <f t="shared" si="37"/>
        <v>0</v>
      </c>
      <c r="BT22" s="33"/>
      <c r="BU22" s="51"/>
      <c r="BV22" s="51">
        <f t="shared" si="38"/>
        <v>0</v>
      </c>
      <c r="BW22" s="33">
        <f t="shared" si="39"/>
        <v>0</v>
      </c>
      <c r="BX22" s="20">
        <f t="shared" si="40"/>
        <v>0</v>
      </c>
      <c r="BY22" s="33"/>
      <c r="BZ22" s="33"/>
      <c r="CA22" s="33">
        <f t="shared" si="41"/>
        <v>0</v>
      </c>
      <c r="CB22" s="33">
        <f t="shared" si="42"/>
        <v>0</v>
      </c>
      <c r="CC22" s="20">
        <f t="shared" si="43"/>
        <v>0</v>
      </c>
      <c r="CD22" s="33"/>
      <c r="CE22" s="51"/>
      <c r="CF22" s="51">
        <f t="shared" si="44"/>
        <v>0</v>
      </c>
      <c r="CG22" s="33">
        <f t="shared" si="45"/>
        <v>0</v>
      </c>
      <c r="CH22" s="20">
        <f t="shared" si="46"/>
        <v>0</v>
      </c>
      <c r="CI22" s="33"/>
      <c r="CJ22" s="51"/>
      <c r="CK22" s="51">
        <f t="shared" si="47"/>
        <v>0</v>
      </c>
      <c r="CL22" s="33">
        <f t="shared" si="48"/>
        <v>0</v>
      </c>
      <c r="CM22" s="20">
        <f t="shared" si="49"/>
        <v>0</v>
      </c>
      <c r="CN22" s="33"/>
      <c r="CO22" s="51"/>
      <c r="CP22" s="51">
        <f t="shared" si="50"/>
        <v>0</v>
      </c>
      <c r="CQ22" s="33">
        <f t="shared" si="51"/>
        <v>0</v>
      </c>
      <c r="CR22" s="20">
        <f t="shared" si="52"/>
        <v>0</v>
      </c>
      <c r="CS22" s="33"/>
      <c r="CT22" s="51"/>
      <c r="CU22" s="51">
        <f t="shared" si="53"/>
        <v>0</v>
      </c>
      <c r="CV22" s="33">
        <f t="shared" si="54"/>
        <v>0</v>
      </c>
      <c r="CW22" s="20">
        <f t="shared" si="55"/>
        <v>0</v>
      </c>
      <c r="CX22" s="33"/>
      <c r="CY22" s="51"/>
      <c r="CZ22" s="51">
        <f t="shared" si="56"/>
        <v>0</v>
      </c>
      <c r="DA22" s="33">
        <f t="shared" si="57"/>
        <v>0</v>
      </c>
      <c r="DB22" s="20">
        <f t="shared" si="58"/>
        <v>0</v>
      </c>
      <c r="DC22" s="33"/>
      <c r="DD22" s="51"/>
      <c r="DE22" s="51">
        <f t="shared" si="59"/>
        <v>0</v>
      </c>
      <c r="DF22" s="33">
        <f t="shared" si="60"/>
        <v>0</v>
      </c>
      <c r="DG22" s="20">
        <f t="shared" si="61"/>
        <v>0</v>
      </c>
      <c r="DH22" s="33"/>
      <c r="DI22" s="33"/>
      <c r="DJ22" s="33">
        <f t="shared" si="62"/>
        <v>0</v>
      </c>
      <c r="DK22" s="33">
        <f t="shared" si="63"/>
        <v>0</v>
      </c>
      <c r="DL22" s="20">
        <f t="shared" si="64"/>
        <v>0</v>
      </c>
      <c r="DM22" s="33"/>
      <c r="DN22" s="51"/>
      <c r="DO22" s="51">
        <f t="shared" si="65"/>
        <v>0</v>
      </c>
      <c r="DP22" s="33">
        <f t="shared" si="66"/>
        <v>0</v>
      </c>
      <c r="DQ22" s="20">
        <f t="shared" si="67"/>
        <v>0</v>
      </c>
      <c r="DR22" s="33"/>
      <c r="DS22" s="33"/>
      <c r="DT22" s="33"/>
      <c r="DU22" s="33"/>
    </row>
    <row r="23" spans="1:125" s="53" customFormat="1" ht="12">
      <c r="A23" s="52">
        <v>44652</v>
      </c>
      <c r="C23" s="41"/>
      <c r="D23" s="41"/>
      <c r="E23" s="35">
        <f t="shared" si="0"/>
        <v>0</v>
      </c>
      <c r="F23" s="35"/>
      <c r="G23" s="51"/>
      <c r="H23" s="51"/>
      <c r="I23" s="51"/>
      <c r="J23" s="51">
        <f t="shared" si="1"/>
        <v>0</v>
      </c>
      <c r="K23" s="51"/>
      <c r="L23" s="51"/>
      <c r="M23" s="51">
        <f t="shared" si="2"/>
        <v>0</v>
      </c>
      <c r="N23" s="41">
        <f t="shared" si="3"/>
        <v>0</v>
      </c>
      <c r="O23" s="33">
        <f t="shared" si="4"/>
        <v>0</v>
      </c>
      <c r="P23" s="41">
        <f t="shared" si="3"/>
        <v>0</v>
      </c>
      <c r="Q23" s="51"/>
      <c r="R23" s="65">
        <f t="shared" si="68"/>
        <v>0</v>
      </c>
      <c r="S23" s="65">
        <f t="shared" si="5"/>
        <v>0</v>
      </c>
      <c r="T23" s="20">
        <f t="shared" si="6"/>
        <v>0</v>
      </c>
      <c r="U23" s="20">
        <f t="shared" si="7"/>
        <v>0</v>
      </c>
      <c r="V23" s="51"/>
      <c r="W23" s="65">
        <f t="shared" si="69"/>
        <v>0</v>
      </c>
      <c r="X23" s="65">
        <f t="shared" si="8"/>
        <v>0</v>
      </c>
      <c r="Y23" s="20">
        <f t="shared" si="9"/>
        <v>0</v>
      </c>
      <c r="Z23" s="20">
        <f t="shared" si="10"/>
        <v>0</v>
      </c>
      <c r="AA23" s="51"/>
      <c r="AB23" s="33">
        <f t="shared" si="70"/>
        <v>0</v>
      </c>
      <c r="AC23" s="33">
        <f t="shared" si="11"/>
        <v>0</v>
      </c>
      <c r="AD23" s="33">
        <f t="shared" si="12"/>
        <v>0</v>
      </c>
      <c r="AE23" s="20">
        <f t="shared" si="13"/>
        <v>0</v>
      </c>
      <c r="AF23" s="51"/>
      <c r="AG23" s="65">
        <f t="shared" si="71"/>
        <v>0</v>
      </c>
      <c r="AH23" s="65">
        <f t="shared" si="14"/>
        <v>0</v>
      </c>
      <c r="AI23" s="20">
        <f t="shared" si="15"/>
        <v>0</v>
      </c>
      <c r="AJ23" s="20">
        <f t="shared" si="16"/>
        <v>0</v>
      </c>
      <c r="AK23" s="51"/>
      <c r="AL23" s="65">
        <f t="shared" si="72"/>
        <v>0</v>
      </c>
      <c r="AM23" s="65">
        <f t="shared" si="17"/>
        <v>0</v>
      </c>
      <c r="AN23" s="20">
        <f t="shared" si="18"/>
        <v>0</v>
      </c>
      <c r="AO23" s="20">
        <f t="shared" si="19"/>
        <v>0</v>
      </c>
      <c r="AP23" s="51"/>
      <c r="AQ23" s="65">
        <f t="shared" si="73"/>
        <v>0</v>
      </c>
      <c r="AR23" s="65">
        <f t="shared" si="20"/>
        <v>0</v>
      </c>
      <c r="AS23" s="20">
        <f t="shared" si="21"/>
        <v>0</v>
      </c>
      <c r="AT23" s="20">
        <f t="shared" si="22"/>
        <v>0</v>
      </c>
      <c r="AU23" s="51"/>
      <c r="AV23" s="51">
        <f t="shared" si="74"/>
        <v>0</v>
      </c>
      <c r="AW23" s="51">
        <f t="shared" si="23"/>
        <v>0</v>
      </c>
      <c r="AX23" s="33">
        <f t="shared" si="24"/>
        <v>0</v>
      </c>
      <c r="AY23" s="20">
        <f t="shared" si="25"/>
        <v>0</v>
      </c>
      <c r="AZ23" s="51"/>
      <c r="BA23" s="33">
        <f t="shared" si="75"/>
        <v>0</v>
      </c>
      <c r="BB23" s="33">
        <f t="shared" si="26"/>
        <v>0</v>
      </c>
      <c r="BC23" s="33">
        <f t="shared" si="27"/>
        <v>0</v>
      </c>
      <c r="BD23" s="20">
        <f t="shared" si="28"/>
        <v>0</v>
      </c>
      <c r="BE23" s="51"/>
      <c r="BF23" s="51">
        <f t="shared" si="76"/>
        <v>0</v>
      </c>
      <c r="BG23" s="51">
        <f t="shared" si="29"/>
        <v>0</v>
      </c>
      <c r="BH23" s="33">
        <f t="shared" si="30"/>
        <v>0</v>
      </c>
      <c r="BI23" s="20">
        <f t="shared" si="31"/>
        <v>0</v>
      </c>
      <c r="BJ23" s="51"/>
      <c r="BK23" s="51">
        <f t="shared" si="77"/>
        <v>0</v>
      </c>
      <c r="BL23" s="51">
        <f t="shared" si="32"/>
        <v>0</v>
      </c>
      <c r="BM23" s="33">
        <f t="shared" si="33"/>
        <v>0</v>
      </c>
      <c r="BN23" s="20">
        <f t="shared" si="34"/>
        <v>0</v>
      </c>
      <c r="BO23" s="51"/>
      <c r="BP23" s="51">
        <f t="shared" si="78"/>
        <v>0</v>
      </c>
      <c r="BQ23" s="51">
        <f t="shared" si="35"/>
        <v>0</v>
      </c>
      <c r="BR23" s="33">
        <f t="shared" si="36"/>
        <v>0</v>
      </c>
      <c r="BS23" s="20">
        <f t="shared" si="37"/>
        <v>0</v>
      </c>
      <c r="BT23" s="51"/>
      <c r="BU23" s="51">
        <f t="shared" si="79"/>
        <v>0</v>
      </c>
      <c r="BV23" s="51">
        <f t="shared" si="38"/>
        <v>0</v>
      </c>
      <c r="BW23" s="33">
        <f t="shared" si="39"/>
        <v>0</v>
      </c>
      <c r="BX23" s="20">
        <f t="shared" si="40"/>
        <v>0</v>
      </c>
      <c r="BY23" s="51"/>
      <c r="BZ23" s="33">
        <f t="shared" si="80"/>
        <v>0</v>
      </c>
      <c r="CA23" s="33">
        <f t="shared" si="41"/>
        <v>0</v>
      </c>
      <c r="CB23" s="33">
        <f t="shared" si="42"/>
        <v>0</v>
      </c>
      <c r="CC23" s="20">
        <f t="shared" si="43"/>
        <v>0</v>
      </c>
      <c r="CD23" s="51"/>
      <c r="CE23" s="51">
        <f t="shared" si="81"/>
        <v>0</v>
      </c>
      <c r="CF23" s="51">
        <f t="shared" si="44"/>
        <v>0</v>
      </c>
      <c r="CG23" s="33">
        <f t="shared" si="45"/>
        <v>0</v>
      </c>
      <c r="CH23" s="20">
        <f t="shared" si="46"/>
        <v>0</v>
      </c>
      <c r="CI23" s="51"/>
      <c r="CJ23" s="51">
        <f t="shared" si="82"/>
        <v>0</v>
      </c>
      <c r="CK23" s="51">
        <f t="shared" si="47"/>
        <v>0</v>
      </c>
      <c r="CL23" s="33">
        <f t="shared" si="48"/>
        <v>0</v>
      </c>
      <c r="CM23" s="20">
        <f t="shared" si="49"/>
        <v>0</v>
      </c>
      <c r="CN23" s="51"/>
      <c r="CO23" s="51">
        <f t="shared" si="83"/>
        <v>0</v>
      </c>
      <c r="CP23" s="51">
        <f t="shared" si="50"/>
        <v>0</v>
      </c>
      <c r="CQ23" s="33">
        <f t="shared" si="51"/>
        <v>0</v>
      </c>
      <c r="CR23" s="20">
        <f t="shared" si="52"/>
        <v>0</v>
      </c>
      <c r="CS23" s="51"/>
      <c r="CT23" s="51">
        <f t="shared" si="84"/>
        <v>0</v>
      </c>
      <c r="CU23" s="51">
        <f t="shared" si="53"/>
        <v>0</v>
      </c>
      <c r="CV23" s="33">
        <f t="shared" si="54"/>
        <v>0</v>
      </c>
      <c r="CW23" s="20">
        <f t="shared" si="55"/>
        <v>0</v>
      </c>
      <c r="CX23" s="51"/>
      <c r="CY23" s="51">
        <f t="shared" si="85"/>
        <v>0</v>
      </c>
      <c r="CZ23" s="51">
        <f t="shared" si="56"/>
        <v>0</v>
      </c>
      <c r="DA23" s="33">
        <f t="shared" si="57"/>
        <v>0</v>
      </c>
      <c r="DB23" s="20">
        <f t="shared" si="58"/>
        <v>0</v>
      </c>
      <c r="DC23" s="51"/>
      <c r="DD23" s="51">
        <f t="shared" si="86"/>
        <v>0</v>
      </c>
      <c r="DE23" s="51">
        <f t="shared" si="59"/>
        <v>0</v>
      </c>
      <c r="DF23" s="33">
        <f t="shared" si="60"/>
        <v>0</v>
      </c>
      <c r="DG23" s="20">
        <f t="shared" si="61"/>
        <v>0</v>
      </c>
      <c r="DH23" s="33"/>
      <c r="DI23" s="33">
        <f t="shared" si="87"/>
        <v>0</v>
      </c>
      <c r="DJ23" s="33">
        <f t="shared" si="62"/>
        <v>0</v>
      </c>
      <c r="DK23" s="33">
        <f t="shared" si="63"/>
        <v>0</v>
      </c>
      <c r="DL23" s="20">
        <f t="shared" si="64"/>
        <v>0</v>
      </c>
      <c r="DM23" s="51"/>
      <c r="DN23" s="51">
        <f t="shared" si="88"/>
        <v>0</v>
      </c>
      <c r="DO23" s="51">
        <f t="shared" si="65"/>
        <v>0</v>
      </c>
      <c r="DP23" s="33">
        <f t="shared" si="66"/>
        <v>0</v>
      </c>
      <c r="DQ23" s="20">
        <f t="shared" si="67"/>
        <v>0</v>
      </c>
      <c r="DR23" s="51"/>
      <c r="DS23" s="33"/>
      <c r="DT23" s="33"/>
      <c r="DU23" s="33"/>
    </row>
    <row r="24" spans="1:125" s="53" customFormat="1" ht="12">
      <c r="A24" s="52">
        <v>44835</v>
      </c>
      <c r="C24" s="41"/>
      <c r="D24" s="41"/>
      <c r="E24" s="35">
        <f t="shared" si="0"/>
        <v>0</v>
      </c>
      <c r="F24" s="35"/>
      <c r="G24" s="51"/>
      <c r="H24" s="51"/>
      <c r="I24" s="51"/>
      <c r="J24" s="51">
        <f t="shared" si="1"/>
        <v>0</v>
      </c>
      <c r="K24" s="51"/>
      <c r="L24" s="51"/>
      <c r="M24" s="51">
        <f t="shared" si="2"/>
        <v>0</v>
      </c>
      <c r="N24" s="41">
        <f t="shared" si="3"/>
        <v>0</v>
      </c>
      <c r="O24" s="33">
        <f t="shared" si="4"/>
        <v>0</v>
      </c>
      <c r="P24" s="41">
        <f t="shared" si="3"/>
        <v>0</v>
      </c>
      <c r="Q24" s="51"/>
      <c r="R24" s="65"/>
      <c r="S24" s="65">
        <f t="shared" si="5"/>
        <v>0</v>
      </c>
      <c r="T24" s="20">
        <f t="shared" si="6"/>
        <v>0</v>
      </c>
      <c r="U24" s="20">
        <f t="shared" si="7"/>
        <v>0</v>
      </c>
      <c r="V24" s="51"/>
      <c r="W24" s="65"/>
      <c r="X24" s="65">
        <f t="shared" si="8"/>
        <v>0</v>
      </c>
      <c r="Y24" s="20">
        <f t="shared" si="9"/>
        <v>0</v>
      </c>
      <c r="Z24" s="20">
        <f t="shared" si="10"/>
        <v>0</v>
      </c>
      <c r="AA24" s="51"/>
      <c r="AB24" s="33"/>
      <c r="AC24" s="33">
        <f t="shared" si="11"/>
        <v>0</v>
      </c>
      <c r="AD24" s="33">
        <f t="shared" si="12"/>
        <v>0</v>
      </c>
      <c r="AE24" s="20">
        <f t="shared" si="13"/>
        <v>0</v>
      </c>
      <c r="AF24" s="51"/>
      <c r="AG24" s="65"/>
      <c r="AH24" s="65">
        <f t="shared" si="14"/>
        <v>0</v>
      </c>
      <c r="AI24" s="20">
        <f t="shared" si="15"/>
        <v>0</v>
      </c>
      <c r="AJ24" s="20">
        <f t="shared" si="16"/>
        <v>0</v>
      </c>
      <c r="AK24" s="51"/>
      <c r="AL24" s="65"/>
      <c r="AM24" s="65">
        <f t="shared" si="17"/>
        <v>0</v>
      </c>
      <c r="AN24" s="20">
        <f t="shared" si="18"/>
        <v>0</v>
      </c>
      <c r="AO24" s="20">
        <f t="shared" si="19"/>
        <v>0</v>
      </c>
      <c r="AP24" s="51"/>
      <c r="AQ24" s="65"/>
      <c r="AR24" s="65">
        <f t="shared" si="20"/>
        <v>0</v>
      </c>
      <c r="AS24" s="20">
        <f t="shared" si="21"/>
        <v>0</v>
      </c>
      <c r="AT24" s="20">
        <f t="shared" si="22"/>
        <v>0</v>
      </c>
      <c r="AU24" s="51"/>
      <c r="AV24" s="51"/>
      <c r="AW24" s="51">
        <f t="shared" si="23"/>
        <v>0</v>
      </c>
      <c r="AX24" s="33">
        <f t="shared" si="24"/>
        <v>0</v>
      </c>
      <c r="AY24" s="20">
        <f t="shared" si="25"/>
        <v>0</v>
      </c>
      <c r="AZ24" s="51"/>
      <c r="BA24" s="33"/>
      <c r="BB24" s="33">
        <f t="shared" si="26"/>
        <v>0</v>
      </c>
      <c r="BC24" s="33">
        <f t="shared" si="27"/>
        <v>0</v>
      </c>
      <c r="BD24" s="20">
        <f t="shared" si="28"/>
        <v>0</v>
      </c>
      <c r="BE24" s="51"/>
      <c r="BF24" s="51"/>
      <c r="BG24" s="51">
        <f t="shared" si="29"/>
        <v>0</v>
      </c>
      <c r="BH24" s="33">
        <f t="shared" si="30"/>
        <v>0</v>
      </c>
      <c r="BI24" s="20">
        <f t="shared" si="31"/>
        <v>0</v>
      </c>
      <c r="BJ24" s="51"/>
      <c r="BK24" s="51"/>
      <c r="BL24" s="51">
        <f t="shared" si="32"/>
        <v>0</v>
      </c>
      <c r="BM24" s="33">
        <f t="shared" si="33"/>
        <v>0</v>
      </c>
      <c r="BN24" s="20">
        <f t="shared" si="34"/>
        <v>0</v>
      </c>
      <c r="BO24" s="51"/>
      <c r="BP24" s="51"/>
      <c r="BQ24" s="51">
        <f t="shared" si="35"/>
        <v>0</v>
      </c>
      <c r="BR24" s="33">
        <f t="shared" si="36"/>
        <v>0</v>
      </c>
      <c r="BS24" s="20">
        <f t="shared" si="37"/>
        <v>0</v>
      </c>
      <c r="BT24" s="51"/>
      <c r="BU24" s="51"/>
      <c r="BV24" s="51">
        <f t="shared" si="38"/>
        <v>0</v>
      </c>
      <c r="BW24" s="33">
        <f t="shared" si="39"/>
        <v>0</v>
      </c>
      <c r="BX24" s="20">
        <f t="shared" si="40"/>
        <v>0</v>
      </c>
      <c r="BY24" s="51"/>
      <c r="BZ24" s="33"/>
      <c r="CA24" s="33">
        <f t="shared" si="41"/>
        <v>0</v>
      </c>
      <c r="CB24" s="33">
        <f t="shared" si="42"/>
        <v>0</v>
      </c>
      <c r="CC24" s="20">
        <f t="shared" si="43"/>
        <v>0</v>
      </c>
      <c r="CD24" s="51"/>
      <c r="CE24" s="51"/>
      <c r="CF24" s="51">
        <f t="shared" si="44"/>
        <v>0</v>
      </c>
      <c r="CG24" s="33">
        <f t="shared" si="45"/>
        <v>0</v>
      </c>
      <c r="CH24" s="20">
        <f t="shared" si="46"/>
        <v>0</v>
      </c>
      <c r="CI24" s="51"/>
      <c r="CJ24" s="51"/>
      <c r="CK24" s="51">
        <f t="shared" si="47"/>
        <v>0</v>
      </c>
      <c r="CL24" s="33">
        <f t="shared" si="48"/>
        <v>0</v>
      </c>
      <c r="CM24" s="20">
        <f t="shared" si="49"/>
        <v>0</v>
      </c>
      <c r="CN24" s="51"/>
      <c r="CO24" s="51"/>
      <c r="CP24" s="51">
        <f t="shared" si="50"/>
        <v>0</v>
      </c>
      <c r="CQ24" s="33">
        <f t="shared" si="51"/>
        <v>0</v>
      </c>
      <c r="CR24" s="20">
        <f t="shared" si="52"/>
        <v>0</v>
      </c>
      <c r="CS24" s="51"/>
      <c r="CT24" s="51"/>
      <c r="CU24" s="51">
        <f t="shared" si="53"/>
        <v>0</v>
      </c>
      <c r="CV24" s="33">
        <f t="shared" si="54"/>
        <v>0</v>
      </c>
      <c r="CW24" s="20">
        <f t="shared" si="55"/>
        <v>0</v>
      </c>
      <c r="CX24" s="51"/>
      <c r="CY24" s="51"/>
      <c r="CZ24" s="51">
        <f t="shared" si="56"/>
        <v>0</v>
      </c>
      <c r="DA24" s="33">
        <f t="shared" si="57"/>
        <v>0</v>
      </c>
      <c r="DB24" s="20">
        <f t="shared" si="58"/>
        <v>0</v>
      </c>
      <c r="DC24" s="51"/>
      <c r="DD24" s="51"/>
      <c r="DE24" s="51">
        <f t="shared" si="59"/>
        <v>0</v>
      </c>
      <c r="DF24" s="33">
        <f t="shared" si="60"/>
        <v>0</v>
      </c>
      <c r="DG24" s="20">
        <f t="shared" si="61"/>
        <v>0</v>
      </c>
      <c r="DH24" s="33"/>
      <c r="DI24" s="33"/>
      <c r="DJ24" s="33">
        <f t="shared" si="62"/>
        <v>0</v>
      </c>
      <c r="DK24" s="33">
        <f t="shared" si="63"/>
        <v>0</v>
      </c>
      <c r="DL24" s="20">
        <f t="shared" si="64"/>
        <v>0</v>
      </c>
      <c r="DM24" s="51"/>
      <c r="DN24" s="51"/>
      <c r="DO24" s="51">
        <f t="shared" si="65"/>
        <v>0</v>
      </c>
      <c r="DP24" s="33">
        <f t="shared" si="66"/>
        <v>0</v>
      </c>
      <c r="DQ24" s="20">
        <f t="shared" si="67"/>
        <v>0</v>
      </c>
      <c r="DR24" s="51"/>
      <c r="DS24" s="33"/>
      <c r="DT24" s="33"/>
      <c r="DU24" s="33"/>
    </row>
    <row r="25" spans="1:125" s="53" customFormat="1" ht="12">
      <c r="A25" s="52">
        <v>45017</v>
      </c>
      <c r="C25" s="41"/>
      <c r="D25" s="41"/>
      <c r="E25" s="35">
        <f t="shared" si="0"/>
        <v>0</v>
      </c>
      <c r="F25" s="35"/>
      <c r="G25" s="51"/>
      <c r="H25" s="51"/>
      <c r="I25" s="51"/>
      <c r="J25" s="51">
        <f t="shared" si="1"/>
        <v>0</v>
      </c>
      <c r="K25" s="51"/>
      <c r="L25" s="51"/>
      <c r="M25" s="51">
        <f t="shared" si="2"/>
        <v>0</v>
      </c>
      <c r="N25" s="41">
        <f t="shared" si="3"/>
        <v>0</v>
      </c>
      <c r="O25" s="33">
        <f t="shared" si="4"/>
        <v>0</v>
      </c>
      <c r="P25" s="41">
        <f t="shared" si="3"/>
        <v>0</v>
      </c>
      <c r="Q25" s="51"/>
      <c r="R25" s="65">
        <f t="shared" si="68"/>
        <v>0</v>
      </c>
      <c r="S25" s="65">
        <f t="shared" si="5"/>
        <v>0</v>
      </c>
      <c r="T25" s="20">
        <f t="shared" si="6"/>
        <v>0</v>
      </c>
      <c r="U25" s="20">
        <f t="shared" si="7"/>
        <v>0</v>
      </c>
      <c r="V25" s="51"/>
      <c r="W25" s="65">
        <f t="shared" si="69"/>
        <v>0</v>
      </c>
      <c r="X25" s="65">
        <f t="shared" si="8"/>
        <v>0</v>
      </c>
      <c r="Y25" s="20">
        <f t="shared" si="9"/>
        <v>0</v>
      </c>
      <c r="Z25" s="20">
        <f t="shared" si="10"/>
        <v>0</v>
      </c>
      <c r="AA25" s="51"/>
      <c r="AB25" s="33">
        <f t="shared" si="70"/>
        <v>0</v>
      </c>
      <c r="AC25" s="33">
        <f t="shared" si="11"/>
        <v>0</v>
      </c>
      <c r="AD25" s="33">
        <f t="shared" si="12"/>
        <v>0</v>
      </c>
      <c r="AE25" s="20">
        <f t="shared" si="13"/>
        <v>0</v>
      </c>
      <c r="AF25" s="51"/>
      <c r="AG25" s="65">
        <f t="shared" si="71"/>
        <v>0</v>
      </c>
      <c r="AH25" s="65">
        <f t="shared" si="14"/>
        <v>0</v>
      </c>
      <c r="AI25" s="20">
        <f t="shared" si="15"/>
        <v>0</v>
      </c>
      <c r="AJ25" s="20">
        <f t="shared" si="16"/>
        <v>0</v>
      </c>
      <c r="AK25" s="51"/>
      <c r="AL25" s="65">
        <f t="shared" si="72"/>
        <v>0</v>
      </c>
      <c r="AM25" s="65">
        <f t="shared" si="17"/>
        <v>0</v>
      </c>
      <c r="AN25" s="20">
        <f t="shared" si="18"/>
        <v>0</v>
      </c>
      <c r="AO25" s="20">
        <f t="shared" si="19"/>
        <v>0</v>
      </c>
      <c r="AP25" s="51"/>
      <c r="AQ25" s="65">
        <f t="shared" si="73"/>
        <v>0</v>
      </c>
      <c r="AR25" s="65">
        <f t="shared" si="20"/>
        <v>0</v>
      </c>
      <c r="AS25" s="20">
        <f t="shared" si="21"/>
        <v>0</v>
      </c>
      <c r="AT25" s="20">
        <f t="shared" si="22"/>
        <v>0</v>
      </c>
      <c r="AU25" s="51"/>
      <c r="AV25" s="51">
        <f t="shared" si="74"/>
        <v>0</v>
      </c>
      <c r="AW25" s="51">
        <f t="shared" si="23"/>
        <v>0</v>
      </c>
      <c r="AX25" s="33">
        <f t="shared" si="24"/>
        <v>0</v>
      </c>
      <c r="AY25" s="20">
        <f t="shared" si="25"/>
        <v>0</v>
      </c>
      <c r="AZ25" s="51"/>
      <c r="BA25" s="33">
        <f t="shared" si="75"/>
        <v>0</v>
      </c>
      <c r="BB25" s="33">
        <f t="shared" si="26"/>
        <v>0</v>
      </c>
      <c r="BC25" s="33">
        <f t="shared" si="27"/>
        <v>0</v>
      </c>
      <c r="BD25" s="20">
        <f t="shared" si="28"/>
        <v>0</v>
      </c>
      <c r="BE25" s="51"/>
      <c r="BF25" s="51">
        <f t="shared" si="76"/>
        <v>0</v>
      </c>
      <c r="BG25" s="51">
        <f t="shared" si="29"/>
        <v>0</v>
      </c>
      <c r="BH25" s="33">
        <f t="shared" si="30"/>
        <v>0</v>
      </c>
      <c r="BI25" s="20">
        <f t="shared" si="31"/>
        <v>0</v>
      </c>
      <c r="BJ25" s="51"/>
      <c r="BK25" s="51">
        <f t="shared" si="77"/>
        <v>0</v>
      </c>
      <c r="BL25" s="51">
        <f t="shared" si="32"/>
        <v>0</v>
      </c>
      <c r="BM25" s="33">
        <f t="shared" si="33"/>
        <v>0</v>
      </c>
      <c r="BN25" s="20">
        <f t="shared" si="34"/>
        <v>0</v>
      </c>
      <c r="BO25" s="51"/>
      <c r="BP25" s="51">
        <f t="shared" si="78"/>
        <v>0</v>
      </c>
      <c r="BQ25" s="51">
        <f t="shared" si="35"/>
        <v>0</v>
      </c>
      <c r="BR25" s="33">
        <f t="shared" si="36"/>
        <v>0</v>
      </c>
      <c r="BS25" s="20">
        <f t="shared" si="37"/>
        <v>0</v>
      </c>
      <c r="BT25" s="51"/>
      <c r="BU25" s="51">
        <f t="shared" si="79"/>
        <v>0</v>
      </c>
      <c r="BV25" s="51">
        <f t="shared" si="38"/>
        <v>0</v>
      </c>
      <c r="BW25" s="33">
        <f t="shared" si="39"/>
        <v>0</v>
      </c>
      <c r="BX25" s="20">
        <f t="shared" si="40"/>
        <v>0</v>
      </c>
      <c r="BY25" s="51"/>
      <c r="BZ25" s="33">
        <f t="shared" si="80"/>
        <v>0</v>
      </c>
      <c r="CA25" s="33">
        <f t="shared" si="41"/>
        <v>0</v>
      </c>
      <c r="CB25" s="33">
        <f t="shared" si="42"/>
        <v>0</v>
      </c>
      <c r="CC25" s="20">
        <f t="shared" si="43"/>
        <v>0</v>
      </c>
      <c r="CD25" s="51"/>
      <c r="CE25" s="51">
        <f t="shared" si="81"/>
        <v>0</v>
      </c>
      <c r="CF25" s="51">
        <f t="shared" si="44"/>
        <v>0</v>
      </c>
      <c r="CG25" s="33">
        <f t="shared" si="45"/>
        <v>0</v>
      </c>
      <c r="CH25" s="20">
        <f t="shared" si="46"/>
        <v>0</v>
      </c>
      <c r="CI25" s="51"/>
      <c r="CJ25" s="51">
        <f t="shared" si="82"/>
        <v>0</v>
      </c>
      <c r="CK25" s="51">
        <f t="shared" si="47"/>
        <v>0</v>
      </c>
      <c r="CL25" s="33">
        <f t="shared" si="48"/>
        <v>0</v>
      </c>
      <c r="CM25" s="20">
        <f t="shared" si="49"/>
        <v>0</v>
      </c>
      <c r="CN25" s="51"/>
      <c r="CO25" s="51">
        <f t="shared" si="83"/>
        <v>0</v>
      </c>
      <c r="CP25" s="51">
        <f t="shared" si="50"/>
        <v>0</v>
      </c>
      <c r="CQ25" s="33">
        <f t="shared" si="51"/>
        <v>0</v>
      </c>
      <c r="CR25" s="20">
        <f t="shared" si="52"/>
        <v>0</v>
      </c>
      <c r="CS25" s="51"/>
      <c r="CT25" s="51">
        <f t="shared" si="84"/>
        <v>0</v>
      </c>
      <c r="CU25" s="51">
        <f t="shared" si="53"/>
        <v>0</v>
      </c>
      <c r="CV25" s="33">
        <f t="shared" si="54"/>
        <v>0</v>
      </c>
      <c r="CW25" s="20">
        <f t="shared" si="55"/>
        <v>0</v>
      </c>
      <c r="CX25" s="51"/>
      <c r="CY25" s="51">
        <f t="shared" si="85"/>
        <v>0</v>
      </c>
      <c r="CZ25" s="51">
        <f t="shared" si="56"/>
        <v>0</v>
      </c>
      <c r="DA25" s="33">
        <f t="shared" si="57"/>
        <v>0</v>
      </c>
      <c r="DB25" s="20">
        <f t="shared" si="58"/>
        <v>0</v>
      </c>
      <c r="DC25" s="51"/>
      <c r="DD25" s="51">
        <f t="shared" si="86"/>
        <v>0</v>
      </c>
      <c r="DE25" s="51">
        <f t="shared" si="59"/>
        <v>0</v>
      </c>
      <c r="DF25" s="33">
        <f t="shared" si="60"/>
        <v>0</v>
      </c>
      <c r="DG25" s="20">
        <f t="shared" si="61"/>
        <v>0</v>
      </c>
      <c r="DH25" s="33"/>
      <c r="DI25" s="33">
        <f t="shared" si="87"/>
        <v>0</v>
      </c>
      <c r="DJ25" s="33">
        <f t="shared" si="62"/>
        <v>0</v>
      </c>
      <c r="DK25" s="33">
        <f t="shared" si="63"/>
        <v>0</v>
      </c>
      <c r="DL25" s="20">
        <f t="shared" si="64"/>
        <v>0</v>
      </c>
      <c r="DM25" s="51"/>
      <c r="DN25" s="51">
        <f t="shared" si="88"/>
        <v>0</v>
      </c>
      <c r="DO25" s="51">
        <f t="shared" si="65"/>
        <v>0</v>
      </c>
      <c r="DP25" s="33">
        <f t="shared" si="66"/>
        <v>0</v>
      </c>
      <c r="DQ25" s="20">
        <f t="shared" si="67"/>
        <v>0</v>
      </c>
      <c r="DR25" s="51"/>
      <c r="DS25" s="33"/>
      <c r="DT25" s="33"/>
      <c r="DU25" s="33"/>
    </row>
    <row r="26" spans="1:125" s="53" customFormat="1" ht="12">
      <c r="A26" s="52">
        <v>45200</v>
      </c>
      <c r="C26" s="41"/>
      <c r="D26" s="41"/>
      <c r="E26" s="35">
        <f t="shared" si="0"/>
        <v>0</v>
      </c>
      <c r="F26" s="35"/>
      <c r="G26" s="51"/>
      <c r="H26" s="51"/>
      <c r="I26" s="51"/>
      <c r="J26" s="51">
        <f t="shared" si="1"/>
        <v>0</v>
      </c>
      <c r="K26" s="51"/>
      <c r="L26" s="51"/>
      <c r="M26" s="51">
        <f t="shared" si="2"/>
        <v>0</v>
      </c>
      <c r="N26" s="41">
        <f t="shared" si="3"/>
        <v>0</v>
      </c>
      <c r="O26" s="33">
        <f t="shared" si="4"/>
        <v>0</v>
      </c>
      <c r="P26" s="41">
        <f t="shared" si="3"/>
        <v>0</v>
      </c>
      <c r="Q26" s="51"/>
      <c r="R26" s="65"/>
      <c r="S26" s="65">
        <f t="shared" si="5"/>
        <v>0</v>
      </c>
      <c r="T26" s="20">
        <f t="shared" si="6"/>
        <v>0</v>
      </c>
      <c r="U26" s="20">
        <f t="shared" si="7"/>
        <v>0</v>
      </c>
      <c r="V26" s="51"/>
      <c r="W26" s="65"/>
      <c r="X26" s="65">
        <f t="shared" si="8"/>
        <v>0</v>
      </c>
      <c r="Y26" s="20">
        <f t="shared" si="9"/>
        <v>0</v>
      </c>
      <c r="Z26" s="20">
        <f t="shared" si="10"/>
        <v>0</v>
      </c>
      <c r="AA26" s="51"/>
      <c r="AB26" s="33"/>
      <c r="AC26" s="33">
        <f t="shared" si="11"/>
        <v>0</v>
      </c>
      <c r="AD26" s="33">
        <f t="shared" si="12"/>
        <v>0</v>
      </c>
      <c r="AE26" s="20">
        <f t="shared" si="13"/>
        <v>0</v>
      </c>
      <c r="AF26" s="51"/>
      <c r="AG26" s="65"/>
      <c r="AH26" s="65">
        <f t="shared" si="14"/>
        <v>0</v>
      </c>
      <c r="AI26" s="20">
        <f t="shared" si="15"/>
        <v>0</v>
      </c>
      <c r="AJ26" s="20">
        <f t="shared" si="16"/>
        <v>0</v>
      </c>
      <c r="AK26" s="51"/>
      <c r="AL26" s="65"/>
      <c r="AM26" s="65">
        <f t="shared" si="17"/>
        <v>0</v>
      </c>
      <c r="AN26" s="20">
        <f t="shared" si="18"/>
        <v>0</v>
      </c>
      <c r="AO26" s="20">
        <f t="shared" si="19"/>
        <v>0</v>
      </c>
      <c r="AP26" s="51"/>
      <c r="AQ26" s="65"/>
      <c r="AR26" s="65">
        <f t="shared" si="20"/>
        <v>0</v>
      </c>
      <c r="AS26" s="20">
        <f t="shared" si="21"/>
        <v>0</v>
      </c>
      <c r="AT26" s="20">
        <f t="shared" si="22"/>
        <v>0</v>
      </c>
      <c r="AU26" s="51"/>
      <c r="AV26" s="51"/>
      <c r="AW26" s="51">
        <f t="shared" si="23"/>
        <v>0</v>
      </c>
      <c r="AX26" s="33">
        <f t="shared" si="24"/>
        <v>0</v>
      </c>
      <c r="AY26" s="20">
        <f t="shared" si="25"/>
        <v>0</v>
      </c>
      <c r="AZ26" s="51"/>
      <c r="BA26" s="33"/>
      <c r="BB26" s="33">
        <f t="shared" si="26"/>
        <v>0</v>
      </c>
      <c r="BC26" s="33">
        <f t="shared" si="27"/>
        <v>0</v>
      </c>
      <c r="BD26" s="20">
        <f t="shared" si="28"/>
        <v>0</v>
      </c>
      <c r="BE26" s="51"/>
      <c r="BF26" s="51"/>
      <c r="BG26" s="51">
        <f t="shared" si="29"/>
        <v>0</v>
      </c>
      <c r="BH26" s="33">
        <f t="shared" si="30"/>
        <v>0</v>
      </c>
      <c r="BI26" s="20">
        <f t="shared" si="31"/>
        <v>0</v>
      </c>
      <c r="BJ26" s="51"/>
      <c r="BK26" s="51"/>
      <c r="BL26" s="51">
        <f t="shared" si="32"/>
        <v>0</v>
      </c>
      <c r="BM26" s="33">
        <f t="shared" si="33"/>
        <v>0</v>
      </c>
      <c r="BN26" s="20">
        <f t="shared" si="34"/>
        <v>0</v>
      </c>
      <c r="BO26" s="51"/>
      <c r="BP26" s="51"/>
      <c r="BQ26" s="51">
        <f t="shared" si="35"/>
        <v>0</v>
      </c>
      <c r="BR26" s="33">
        <f t="shared" si="36"/>
        <v>0</v>
      </c>
      <c r="BS26" s="20">
        <f t="shared" si="37"/>
        <v>0</v>
      </c>
      <c r="BT26" s="51"/>
      <c r="BU26" s="51"/>
      <c r="BV26" s="51">
        <f t="shared" si="38"/>
        <v>0</v>
      </c>
      <c r="BW26" s="33">
        <f t="shared" si="39"/>
        <v>0</v>
      </c>
      <c r="BX26" s="20">
        <f t="shared" si="40"/>
        <v>0</v>
      </c>
      <c r="BY26" s="51"/>
      <c r="BZ26" s="33"/>
      <c r="CA26" s="33">
        <f t="shared" si="41"/>
        <v>0</v>
      </c>
      <c r="CB26" s="33">
        <f t="shared" si="42"/>
        <v>0</v>
      </c>
      <c r="CC26" s="20">
        <f t="shared" si="43"/>
        <v>0</v>
      </c>
      <c r="CD26" s="51"/>
      <c r="CE26" s="51"/>
      <c r="CF26" s="51">
        <f t="shared" si="44"/>
        <v>0</v>
      </c>
      <c r="CG26" s="33">
        <f t="shared" si="45"/>
        <v>0</v>
      </c>
      <c r="CH26" s="20">
        <f t="shared" si="46"/>
        <v>0</v>
      </c>
      <c r="CI26" s="51"/>
      <c r="CJ26" s="51"/>
      <c r="CK26" s="51">
        <f t="shared" si="47"/>
        <v>0</v>
      </c>
      <c r="CL26" s="33">
        <f t="shared" si="48"/>
        <v>0</v>
      </c>
      <c r="CM26" s="20">
        <f t="shared" si="49"/>
        <v>0</v>
      </c>
      <c r="CN26" s="51"/>
      <c r="CO26" s="51"/>
      <c r="CP26" s="51">
        <f t="shared" si="50"/>
        <v>0</v>
      </c>
      <c r="CQ26" s="33">
        <f t="shared" si="51"/>
        <v>0</v>
      </c>
      <c r="CR26" s="20">
        <f t="shared" si="52"/>
        <v>0</v>
      </c>
      <c r="CS26" s="51"/>
      <c r="CT26" s="51"/>
      <c r="CU26" s="51">
        <f t="shared" si="53"/>
        <v>0</v>
      </c>
      <c r="CV26" s="33">
        <f t="shared" si="54"/>
        <v>0</v>
      </c>
      <c r="CW26" s="20">
        <f t="shared" si="55"/>
        <v>0</v>
      </c>
      <c r="CX26" s="51"/>
      <c r="CY26" s="51"/>
      <c r="CZ26" s="51">
        <f t="shared" si="56"/>
        <v>0</v>
      </c>
      <c r="DA26" s="33">
        <f t="shared" si="57"/>
        <v>0</v>
      </c>
      <c r="DB26" s="20">
        <f t="shared" si="58"/>
        <v>0</v>
      </c>
      <c r="DC26" s="51"/>
      <c r="DD26" s="51"/>
      <c r="DE26" s="51">
        <f t="shared" si="59"/>
        <v>0</v>
      </c>
      <c r="DF26" s="33">
        <f t="shared" si="60"/>
        <v>0</v>
      </c>
      <c r="DG26" s="20">
        <f t="shared" si="61"/>
        <v>0</v>
      </c>
      <c r="DH26" s="33"/>
      <c r="DI26" s="33"/>
      <c r="DJ26" s="33">
        <f t="shared" si="62"/>
        <v>0</v>
      </c>
      <c r="DK26" s="33">
        <f t="shared" si="63"/>
        <v>0</v>
      </c>
      <c r="DL26" s="20">
        <f t="shared" si="64"/>
        <v>0</v>
      </c>
      <c r="DM26" s="51"/>
      <c r="DN26" s="51"/>
      <c r="DO26" s="51">
        <f t="shared" si="65"/>
        <v>0</v>
      </c>
      <c r="DP26" s="33">
        <f t="shared" si="66"/>
        <v>0</v>
      </c>
      <c r="DQ26" s="20">
        <f t="shared" si="67"/>
        <v>0</v>
      </c>
      <c r="DR26" s="51"/>
      <c r="DS26" s="33"/>
      <c r="DT26" s="33"/>
      <c r="DU26" s="33"/>
    </row>
    <row r="27" spans="1:125" s="53" customFormat="1" ht="12">
      <c r="A27" s="52">
        <v>45383</v>
      </c>
      <c r="C27" s="41"/>
      <c r="D27" s="41"/>
      <c r="E27" s="35">
        <f t="shared" si="0"/>
        <v>0</v>
      </c>
      <c r="F27" s="35"/>
      <c r="G27" s="51"/>
      <c r="H27" s="51"/>
      <c r="I27" s="51"/>
      <c r="J27" s="51">
        <f t="shared" si="1"/>
        <v>0</v>
      </c>
      <c r="K27" s="51"/>
      <c r="L27" s="51"/>
      <c r="M27" s="51">
        <f t="shared" si="2"/>
        <v>0</v>
      </c>
      <c r="N27" s="41">
        <f t="shared" si="3"/>
        <v>0</v>
      </c>
      <c r="O27" s="33">
        <f t="shared" si="4"/>
        <v>0</v>
      </c>
      <c r="P27" s="41">
        <f t="shared" si="3"/>
        <v>0</v>
      </c>
      <c r="Q27" s="51"/>
      <c r="R27" s="65">
        <f t="shared" si="68"/>
        <v>0</v>
      </c>
      <c r="S27" s="65">
        <f t="shared" si="5"/>
        <v>0</v>
      </c>
      <c r="T27" s="20">
        <f t="shared" si="6"/>
        <v>0</v>
      </c>
      <c r="U27" s="20">
        <f t="shared" si="7"/>
        <v>0</v>
      </c>
      <c r="V27" s="51"/>
      <c r="W27" s="65">
        <f t="shared" si="69"/>
        <v>0</v>
      </c>
      <c r="X27" s="65">
        <f t="shared" si="8"/>
        <v>0</v>
      </c>
      <c r="Y27" s="20">
        <f t="shared" si="9"/>
        <v>0</v>
      </c>
      <c r="Z27" s="20">
        <f t="shared" si="10"/>
        <v>0</v>
      </c>
      <c r="AA27" s="51"/>
      <c r="AB27" s="33">
        <f t="shared" si="70"/>
        <v>0</v>
      </c>
      <c r="AC27" s="33">
        <f t="shared" si="11"/>
        <v>0</v>
      </c>
      <c r="AD27" s="33">
        <f t="shared" si="12"/>
        <v>0</v>
      </c>
      <c r="AE27" s="20">
        <f t="shared" si="13"/>
        <v>0</v>
      </c>
      <c r="AF27" s="51"/>
      <c r="AG27" s="65">
        <f t="shared" si="71"/>
        <v>0</v>
      </c>
      <c r="AH27" s="65">
        <f t="shared" si="14"/>
        <v>0</v>
      </c>
      <c r="AI27" s="20">
        <f t="shared" si="15"/>
        <v>0</v>
      </c>
      <c r="AJ27" s="20">
        <f t="shared" si="16"/>
        <v>0</v>
      </c>
      <c r="AK27" s="51"/>
      <c r="AL27" s="65">
        <f t="shared" si="72"/>
        <v>0</v>
      </c>
      <c r="AM27" s="65">
        <f t="shared" si="17"/>
        <v>0</v>
      </c>
      <c r="AN27" s="20">
        <f t="shared" si="18"/>
        <v>0</v>
      </c>
      <c r="AO27" s="20">
        <f t="shared" si="19"/>
        <v>0</v>
      </c>
      <c r="AP27" s="51"/>
      <c r="AQ27" s="65">
        <f t="shared" si="73"/>
        <v>0</v>
      </c>
      <c r="AR27" s="65">
        <f t="shared" si="20"/>
        <v>0</v>
      </c>
      <c r="AS27" s="20">
        <f t="shared" si="21"/>
        <v>0</v>
      </c>
      <c r="AT27" s="20">
        <f t="shared" si="22"/>
        <v>0</v>
      </c>
      <c r="AU27" s="51"/>
      <c r="AV27" s="51">
        <f t="shared" si="74"/>
        <v>0</v>
      </c>
      <c r="AW27" s="51">
        <f t="shared" si="23"/>
        <v>0</v>
      </c>
      <c r="AX27" s="33">
        <f t="shared" si="24"/>
        <v>0</v>
      </c>
      <c r="AY27" s="20">
        <f t="shared" si="25"/>
        <v>0</v>
      </c>
      <c r="AZ27" s="51"/>
      <c r="BA27" s="33">
        <f t="shared" si="75"/>
        <v>0</v>
      </c>
      <c r="BB27" s="33">
        <f t="shared" si="26"/>
        <v>0</v>
      </c>
      <c r="BC27" s="33">
        <f t="shared" si="27"/>
        <v>0</v>
      </c>
      <c r="BD27" s="20">
        <f t="shared" si="28"/>
        <v>0</v>
      </c>
      <c r="BE27" s="51"/>
      <c r="BF27" s="51">
        <f t="shared" si="76"/>
        <v>0</v>
      </c>
      <c r="BG27" s="51">
        <f t="shared" si="29"/>
        <v>0</v>
      </c>
      <c r="BH27" s="33">
        <f t="shared" si="30"/>
        <v>0</v>
      </c>
      <c r="BI27" s="20">
        <f t="shared" si="31"/>
        <v>0</v>
      </c>
      <c r="BJ27" s="51"/>
      <c r="BK27" s="51">
        <f t="shared" si="77"/>
        <v>0</v>
      </c>
      <c r="BL27" s="51">
        <f t="shared" si="32"/>
        <v>0</v>
      </c>
      <c r="BM27" s="33">
        <f t="shared" si="33"/>
        <v>0</v>
      </c>
      <c r="BN27" s="20">
        <f t="shared" si="34"/>
        <v>0</v>
      </c>
      <c r="BO27" s="51"/>
      <c r="BP27" s="51">
        <f t="shared" si="78"/>
        <v>0</v>
      </c>
      <c r="BQ27" s="51">
        <f t="shared" si="35"/>
        <v>0</v>
      </c>
      <c r="BR27" s="33">
        <f t="shared" si="36"/>
        <v>0</v>
      </c>
      <c r="BS27" s="20">
        <f t="shared" si="37"/>
        <v>0</v>
      </c>
      <c r="BT27" s="51"/>
      <c r="BU27" s="51">
        <f t="shared" si="79"/>
        <v>0</v>
      </c>
      <c r="BV27" s="51">
        <f t="shared" si="38"/>
        <v>0</v>
      </c>
      <c r="BW27" s="33">
        <f t="shared" si="39"/>
        <v>0</v>
      </c>
      <c r="BX27" s="20">
        <f t="shared" si="40"/>
        <v>0</v>
      </c>
      <c r="BY27" s="51"/>
      <c r="BZ27" s="33">
        <f t="shared" si="80"/>
        <v>0</v>
      </c>
      <c r="CA27" s="33">
        <f t="shared" si="41"/>
        <v>0</v>
      </c>
      <c r="CB27" s="33">
        <f t="shared" si="42"/>
        <v>0</v>
      </c>
      <c r="CC27" s="20">
        <f t="shared" si="43"/>
        <v>0</v>
      </c>
      <c r="CD27" s="51"/>
      <c r="CE27" s="51">
        <f t="shared" si="81"/>
        <v>0</v>
      </c>
      <c r="CF27" s="51">
        <f t="shared" si="44"/>
        <v>0</v>
      </c>
      <c r="CG27" s="33">
        <f t="shared" si="45"/>
        <v>0</v>
      </c>
      <c r="CH27" s="20">
        <f t="shared" si="46"/>
        <v>0</v>
      </c>
      <c r="CI27" s="51"/>
      <c r="CJ27" s="51">
        <f t="shared" si="82"/>
        <v>0</v>
      </c>
      <c r="CK27" s="51">
        <f t="shared" si="47"/>
        <v>0</v>
      </c>
      <c r="CL27" s="33">
        <f t="shared" si="48"/>
        <v>0</v>
      </c>
      <c r="CM27" s="20">
        <f t="shared" si="49"/>
        <v>0</v>
      </c>
      <c r="CN27" s="51"/>
      <c r="CO27" s="51">
        <f t="shared" si="83"/>
        <v>0</v>
      </c>
      <c r="CP27" s="51">
        <f t="shared" si="50"/>
        <v>0</v>
      </c>
      <c r="CQ27" s="33">
        <f t="shared" si="51"/>
        <v>0</v>
      </c>
      <c r="CR27" s="20">
        <f t="shared" si="52"/>
        <v>0</v>
      </c>
      <c r="CS27" s="51"/>
      <c r="CT27" s="51">
        <f t="shared" si="84"/>
        <v>0</v>
      </c>
      <c r="CU27" s="51">
        <f t="shared" si="53"/>
        <v>0</v>
      </c>
      <c r="CV27" s="33">
        <f t="shared" si="54"/>
        <v>0</v>
      </c>
      <c r="CW27" s="20">
        <f t="shared" si="55"/>
        <v>0</v>
      </c>
      <c r="CX27" s="51"/>
      <c r="CY27" s="51">
        <f t="shared" si="85"/>
        <v>0</v>
      </c>
      <c r="CZ27" s="51">
        <f t="shared" si="56"/>
        <v>0</v>
      </c>
      <c r="DA27" s="33">
        <f t="shared" si="57"/>
        <v>0</v>
      </c>
      <c r="DB27" s="20">
        <f t="shared" si="58"/>
        <v>0</v>
      </c>
      <c r="DC27" s="51"/>
      <c r="DD27" s="51">
        <f t="shared" si="86"/>
        <v>0</v>
      </c>
      <c r="DE27" s="51">
        <f t="shared" si="59"/>
        <v>0</v>
      </c>
      <c r="DF27" s="33">
        <f t="shared" si="60"/>
        <v>0</v>
      </c>
      <c r="DG27" s="20">
        <f t="shared" si="61"/>
        <v>0</v>
      </c>
      <c r="DH27" s="33"/>
      <c r="DI27" s="33">
        <f t="shared" si="87"/>
        <v>0</v>
      </c>
      <c r="DJ27" s="33">
        <f t="shared" si="62"/>
        <v>0</v>
      </c>
      <c r="DK27" s="33">
        <f t="shared" si="63"/>
        <v>0</v>
      </c>
      <c r="DL27" s="20">
        <f t="shared" si="64"/>
        <v>0</v>
      </c>
      <c r="DM27" s="51"/>
      <c r="DN27" s="51">
        <f t="shared" si="88"/>
        <v>0</v>
      </c>
      <c r="DO27" s="51">
        <f t="shared" si="65"/>
        <v>0</v>
      </c>
      <c r="DP27" s="33">
        <f t="shared" si="66"/>
        <v>0</v>
      </c>
      <c r="DQ27" s="20">
        <f t="shared" si="67"/>
        <v>0</v>
      </c>
      <c r="DR27" s="51"/>
      <c r="DS27" s="33"/>
      <c r="DT27" s="33"/>
      <c r="DU27" s="33"/>
    </row>
    <row r="28" spans="1:125" s="53" customFormat="1" ht="12">
      <c r="A28" s="52">
        <v>45566</v>
      </c>
      <c r="C28" s="41"/>
      <c r="D28" s="41"/>
      <c r="E28" s="35">
        <f t="shared" si="0"/>
        <v>0</v>
      </c>
      <c r="F28" s="35"/>
      <c r="G28" s="51"/>
      <c r="H28" s="51"/>
      <c r="I28" s="51"/>
      <c r="J28" s="51">
        <f t="shared" si="1"/>
        <v>0</v>
      </c>
      <c r="K28" s="51"/>
      <c r="L28" s="51"/>
      <c r="M28" s="51">
        <f t="shared" si="2"/>
        <v>0</v>
      </c>
      <c r="N28" s="41">
        <f t="shared" si="3"/>
        <v>0</v>
      </c>
      <c r="O28" s="33">
        <f t="shared" si="4"/>
        <v>0</v>
      </c>
      <c r="P28" s="41">
        <f t="shared" si="3"/>
        <v>0</v>
      </c>
      <c r="Q28" s="51"/>
      <c r="R28" s="65"/>
      <c r="S28" s="65">
        <f t="shared" si="5"/>
        <v>0</v>
      </c>
      <c r="T28" s="20">
        <f t="shared" si="6"/>
        <v>0</v>
      </c>
      <c r="U28" s="20">
        <f t="shared" si="7"/>
        <v>0</v>
      </c>
      <c r="V28" s="51"/>
      <c r="W28" s="65"/>
      <c r="X28" s="65">
        <f t="shared" si="8"/>
        <v>0</v>
      </c>
      <c r="Y28" s="20">
        <f t="shared" si="9"/>
        <v>0</v>
      </c>
      <c r="Z28" s="20">
        <f t="shared" si="10"/>
        <v>0</v>
      </c>
      <c r="AA28" s="51"/>
      <c r="AB28" s="33"/>
      <c r="AC28" s="33">
        <f t="shared" si="11"/>
        <v>0</v>
      </c>
      <c r="AD28" s="33">
        <f t="shared" si="12"/>
        <v>0</v>
      </c>
      <c r="AE28" s="20">
        <f t="shared" si="13"/>
        <v>0</v>
      </c>
      <c r="AF28" s="51"/>
      <c r="AG28" s="65"/>
      <c r="AH28" s="65">
        <f t="shared" si="14"/>
        <v>0</v>
      </c>
      <c r="AI28" s="20">
        <f t="shared" si="15"/>
        <v>0</v>
      </c>
      <c r="AJ28" s="20">
        <f t="shared" si="16"/>
        <v>0</v>
      </c>
      <c r="AK28" s="51"/>
      <c r="AL28" s="65"/>
      <c r="AM28" s="65">
        <f t="shared" si="17"/>
        <v>0</v>
      </c>
      <c r="AN28" s="20">
        <f t="shared" si="18"/>
        <v>0</v>
      </c>
      <c r="AO28" s="20">
        <f t="shared" si="19"/>
        <v>0</v>
      </c>
      <c r="AP28" s="51"/>
      <c r="AQ28" s="65"/>
      <c r="AR28" s="65">
        <f t="shared" si="20"/>
        <v>0</v>
      </c>
      <c r="AS28" s="20">
        <f t="shared" si="21"/>
        <v>0</v>
      </c>
      <c r="AT28" s="20">
        <f t="shared" si="22"/>
        <v>0</v>
      </c>
      <c r="AU28" s="51"/>
      <c r="AV28" s="51"/>
      <c r="AW28" s="51">
        <f t="shared" si="23"/>
        <v>0</v>
      </c>
      <c r="AX28" s="33">
        <f t="shared" si="24"/>
        <v>0</v>
      </c>
      <c r="AY28" s="20">
        <f t="shared" si="25"/>
        <v>0</v>
      </c>
      <c r="AZ28" s="51"/>
      <c r="BA28" s="33"/>
      <c r="BB28" s="33">
        <f t="shared" si="26"/>
        <v>0</v>
      </c>
      <c r="BC28" s="33">
        <f t="shared" si="27"/>
        <v>0</v>
      </c>
      <c r="BD28" s="20">
        <f t="shared" si="28"/>
        <v>0</v>
      </c>
      <c r="BE28" s="51"/>
      <c r="BF28" s="51"/>
      <c r="BG28" s="51">
        <f t="shared" si="29"/>
        <v>0</v>
      </c>
      <c r="BH28" s="33">
        <f t="shared" si="30"/>
        <v>0</v>
      </c>
      <c r="BI28" s="20">
        <f t="shared" si="31"/>
        <v>0</v>
      </c>
      <c r="BJ28" s="51"/>
      <c r="BK28" s="51"/>
      <c r="BL28" s="51">
        <f t="shared" si="32"/>
        <v>0</v>
      </c>
      <c r="BM28" s="33">
        <f t="shared" si="33"/>
        <v>0</v>
      </c>
      <c r="BN28" s="20">
        <f t="shared" si="34"/>
        <v>0</v>
      </c>
      <c r="BO28" s="51"/>
      <c r="BP28" s="51"/>
      <c r="BQ28" s="51">
        <f t="shared" si="35"/>
        <v>0</v>
      </c>
      <c r="BR28" s="33">
        <f t="shared" si="36"/>
        <v>0</v>
      </c>
      <c r="BS28" s="20">
        <f t="shared" si="37"/>
        <v>0</v>
      </c>
      <c r="BT28" s="51"/>
      <c r="BU28" s="51"/>
      <c r="BV28" s="51">
        <f t="shared" si="38"/>
        <v>0</v>
      </c>
      <c r="BW28" s="33">
        <f t="shared" si="39"/>
        <v>0</v>
      </c>
      <c r="BX28" s="20">
        <f t="shared" si="40"/>
        <v>0</v>
      </c>
      <c r="BY28" s="51"/>
      <c r="BZ28" s="33"/>
      <c r="CA28" s="33">
        <f t="shared" si="41"/>
        <v>0</v>
      </c>
      <c r="CB28" s="33">
        <f t="shared" si="42"/>
        <v>0</v>
      </c>
      <c r="CC28" s="20">
        <f t="shared" si="43"/>
        <v>0</v>
      </c>
      <c r="CD28" s="51"/>
      <c r="CE28" s="51"/>
      <c r="CF28" s="51">
        <f t="shared" si="44"/>
        <v>0</v>
      </c>
      <c r="CG28" s="33">
        <f t="shared" si="45"/>
        <v>0</v>
      </c>
      <c r="CH28" s="20">
        <f t="shared" si="46"/>
        <v>0</v>
      </c>
      <c r="CI28" s="51"/>
      <c r="CJ28" s="51"/>
      <c r="CK28" s="51">
        <f t="shared" si="47"/>
        <v>0</v>
      </c>
      <c r="CL28" s="33">
        <f t="shared" si="48"/>
        <v>0</v>
      </c>
      <c r="CM28" s="20">
        <f t="shared" si="49"/>
        <v>0</v>
      </c>
      <c r="CN28" s="51"/>
      <c r="CO28" s="51"/>
      <c r="CP28" s="51">
        <f t="shared" si="50"/>
        <v>0</v>
      </c>
      <c r="CQ28" s="33">
        <f t="shared" si="51"/>
        <v>0</v>
      </c>
      <c r="CR28" s="20">
        <f t="shared" si="52"/>
        <v>0</v>
      </c>
      <c r="CS28" s="51"/>
      <c r="CT28" s="51"/>
      <c r="CU28" s="51">
        <f t="shared" si="53"/>
        <v>0</v>
      </c>
      <c r="CV28" s="33">
        <f t="shared" si="54"/>
        <v>0</v>
      </c>
      <c r="CW28" s="20">
        <f t="shared" si="55"/>
        <v>0</v>
      </c>
      <c r="CX28" s="51"/>
      <c r="CY28" s="51"/>
      <c r="CZ28" s="51">
        <f t="shared" si="56"/>
        <v>0</v>
      </c>
      <c r="DA28" s="33">
        <f t="shared" si="57"/>
        <v>0</v>
      </c>
      <c r="DB28" s="20">
        <f t="shared" si="58"/>
        <v>0</v>
      </c>
      <c r="DC28" s="51"/>
      <c r="DD28" s="51"/>
      <c r="DE28" s="51">
        <f t="shared" si="59"/>
        <v>0</v>
      </c>
      <c r="DF28" s="33">
        <f t="shared" si="60"/>
        <v>0</v>
      </c>
      <c r="DG28" s="20">
        <f t="shared" si="61"/>
        <v>0</v>
      </c>
      <c r="DH28" s="33"/>
      <c r="DI28" s="33"/>
      <c r="DJ28" s="33">
        <f t="shared" si="62"/>
        <v>0</v>
      </c>
      <c r="DK28" s="33">
        <f t="shared" si="63"/>
        <v>0</v>
      </c>
      <c r="DL28" s="20">
        <f t="shared" si="64"/>
        <v>0</v>
      </c>
      <c r="DM28" s="51"/>
      <c r="DN28" s="51"/>
      <c r="DO28" s="51">
        <f t="shared" si="65"/>
        <v>0</v>
      </c>
      <c r="DP28" s="33">
        <f t="shared" si="66"/>
        <v>0</v>
      </c>
      <c r="DQ28" s="20">
        <f t="shared" si="67"/>
        <v>0</v>
      </c>
      <c r="DR28" s="51"/>
      <c r="DS28" s="33"/>
      <c r="DT28" s="33"/>
      <c r="DU28" s="33"/>
    </row>
    <row r="29" spans="1:125" s="53" customFormat="1" ht="12">
      <c r="A29" s="52">
        <v>45748</v>
      </c>
      <c r="C29" s="41"/>
      <c r="D29" s="41"/>
      <c r="E29" s="35">
        <f t="shared" si="0"/>
        <v>0</v>
      </c>
      <c r="F29" s="35"/>
      <c r="G29" s="51"/>
      <c r="H29" s="51"/>
      <c r="I29" s="51"/>
      <c r="J29" s="51">
        <f t="shared" si="1"/>
        <v>0</v>
      </c>
      <c r="K29" s="51"/>
      <c r="L29" s="51"/>
      <c r="M29" s="51">
        <f t="shared" si="2"/>
        <v>0</v>
      </c>
      <c r="N29" s="41">
        <f t="shared" si="3"/>
        <v>0</v>
      </c>
      <c r="O29" s="33">
        <f t="shared" si="4"/>
        <v>0</v>
      </c>
      <c r="P29" s="41">
        <f t="shared" si="3"/>
        <v>0</v>
      </c>
      <c r="Q29" s="51"/>
      <c r="R29" s="65">
        <f t="shared" si="68"/>
        <v>0</v>
      </c>
      <c r="S29" s="65">
        <f t="shared" si="5"/>
        <v>0</v>
      </c>
      <c r="T29" s="20">
        <f t="shared" si="6"/>
        <v>0</v>
      </c>
      <c r="U29" s="20">
        <f t="shared" si="7"/>
        <v>0</v>
      </c>
      <c r="V29" s="51"/>
      <c r="W29" s="65">
        <f t="shared" si="69"/>
        <v>0</v>
      </c>
      <c r="X29" s="65">
        <f t="shared" si="8"/>
        <v>0</v>
      </c>
      <c r="Y29" s="20">
        <f t="shared" si="9"/>
        <v>0</v>
      </c>
      <c r="Z29" s="20">
        <f t="shared" si="10"/>
        <v>0</v>
      </c>
      <c r="AA29" s="51"/>
      <c r="AB29" s="33">
        <f t="shared" si="70"/>
        <v>0</v>
      </c>
      <c r="AC29" s="33">
        <f t="shared" si="11"/>
        <v>0</v>
      </c>
      <c r="AD29" s="33">
        <f t="shared" si="12"/>
        <v>0</v>
      </c>
      <c r="AE29" s="20">
        <f t="shared" si="13"/>
        <v>0</v>
      </c>
      <c r="AF29" s="51"/>
      <c r="AG29" s="65">
        <f t="shared" si="71"/>
        <v>0</v>
      </c>
      <c r="AH29" s="65">
        <f t="shared" si="14"/>
        <v>0</v>
      </c>
      <c r="AI29" s="20">
        <f t="shared" si="15"/>
        <v>0</v>
      </c>
      <c r="AJ29" s="20">
        <f t="shared" si="16"/>
        <v>0</v>
      </c>
      <c r="AK29" s="51"/>
      <c r="AL29" s="65">
        <f t="shared" si="72"/>
        <v>0</v>
      </c>
      <c r="AM29" s="65">
        <f t="shared" si="17"/>
        <v>0</v>
      </c>
      <c r="AN29" s="20">
        <f t="shared" si="18"/>
        <v>0</v>
      </c>
      <c r="AO29" s="20">
        <f t="shared" si="19"/>
        <v>0</v>
      </c>
      <c r="AP29" s="51"/>
      <c r="AQ29" s="65">
        <f t="shared" si="73"/>
        <v>0</v>
      </c>
      <c r="AR29" s="65">
        <f t="shared" si="20"/>
        <v>0</v>
      </c>
      <c r="AS29" s="20">
        <f t="shared" si="21"/>
        <v>0</v>
      </c>
      <c r="AT29" s="20">
        <f t="shared" si="22"/>
        <v>0</v>
      </c>
      <c r="AU29" s="51"/>
      <c r="AV29" s="51">
        <f t="shared" si="74"/>
        <v>0</v>
      </c>
      <c r="AW29" s="51">
        <f t="shared" si="23"/>
        <v>0</v>
      </c>
      <c r="AX29" s="33">
        <f t="shared" si="24"/>
        <v>0</v>
      </c>
      <c r="AY29" s="20">
        <f t="shared" si="25"/>
        <v>0</v>
      </c>
      <c r="AZ29" s="51"/>
      <c r="BA29" s="33">
        <f t="shared" si="75"/>
        <v>0</v>
      </c>
      <c r="BB29" s="33">
        <f t="shared" si="26"/>
        <v>0</v>
      </c>
      <c r="BC29" s="33">
        <f t="shared" si="27"/>
        <v>0</v>
      </c>
      <c r="BD29" s="20">
        <f t="shared" si="28"/>
        <v>0</v>
      </c>
      <c r="BE29" s="51"/>
      <c r="BF29" s="51">
        <f t="shared" si="76"/>
        <v>0</v>
      </c>
      <c r="BG29" s="51">
        <f t="shared" si="29"/>
        <v>0</v>
      </c>
      <c r="BH29" s="33">
        <f t="shared" si="30"/>
        <v>0</v>
      </c>
      <c r="BI29" s="20">
        <f t="shared" si="31"/>
        <v>0</v>
      </c>
      <c r="BJ29" s="51"/>
      <c r="BK29" s="51">
        <f t="shared" si="77"/>
        <v>0</v>
      </c>
      <c r="BL29" s="51">
        <f t="shared" si="32"/>
        <v>0</v>
      </c>
      <c r="BM29" s="33">
        <f t="shared" si="33"/>
        <v>0</v>
      </c>
      <c r="BN29" s="20">
        <f t="shared" si="34"/>
        <v>0</v>
      </c>
      <c r="BO29" s="51"/>
      <c r="BP29" s="51">
        <f t="shared" si="78"/>
        <v>0</v>
      </c>
      <c r="BQ29" s="51">
        <f t="shared" si="35"/>
        <v>0</v>
      </c>
      <c r="BR29" s="33">
        <f t="shared" si="36"/>
        <v>0</v>
      </c>
      <c r="BS29" s="20">
        <f t="shared" si="37"/>
        <v>0</v>
      </c>
      <c r="BT29" s="51"/>
      <c r="BU29" s="51">
        <f t="shared" si="79"/>
        <v>0</v>
      </c>
      <c r="BV29" s="51">
        <f t="shared" si="38"/>
        <v>0</v>
      </c>
      <c r="BW29" s="33">
        <f t="shared" si="39"/>
        <v>0</v>
      </c>
      <c r="BX29" s="20">
        <f t="shared" si="40"/>
        <v>0</v>
      </c>
      <c r="BY29" s="51"/>
      <c r="BZ29" s="33">
        <f t="shared" si="80"/>
        <v>0</v>
      </c>
      <c r="CA29" s="33">
        <f t="shared" si="41"/>
        <v>0</v>
      </c>
      <c r="CB29" s="33">
        <f t="shared" si="42"/>
        <v>0</v>
      </c>
      <c r="CC29" s="20">
        <f t="shared" si="43"/>
        <v>0</v>
      </c>
      <c r="CD29" s="51"/>
      <c r="CE29" s="51">
        <f t="shared" si="81"/>
        <v>0</v>
      </c>
      <c r="CF29" s="51">
        <f t="shared" si="44"/>
        <v>0</v>
      </c>
      <c r="CG29" s="33">
        <f t="shared" si="45"/>
        <v>0</v>
      </c>
      <c r="CH29" s="20">
        <f t="shared" si="46"/>
        <v>0</v>
      </c>
      <c r="CI29" s="51"/>
      <c r="CJ29" s="51">
        <f t="shared" si="82"/>
        <v>0</v>
      </c>
      <c r="CK29" s="51">
        <f t="shared" si="47"/>
        <v>0</v>
      </c>
      <c r="CL29" s="33">
        <f t="shared" si="48"/>
        <v>0</v>
      </c>
      <c r="CM29" s="20">
        <f t="shared" si="49"/>
        <v>0</v>
      </c>
      <c r="CN29" s="51"/>
      <c r="CO29" s="51">
        <f t="shared" si="83"/>
        <v>0</v>
      </c>
      <c r="CP29" s="51">
        <f t="shared" si="50"/>
        <v>0</v>
      </c>
      <c r="CQ29" s="33">
        <f t="shared" si="51"/>
        <v>0</v>
      </c>
      <c r="CR29" s="20">
        <f t="shared" si="52"/>
        <v>0</v>
      </c>
      <c r="CS29" s="51"/>
      <c r="CT29" s="51">
        <f t="shared" si="84"/>
        <v>0</v>
      </c>
      <c r="CU29" s="51">
        <f t="shared" si="53"/>
        <v>0</v>
      </c>
      <c r="CV29" s="33">
        <f t="shared" si="54"/>
        <v>0</v>
      </c>
      <c r="CW29" s="20">
        <f t="shared" si="55"/>
        <v>0</v>
      </c>
      <c r="CX29" s="51"/>
      <c r="CY29" s="51">
        <f t="shared" si="85"/>
        <v>0</v>
      </c>
      <c r="CZ29" s="51">
        <f t="shared" si="56"/>
        <v>0</v>
      </c>
      <c r="DA29" s="33">
        <f t="shared" si="57"/>
        <v>0</v>
      </c>
      <c r="DB29" s="20">
        <f t="shared" si="58"/>
        <v>0</v>
      </c>
      <c r="DC29" s="51"/>
      <c r="DD29" s="51">
        <f t="shared" si="86"/>
        <v>0</v>
      </c>
      <c r="DE29" s="51">
        <f t="shared" si="59"/>
        <v>0</v>
      </c>
      <c r="DF29" s="33">
        <f t="shared" si="60"/>
        <v>0</v>
      </c>
      <c r="DG29" s="20">
        <f t="shared" si="61"/>
        <v>0</v>
      </c>
      <c r="DH29" s="33"/>
      <c r="DI29" s="33">
        <f t="shared" si="87"/>
        <v>0</v>
      </c>
      <c r="DJ29" s="33">
        <f t="shared" si="62"/>
        <v>0</v>
      </c>
      <c r="DK29" s="33">
        <f t="shared" si="63"/>
        <v>0</v>
      </c>
      <c r="DL29" s="20">
        <f t="shared" si="64"/>
        <v>0</v>
      </c>
      <c r="DM29" s="51"/>
      <c r="DN29" s="51">
        <f t="shared" si="88"/>
        <v>0</v>
      </c>
      <c r="DO29" s="51">
        <f t="shared" si="65"/>
        <v>0</v>
      </c>
      <c r="DP29" s="33">
        <f t="shared" si="66"/>
        <v>0</v>
      </c>
      <c r="DQ29" s="20">
        <f t="shared" si="67"/>
        <v>0</v>
      </c>
      <c r="DR29" s="51"/>
      <c r="DS29" s="33"/>
      <c r="DT29" s="33"/>
      <c r="DU29" s="33"/>
    </row>
    <row r="30" spans="1:125" s="53" customFormat="1" ht="12">
      <c r="A30" s="52">
        <v>45931</v>
      </c>
      <c r="C30" s="41"/>
      <c r="D30" s="41"/>
      <c r="E30" s="35">
        <f t="shared" si="0"/>
        <v>0</v>
      </c>
      <c r="F30" s="35"/>
      <c r="G30" s="51"/>
      <c r="H30" s="51"/>
      <c r="I30" s="51"/>
      <c r="J30" s="51">
        <f t="shared" si="1"/>
        <v>0</v>
      </c>
      <c r="K30" s="51"/>
      <c r="L30" s="51"/>
      <c r="M30" s="51">
        <f t="shared" si="2"/>
        <v>0</v>
      </c>
      <c r="N30" s="41">
        <f t="shared" si="3"/>
        <v>0</v>
      </c>
      <c r="O30" s="33">
        <f t="shared" si="4"/>
        <v>0</v>
      </c>
      <c r="P30" s="41">
        <f t="shared" si="3"/>
        <v>0</v>
      </c>
      <c r="Q30" s="51"/>
      <c r="R30" s="65"/>
      <c r="S30" s="65">
        <f t="shared" si="5"/>
        <v>0</v>
      </c>
      <c r="T30" s="20">
        <f t="shared" si="6"/>
        <v>0</v>
      </c>
      <c r="U30" s="20">
        <f t="shared" si="7"/>
        <v>0</v>
      </c>
      <c r="V30" s="51"/>
      <c r="W30" s="65"/>
      <c r="X30" s="65">
        <f t="shared" si="8"/>
        <v>0</v>
      </c>
      <c r="Y30" s="20">
        <f t="shared" si="9"/>
        <v>0</v>
      </c>
      <c r="Z30" s="20">
        <f t="shared" si="10"/>
        <v>0</v>
      </c>
      <c r="AA30" s="51"/>
      <c r="AB30" s="33"/>
      <c r="AC30" s="33">
        <f t="shared" si="11"/>
        <v>0</v>
      </c>
      <c r="AD30" s="33">
        <f t="shared" si="12"/>
        <v>0</v>
      </c>
      <c r="AE30" s="20">
        <f t="shared" si="13"/>
        <v>0</v>
      </c>
      <c r="AF30" s="51"/>
      <c r="AG30" s="65"/>
      <c r="AH30" s="65">
        <f t="shared" si="14"/>
        <v>0</v>
      </c>
      <c r="AI30" s="20">
        <f t="shared" si="15"/>
        <v>0</v>
      </c>
      <c r="AJ30" s="20">
        <f t="shared" si="16"/>
        <v>0</v>
      </c>
      <c r="AK30" s="51"/>
      <c r="AL30" s="65"/>
      <c r="AM30" s="65">
        <f t="shared" si="17"/>
        <v>0</v>
      </c>
      <c r="AN30" s="20">
        <f t="shared" si="18"/>
        <v>0</v>
      </c>
      <c r="AO30" s="20">
        <f t="shared" si="19"/>
        <v>0</v>
      </c>
      <c r="AP30" s="51"/>
      <c r="AQ30" s="65"/>
      <c r="AR30" s="65">
        <f t="shared" si="20"/>
        <v>0</v>
      </c>
      <c r="AS30" s="20">
        <f t="shared" si="21"/>
        <v>0</v>
      </c>
      <c r="AT30" s="20">
        <f t="shared" si="22"/>
        <v>0</v>
      </c>
      <c r="AU30" s="51"/>
      <c r="AV30" s="51"/>
      <c r="AW30" s="51">
        <f t="shared" si="23"/>
        <v>0</v>
      </c>
      <c r="AX30" s="33">
        <f t="shared" si="24"/>
        <v>0</v>
      </c>
      <c r="AY30" s="20">
        <f t="shared" si="25"/>
        <v>0</v>
      </c>
      <c r="AZ30" s="51"/>
      <c r="BA30" s="33"/>
      <c r="BB30" s="33">
        <f t="shared" si="26"/>
        <v>0</v>
      </c>
      <c r="BC30" s="33">
        <f t="shared" si="27"/>
        <v>0</v>
      </c>
      <c r="BD30" s="20">
        <f t="shared" si="28"/>
        <v>0</v>
      </c>
      <c r="BE30" s="51"/>
      <c r="BF30" s="51"/>
      <c r="BG30" s="51">
        <f t="shared" si="29"/>
        <v>0</v>
      </c>
      <c r="BH30" s="33">
        <f t="shared" si="30"/>
        <v>0</v>
      </c>
      <c r="BI30" s="20">
        <f t="shared" si="31"/>
        <v>0</v>
      </c>
      <c r="BJ30" s="51"/>
      <c r="BK30" s="51"/>
      <c r="BL30" s="51">
        <f t="shared" si="32"/>
        <v>0</v>
      </c>
      <c r="BM30" s="33">
        <f t="shared" si="33"/>
        <v>0</v>
      </c>
      <c r="BN30" s="20">
        <f t="shared" si="34"/>
        <v>0</v>
      </c>
      <c r="BO30" s="51"/>
      <c r="BP30" s="51"/>
      <c r="BQ30" s="51">
        <f t="shared" si="35"/>
        <v>0</v>
      </c>
      <c r="BR30" s="33">
        <f t="shared" si="36"/>
        <v>0</v>
      </c>
      <c r="BS30" s="20">
        <f t="shared" si="37"/>
        <v>0</v>
      </c>
      <c r="BT30" s="51"/>
      <c r="BU30" s="51"/>
      <c r="BV30" s="51">
        <f t="shared" si="38"/>
        <v>0</v>
      </c>
      <c r="BW30" s="33">
        <f t="shared" si="39"/>
        <v>0</v>
      </c>
      <c r="BX30" s="20">
        <f t="shared" si="40"/>
        <v>0</v>
      </c>
      <c r="BY30" s="51"/>
      <c r="BZ30" s="33"/>
      <c r="CA30" s="33">
        <f t="shared" si="41"/>
        <v>0</v>
      </c>
      <c r="CB30" s="33">
        <f t="shared" si="42"/>
        <v>0</v>
      </c>
      <c r="CC30" s="20">
        <f t="shared" si="43"/>
        <v>0</v>
      </c>
      <c r="CD30" s="51"/>
      <c r="CE30" s="51"/>
      <c r="CF30" s="51">
        <f t="shared" si="44"/>
        <v>0</v>
      </c>
      <c r="CG30" s="33">
        <f t="shared" si="45"/>
        <v>0</v>
      </c>
      <c r="CH30" s="20">
        <f t="shared" si="46"/>
        <v>0</v>
      </c>
      <c r="CI30" s="51"/>
      <c r="CJ30" s="51"/>
      <c r="CK30" s="51">
        <f t="shared" si="47"/>
        <v>0</v>
      </c>
      <c r="CL30" s="33">
        <f t="shared" si="48"/>
        <v>0</v>
      </c>
      <c r="CM30" s="20">
        <f t="shared" si="49"/>
        <v>0</v>
      </c>
      <c r="CN30" s="51"/>
      <c r="CO30" s="51"/>
      <c r="CP30" s="51">
        <f t="shared" si="50"/>
        <v>0</v>
      </c>
      <c r="CQ30" s="33">
        <f t="shared" si="51"/>
        <v>0</v>
      </c>
      <c r="CR30" s="20">
        <f t="shared" si="52"/>
        <v>0</v>
      </c>
      <c r="CS30" s="51"/>
      <c r="CT30" s="51"/>
      <c r="CU30" s="51">
        <f t="shared" si="53"/>
        <v>0</v>
      </c>
      <c r="CV30" s="33">
        <f t="shared" si="54"/>
        <v>0</v>
      </c>
      <c r="CW30" s="20">
        <f t="shared" si="55"/>
        <v>0</v>
      </c>
      <c r="CX30" s="51"/>
      <c r="CY30" s="51"/>
      <c r="CZ30" s="51">
        <f t="shared" si="56"/>
        <v>0</v>
      </c>
      <c r="DA30" s="33">
        <f t="shared" si="57"/>
        <v>0</v>
      </c>
      <c r="DB30" s="20">
        <f t="shared" si="58"/>
        <v>0</v>
      </c>
      <c r="DC30" s="51"/>
      <c r="DD30" s="51"/>
      <c r="DE30" s="51">
        <f t="shared" si="59"/>
        <v>0</v>
      </c>
      <c r="DF30" s="33">
        <f t="shared" si="60"/>
        <v>0</v>
      </c>
      <c r="DG30" s="20">
        <f t="shared" si="61"/>
        <v>0</v>
      </c>
      <c r="DH30" s="33"/>
      <c r="DI30" s="33"/>
      <c r="DJ30" s="33">
        <f t="shared" si="62"/>
        <v>0</v>
      </c>
      <c r="DK30" s="33">
        <f t="shared" si="63"/>
        <v>0</v>
      </c>
      <c r="DL30" s="20">
        <f t="shared" si="64"/>
        <v>0</v>
      </c>
      <c r="DM30" s="51"/>
      <c r="DN30" s="51"/>
      <c r="DO30" s="51">
        <f t="shared" si="65"/>
        <v>0</v>
      </c>
      <c r="DP30" s="33">
        <f t="shared" si="66"/>
        <v>0</v>
      </c>
      <c r="DQ30" s="20">
        <f t="shared" si="67"/>
        <v>0</v>
      </c>
      <c r="DR30" s="51"/>
      <c r="DS30" s="33"/>
      <c r="DT30" s="33"/>
      <c r="DU30" s="33"/>
    </row>
    <row r="31" spans="1:125" s="53" customFormat="1" ht="12">
      <c r="A31" s="52">
        <v>46113</v>
      </c>
      <c r="C31" s="41"/>
      <c r="D31" s="41"/>
      <c r="E31" s="35">
        <f t="shared" si="0"/>
        <v>0</v>
      </c>
      <c r="F31" s="35"/>
      <c r="G31" s="51"/>
      <c r="H31" s="51"/>
      <c r="I31" s="51"/>
      <c r="J31" s="51">
        <f t="shared" si="1"/>
        <v>0</v>
      </c>
      <c r="K31" s="51"/>
      <c r="L31" s="51"/>
      <c r="M31" s="51">
        <f t="shared" si="2"/>
        <v>0</v>
      </c>
      <c r="N31" s="41">
        <f t="shared" si="3"/>
        <v>0</v>
      </c>
      <c r="O31" s="33">
        <f t="shared" si="4"/>
        <v>0</v>
      </c>
      <c r="P31" s="41">
        <f t="shared" si="3"/>
        <v>0</v>
      </c>
      <c r="Q31" s="51"/>
      <c r="R31" s="65">
        <f t="shared" si="68"/>
        <v>0</v>
      </c>
      <c r="S31" s="65">
        <f t="shared" si="5"/>
        <v>0</v>
      </c>
      <c r="T31" s="20">
        <f t="shared" si="6"/>
        <v>0</v>
      </c>
      <c r="U31" s="20">
        <f t="shared" si="7"/>
        <v>0</v>
      </c>
      <c r="V31" s="51"/>
      <c r="W31" s="65">
        <f t="shared" si="69"/>
        <v>0</v>
      </c>
      <c r="X31" s="65">
        <f t="shared" si="8"/>
        <v>0</v>
      </c>
      <c r="Y31" s="20">
        <f t="shared" si="9"/>
        <v>0</v>
      </c>
      <c r="Z31" s="20">
        <f t="shared" si="10"/>
        <v>0</v>
      </c>
      <c r="AA31" s="51"/>
      <c r="AB31" s="33">
        <f t="shared" si="70"/>
        <v>0</v>
      </c>
      <c r="AC31" s="33">
        <f t="shared" si="11"/>
        <v>0</v>
      </c>
      <c r="AD31" s="33">
        <f t="shared" si="12"/>
        <v>0</v>
      </c>
      <c r="AE31" s="20">
        <f t="shared" si="13"/>
        <v>0</v>
      </c>
      <c r="AF31" s="51"/>
      <c r="AG31" s="65">
        <f t="shared" si="71"/>
        <v>0</v>
      </c>
      <c r="AH31" s="65">
        <f t="shared" si="14"/>
        <v>0</v>
      </c>
      <c r="AI31" s="20">
        <f t="shared" si="15"/>
        <v>0</v>
      </c>
      <c r="AJ31" s="20">
        <f t="shared" si="16"/>
        <v>0</v>
      </c>
      <c r="AK31" s="51"/>
      <c r="AL31" s="65">
        <f t="shared" si="72"/>
        <v>0</v>
      </c>
      <c r="AM31" s="65">
        <f t="shared" si="17"/>
        <v>0</v>
      </c>
      <c r="AN31" s="20">
        <f t="shared" si="18"/>
        <v>0</v>
      </c>
      <c r="AO31" s="20">
        <f t="shared" si="19"/>
        <v>0</v>
      </c>
      <c r="AP31" s="51"/>
      <c r="AQ31" s="65">
        <f t="shared" si="73"/>
        <v>0</v>
      </c>
      <c r="AR31" s="65">
        <f t="shared" si="20"/>
        <v>0</v>
      </c>
      <c r="AS31" s="20">
        <f t="shared" si="21"/>
        <v>0</v>
      </c>
      <c r="AT31" s="20">
        <f t="shared" si="22"/>
        <v>0</v>
      </c>
      <c r="AU31" s="51"/>
      <c r="AV31" s="51">
        <f t="shared" si="74"/>
        <v>0</v>
      </c>
      <c r="AW31" s="51">
        <f t="shared" si="23"/>
        <v>0</v>
      </c>
      <c r="AX31" s="33">
        <f t="shared" si="24"/>
        <v>0</v>
      </c>
      <c r="AY31" s="20">
        <f t="shared" si="25"/>
        <v>0</v>
      </c>
      <c r="AZ31" s="51"/>
      <c r="BA31" s="33">
        <f t="shared" si="75"/>
        <v>0</v>
      </c>
      <c r="BB31" s="33">
        <f t="shared" si="26"/>
        <v>0</v>
      </c>
      <c r="BC31" s="33">
        <f t="shared" si="27"/>
        <v>0</v>
      </c>
      <c r="BD31" s="20">
        <f t="shared" si="28"/>
        <v>0</v>
      </c>
      <c r="BE31" s="51"/>
      <c r="BF31" s="51">
        <f t="shared" si="76"/>
        <v>0</v>
      </c>
      <c r="BG31" s="51">
        <f t="shared" si="29"/>
        <v>0</v>
      </c>
      <c r="BH31" s="33">
        <f t="shared" si="30"/>
        <v>0</v>
      </c>
      <c r="BI31" s="20">
        <f t="shared" si="31"/>
        <v>0</v>
      </c>
      <c r="BJ31" s="51"/>
      <c r="BK31" s="51">
        <f t="shared" si="77"/>
        <v>0</v>
      </c>
      <c r="BL31" s="51">
        <f t="shared" si="32"/>
        <v>0</v>
      </c>
      <c r="BM31" s="33">
        <f t="shared" si="33"/>
        <v>0</v>
      </c>
      <c r="BN31" s="20">
        <f t="shared" si="34"/>
        <v>0</v>
      </c>
      <c r="BO31" s="51"/>
      <c r="BP31" s="51">
        <f t="shared" si="78"/>
        <v>0</v>
      </c>
      <c r="BQ31" s="51">
        <f t="shared" si="35"/>
        <v>0</v>
      </c>
      <c r="BR31" s="33">
        <f t="shared" si="36"/>
        <v>0</v>
      </c>
      <c r="BS31" s="20">
        <f t="shared" si="37"/>
        <v>0</v>
      </c>
      <c r="BT31" s="51"/>
      <c r="BU31" s="51">
        <f t="shared" si="79"/>
        <v>0</v>
      </c>
      <c r="BV31" s="51">
        <f t="shared" si="38"/>
        <v>0</v>
      </c>
      <c r="BW31" s="33">
        <f t="shared" si="39"/>
        <v>0</v>
      </c>
      <c r="BX31" s="20">
        <f t="shared" si="40"/>
        <v>0</v>
      </c>
      <c r="BY31" s="51"/>
      <c r="BZ31" s="33">
        <f t="shared" si="80"/>
        <v>0</v>
      </c>
      <c r="CA31" s="33">
        <f t="shared" si="41"/>
        <v>0</v>
      </c>
      <c r="CB31" s="33">
        <f t="shared" si="42"/>
        <v>0</v>
      </c>
      <c r="CC31" s="20">
        <f t="shared" si="43"/>
        <v>0</v>
      </c>
      <c r="CD31" s="51"/>
      <c r="CE31" s="51">
        <f t="shared" si="81"/>
        <v>0</v>
      </c>
      <c r="CF31" s="51">
        <f t="shared" si="44"/>
        <v>0</v>
      </c>
      <c r="CG31" s="33">
        <f t="shared" si="45"/>
        <v>0</v>
      </c>
      <c r="CH31" s="20">
        <f t="shared" si="46"/>
        <v>0</v>
      </c>
      <c r="CI31" s="51"/>
      <c r="CJ31" s="51">
        <f t="shared" si="82"/>
        <v>0</v>
      </c>
      <c r="CK31" s="51">
        <f t="shared" si="47"/>
        <v>0</v>
      </c>
      <c r="CL31" s="33">
        <f t="shared" si="48"/>
        <v>0</v>
      </c>
      <c r="CM31" s="20">
        <f t="shared" si="49"/>
        <v>0</v>
      </c>
      <c r="CN31" s="51"/>
      <c r="CO31" s="51">
        <f t="shared" si="83"/>
        <v>0</v>
      </c>
      <c r="CP31" s="51">
        <f t="shared" si="50"/>
        <v>0</v>
      </c>
      <c r="CQ31" s="33">
        <f t="shared" si="51"/>
        <v>0</v>
      </c>
      <c r="CR31" s="20">
        <f t="shared" si="52"/>
        <v>0</v>
      </c>
      <c r="CS31" s="51"/>
      <c r="CT31" s="51">
        <f t="shared" si="84"/>
        <v>0</v>
      </c>
      <c r="CU31" s="51">
        <f t="shared" si="53"/>
        <v>0</v>
      </c>
      <c r="CV31" s="33">
        <f t="shared" si="54"/>
        <v>0</v>
      </c>
      <c r="CW31" s="20">
        <f t="shared" si="55"/>
        <v>0</v>
      </c>
      <c r="CX31" s="51"/>
      <c r="CY31" s="51">
        <f t="shared" si="85"/>
        <v>0</v>
      </c>
      <c r="CZ31" s="51">
        <f t="shared" si="56"/>
        <v>0</v>
      </c>
      <c r="DA31" s="33">
        <f t="shared" si="57"/>
        <v>0</v>
      </c>
      <c r="DB31" s="20">
        <f t="shared" si="58"/>
        <v>0</v>
      </c>
      <c r="DC31" s="51"/>
      <c r="DD31" s="51">
        <f t="shared" si="86"/>
        <v>0</v>
      </c>
      <c r="DE31" s="51">
        <f t="shared" si="59"/>
        <v>0</v>
      </c>
      <c r="DF31" s="33">
        <f t="shared" si="60"/>
        <v>0</v>
      </c>
      <c r="DG31" s="20">
        <f t="shared" si="61"/>
        <v>0</v>
      </c>
      <c r="DH31" s="33"/>
      <c r="DI31" s="33">
        <f t="shared" si="87"/>
        <v>0</v>
      </c>
      <c r="DJ31" s="33">
        <f t="shared" si="62"/>
        <v>0</v>
      </c>
      <c r="DK31" s="33">
        <f t="shared" si="63"/>
        <v>0</v>
      </c>
      <c r="DL31" s="20">
        <f t="shared" si="64"/>
        <v>0</v>
      </c>
      <c r="DM31" s="51"/>
      <c r="DN31" s="51">
        <f t="shared" si="88"/>
        <v>0</v>
      </c>
      <c r="DO31" s="51">
        <f t="shared" si="65"/>
        <v>0</v>
      </c>
      <c r="DP31" s="33">
        <f t="shared" si="66"/>
        <v>0</v>
      </c>
      <c r="DQ31" s="20">
        <f t="shared" si="67"/>
        <v>0</v>
      </c>
      <c r="DR31" s="51"/>
      <c r="DS31" s="33"/>
      <c r="DT31" s="33"/>
      <c r="DU31" s="33"/>
    </row>
    <row r="32" spans="1:125" s="53" customFormat="1" ht="12">
      <c r="A32" s="19">
        <v>46296</v>
      </c>
      <c r="C32" s="41"/>
      <c r="D32" s="41"/>
      <c r="E32" s="35">
        <f t="shared" si="0"/>
        <v>0</v>
      </c>
      <c r="F32" s="35"/>
      <c r="G32" s="51"/>
      <c r="H32" s="51"/>
      <c r="I32" s="51"/>
      <c r="J32" s="51">
        <f t="shared" si="1"/>
        <v>0</v>
      </c>
      <c r="K32" s="51"/>
      <c r="L32" s="51"/>
      <c r="M32" s="51">
        <f t="shared" si="2"/>
        <v>0</v>
      </c>
      <c r="N32" s="41">
        <f t="shared" si="3"/>
        <v>0</v>
      </c>
      <c r="O32" s="33">
        <f t="shared" si="4"/>
        <v>0</v>
      </c>
      <c r="P32" s="41">
        <f t="shared" si="3"/>
        <v>0</v>
      </c>
      <c r="Q32" s="51"/>
      <c r="R32" s="65"/>
      <c r="S32" s="65">
        <f t="shared" si="5"/>
        <v>0</v>
      </c>
      <c r="T32" s="20">
        <f t="shared" si="6"/>
        <v>0</v>
      </c>
      <c r="U32" s="20">
        <f t="shared" si="7"/>
        <v>0</v>
      </c>
      <c r="V32" s="51"/>
      <c r="W32" s="65"/>
      <c r="X32" s="65">
        <f t="shared" si="8"/>
        <v>0</v>
      </c>
      <c r="Y32" s="20">
        <f t="shared" si="9"/>
        <v>0</v>
      </c>
      <c r="Z32" s="20">
        <f t="shared" si="10"/>
        <v>0</v>
      </c>
      <c r="AA32" s="51"/>
      <c r="AB32" s="33"/>
      <c r="AC32" s="33">
        <f t="shared" si="11"/>
        <v>0</v>
      </c>
      <c r="AD32" s="33">
        <f t="shared" si="12"/>
        <v>0</v>
      </c>
      <c r="AE32" s="20">
        <f t="shared" si="13"/>
        <v>0</v>
      </c>
      <c r="AF32" s="51"/>
      <c r="AG32" s="65"/>
      <c r="AH32" s="65">
        <f t="shared" si="14"/>
        <v>0</v>
      </c>
      <c r="AI32" s="20">
        <f t="shared" si="15"/>
        <v>0</v>
      </c>
      <c r="AJ32" s="20">
        <f t="shared" si="16"/>
        <v>0</v>
      </c>
      <c r="AK32" s="51"/>
      <c r="AL32" s="65"/>
      <c r="AM32" s="65">
        <f t="shared" si="17"/>
        <v>0</v>
      </c>
      <c r="AN32" s="20">
        <f t="shared" si="18"/>
        <v>0</v>
      </c>
      <c r="AO32" s="20">
        <f t="shared" si="19"/>
        <v>0</v>
      </c>
      <c r="AP32" s="51"/>
      <c r="AQ32" s="65"/>
      <c r="AR32" s="65">
        <f t="shared" si="20"/>
        <v>0</v>
      </c>
      <c r="AS32" s="20">
        <f t="shared" si="21"/>
        <v>0</v>
      </c>
      <c r="AT32" s="20">
        <f t="shared" si="22"/>
        <v>0</v>
      </c>
      <c r="AU32" s="51"/>
      <c r="AV32" s="51"/>
      <c r="AW32" s="51">
        <f t="shared" si="23"/>
        <v>0</v>
      </c>
      <c r="AX32" s="33">
        <f t="shared" si="24"/>
        <v>0</v>
      </c>
      <c r="AY32" s="20">
        <f t="shared" si="25"/>
        <v>0</v>
      </c>
      <c r="AZ32" s="51"/>
      <c r="BA32" s="33"/>
      <c r="BB32" s="33">
        <f t="shared" si="26"/>
        <v>0</v>
      </c>
      <c r="BC32" s="33">
        <f t="shared" si="27"/>
        <v>0</v>
      </c>
      <c r="BD32" s="20">
        <f t="shared" si="28"/>
        <v>0</v>
      </c>
      <c r="BE32" s="51"/>
      <c r="BF32" s="51"/>
      <c r="BG32" s="51">
        <f t="shared" si="29"/>
        <v>0</v>
      </c>
      <c r="BH32" s="33">
        <f t="shared" si="30"/>
        <v>0</v>
      </c>
      <c r="BI32" s="20">
        <f t="shared" si="31"/>
        <v>0</v>
      </c>
      <c r="BJ32" s="51"/>
      <c r="BK32" s="51"/>
      <c r="BL32" s="51">
        <f t="shared" si="32"/>
        <v>0</v>
      </c>
      <c r="BM32" s="33">
        <f t="shared" si="33"/>
        <v>0</v>
      </c>
      <c r="BN32" s="20">
        <f t="shared" si="34"/>
        <v>0</v>
      </c>
      <c r="BO32" s="51"/>
      <c r="BP32" s="51"/>
      <c r="BQ32" s="51">
        <f t="shared" si="35"/>
        <v>0</v>
      </c>
      <c r="BR32" s="33">
        <f t="shared" si="36"/>
        <v>0</v>
      </c>
      <c r="BS32" s="20">
        <f t="shared" si="37"/>
        <v>0</v>
      </c>
      <c r="BT32" s="51"/>
      <c r="BU32" s="51"/>
      <c r="BV32" s="51">
        <f t="shared" si="38"/>
        <v>0</v>
      </c>
      <c r="BW32" s="33">
        <f t="shared" si="39"/>
        <v>0</v>
      </c>
      <c r="BX32" s="20">
        <f t="shared" si="40"/>
        <v>0</v>
      </c>
      <c r="BY32" s="51"/>
      <c r="BZ32" s="33"/>
      <c r="CA32" s="33">
        <f t="shared" si="41"/>
        <v>0</v>
      </c>
      <c r="CB32" s="33">
        <f t="shared" si="42"/>
        <v>0</v>
      </c>
      <c r="CC32" s="20">
        <f t="shared" si="43"/>
        <v>0</v>
      </c>
      <c r="CD32" s="51"/>
      <c r="CE32" s="51"/>
      <c r="CF32" s="51">
        <f t="shared" si="44"/>
        <v>0</v>
      </c>
      <c r="CG32" s="33">
        <f t="shared" si="45"/>
        <v>0</v>
      </c>
      <c r="CH32" s="20">
        <f t="shared" si="46"/>
        <v>0</v>
      </c>
      <c r="CI32" s="51"/>
      <c r="CJ32" s="51"/>
      <c r="CK32" s="51">
        <f t="shared" si="47"/>
        <v>0</v>
      </c>
      <c r="CL32" s="33">
        <f t="shared" si="48"/>
        <v>0</v>
      </c>
      <c r="CM32" s="20">
        <f t="shared" si="49"/>
        <v>0</v>
      </c>
      <c r="CN32" s="51"/>
      <c r="CO32" s="51"/>
      <c r="CP32" s="51">
        <f t="shared" si="50"/>
        <v>0</v>
      </c>
      <c r="CQ32" s="33">
        <f t="shared" si="51"/>
        <v>0</v>
      </c>
      <c r="CR32" s="20">
        <f t="shared" si="52"/>
        <v>0</v>
      </c>
      <c r="CS32" s="51"/>
      <c r="CT32" s="51"/>
      <c r="CU32" s="51">
        <f t="shared" si="53"/>
        <v>0</v>
      </c>
      <c r="CV32" s="33">
        <f t="shared" si="54"/>
        <v>0</v>
      </c>
      <c r="CW32" s="20">
        <f t="shared" si="55"/>
        <v>0</v>
      </c>
      <c r="CX32" s="51"/>
      <c r="CY32" s="51"/>
      <c r="CZ32" s="51">
        <f t="shared" si="56"/>
        <v>0</v>
      </c>
      <c r="DA32" s="33">
        <f t="shared" si="57"/>
        <v>0</v>
      </c>
      <c r="DB32" s="20">
        <f t="shared" si="58"/>
        <v>0</v>
      </c>
      <c r="DC32" s="51"/>
      <c r="DD32" s="51"/>
      <c r="DE32" s="51">
        <f t="shared" si="59"/>
        <v>0</v>
      </c>
      <c r="DF32" s="33">
        <f t="shared" si="60"/>
        <v>0</v>
      </c>
      <c r="DG32" s="20">
        <f t="shared" si="61"/>
        <v>0</v>
      </c>
      <c r="DH32" s="33"/>
      <c r="DI32" s="33"/>
      <c r="DJ32" s="33">
        <f t="shared" si="62"/>
        <v>0</v>
      </c>
      <c r="DK32" s="33">
        <f t="shared" si="63"/>
        <v>0</v>
      </c>
      <c r="DL32" s="20">
        <f t="shared" si="64"/>
        <v>0</v>
      </c>
      <c r="DM32" s="51"/>
      <c r="DN32" s="51"/>
      <c r="DO32" s="51">
        <f t="shared" si="65"/>
        <v>0</v>
      </c>
      <c r="DP32" s="33">
        <f t="shared" si="66"/>
        <v>0</v>
      </c>
      <c r="DQ32" s="20">
        <f t="shared" si="67"/>
        <v>0</v>
      </c>
      <c r="DR32" s="51"/>
      <c r="DS32" s="33"/>
      <c r="DT32" s="33"/>
      <c r="DU32" s="33"/>
    </row>
    <row r="33" spans="1:125" s="53" customFormat="1" ht="12">
      <c r="A33" s="19">
        <v>46478</v>
      </c>
      <c r="C33" s="41"/>
      <c r="D33" s="41"/>
      <c r="E33" s="35">
        <f t="shared" si="0"/>
        <v>0</v>
      </c>
      <c r="F33" s="35"/>
      <c r="G33" s="51"/>
      <c r="H33" s="51"/>
      <c r="I33" s="51"/>
      <c r="J33" s="51">
        <f t="shared" si="1"/>
        <v>0</v>
      </c>
      <c r="K33" s="51"/>
      <c r="L33" s="51"/>
      <c r="M33" s="51">
        <f t="shared" si="2"/>
        <v>0</v>
      </c>
      <c r="N33" s="41">
        <f t="shared" si="3"/>
        <v>0</v>
      </c>
      <c r="O33" s="33">
        <f t="shared" si="4"/>
        <v>0</v>
      </c>
      <c r="P33" s="41">
        <f t="shared" si="3"/>
        <v>0</v>
      </c>
      <c r="Q33" s="51"/>
      <c r="R33" s="65">
        <f t="shared" si="68"/>
        <v>0</v>
      </c>
      <c r="S33" s="65">
        <f t="shared" si="5"/>
        <v>0</v>
      </c>
      <c r="T33" s="20">
        <f t="shared" si="6"/>
        <v>0</v>
      </c>
      <c r="U33" s="20">
        <f t="shared" si="7"/>
        <v>0</v>
      </c>
      <c r="V33" s="51"/>
      <c r="W33" s="65">
        <f t="shared" si="69"/>
        <v>0</v>
      </c>
      <c r="X33" s="65">
        <f t="shared" si="8"/>
        <v>0</v>
      </c>
      <c r="Y33" s="20">
        <f t="shared" si="9"/>
        <v>0</v>
      </c>
      <c r="Z33" s="20">
        <f t="shared" si="10"/>
        <v>0</v>
      </c>
      <c r="AA33" s="51"/>
      <c r="AB33" s="33">
        <f t="shared" si="70"/>
        <v>0</v>
      </c>
      <c r="AC33" s="33">
        <f t="shared" si="11"/>
        <v>0</v>
      </c>
      <c r="AD33" s="33">
        <f t="shared" si="12"/>
        <v>0</v>
      </c>
      <c r="AE33" s="20">
        <f t="shared" si="13"/>
        <v>0</v>
      </c>
      <c r="AF33" s="51"/>
      <c r="AG33" s="65">
        <f t="shared" si="71"/>
        <v>0</v>
      </c>
      <c r="AH33" s="65">
        <f t="shared" si="14"/>
        <v>0</v>
      </c>
      <c r="AI33" s="20">
        <f t="shared" si="15"/>
        <v>0</v>
      </c>
      <c r="AJ33" s="20">
        <f t="shared" si="16"/>
        <v>0</v>
      </c>
      <c r="AK33" s="51"/>
      <c r="AL33" s="65">
        <f t="shared" si="72"/>
        <v>0</v>
      </c>
      <c r="AM33" s="65">
        <f t="shared" si="17"/>
        <v>0</v>
      </c>
      <c r="AN33" s="20">
        <f t="shared" si="18"/>
        <v>0</v>
      </c>
      <c r="AO33" s="20">
        <f t="shared" si="19"/>
        <v>0</v>
      </c>
      <c r="AP33" s="51"/>
      <c r="AQ33" s="65">
        <f t="shared" si="73"/>
        <v>0</v>
      </c>
      <c r="AR33" s="65">
        <f t="shared" si="20"/>
        <v>0</v>
      </c>
      <c r="AS33" s="20">
        <f t="shared" si="21"/>
        <v>0</v>
      </c>
      <c r="AT33" s="20">
        <f t="shared" si="22"/>
        <v>0</v>
      </c>
      <c r="AU33" s="51"/>
      <c r="AV33" s="51">
        <f t="shared" si="74"/>
        <v>0</v>
      </c>
      <c r="AW33" s="51">
        <f t="shared" si="23"/>
        <v>0</v>
      </c>
      <c r="AX33" s="33">
        <f t="shared" si="24"/>
        <v>0</v>
      </c>
      <c r="AY33" s="20">
        <f t="shared" si="25"/>
        <v>0</v>
      </c>
      <c r="AZ33" s="51"/>
      <c r="BA33" s="33">
        <f t="shared" si="75"/>
        <v>0</v>
      </c>
      <c r="BB33" s="33">
        <f t="shared" si="26"/>
        <v>0</v>
      </c>
      <c r="BC33" s="33">
        <f t="shared" si="27"/>
        <v>0</v>
      </c>
      <c r="BD33" s="20">
        <f t="shared" si="28"/>
        <v>0</v>
      </c>
      <c r="BE33" s="51"/>
      <c r="BF33" s="51">
        <f t="shared" si="76"/>
        <v>0</v>
      </c>
      <c r="BG33" s="51">
        <f t="shared" si="29"/>
        <v>0</v>
      </c>
      <c r="BH33" s="33">
        <f t="shared" si="30"/>
        <v>0</v>
      </c>
      <c r="BI33" s="20">
        <f t="shared" si="31"/>
        <v>0</v>
      </c>
      <c r="BJ33" s="51"/>
      <c r="BK33" s="51">
        <f t="shared" si="77"/>
        <v>0</v>
      </c>
      <c r="BL33" s="51">
        <f t="shared" si="32"/>
        <v>0</v>
      </c>
      <c r="BM33" s="33">
        <f t="shared" si="33"/>
        <v>0</v>
      </c>
      <c r="BN33" s="20">
        <f t="shared" si="34"/>
        <v>0</v>
      </c>
      <c r="BO33" s="51"/>
      <c r="BP33" s="51">
        <f t="shared" si="78"/>
        <v>0</v>
      </c>
      <c r="BQ33" s="51">
        <f t="shared" si="35"/>
        <v>0</v>
      </c>
      <c r="BR33" s="33">
        <f t="shared" si="36"/>
        <v>0</v>
      </c>
      <c r="BS33" s="20">
        <f t="shared" si="37"/>
        <v>0</v>
      </c>
      <c r="BT33" s="51"/>
      <c r="BU33" s="51">
        <f t="shared" si="79"/>
        <v>0</v>
      </c>
      <c r="BV33" s="51">
        <f t="shared" si="38"/>
        <v>0</v>
      </c>
      <c r="BW33" s="33">
        <f t="shared" si="39"/>
        <v>0</v>
      </c>
      <c r="BX33" s="20">
        <f t="shared" si="40"/>
        <v>0</v>
      </c>
      <c r="BY33" s="51"/>
      <c r="BZ33" s="33">
        <f t="shared" si="80"/>
        <v>0</v>
      </c>
      <c r="CA33" s="33">
        <f t="shared" si="41"/>
        <v>0</v>
      </c>
      <c r="CB33" s="33">
        <f t="shared" si="42"/>
        <v>0</v>
      </c>
      <c r="CC33" s="20">
        <f t="shared" si="43"/>
        <v>0</v>
      </c>
      <c r="CD33" s="51"/>
      <c r="CE33" s="51">
        <f t="shared" si="81"/>
        <v>0</v>
      </c>
      <c r="CF33" s="51">
        <f t="shared" si="44"/>
        <v>0</v>
      </c>
      <c r="CG33" s="33">
        <f t="shared" si="45"/>
        <v>0</v>
      </c>
      <c r="CH33" s="20">
        <f t="shared" si="46"/>
        <v>0</v>
      </c>
      <c r="CI33" s="51"/>
      <c r="CJ33" s="51">
        <f t="shared" si="82"/>
        <v>0</v>
      </c>
      <c r="CK33" s="51">
        <f t="shared" si="47"/>
        <v>0</v>
      </c>
      <c r="CL33" s="33">
        <f t="shared" si="48"/>
        <v>0</v>
      </c>
      <c r="CM33" s="20">
        <f t="shared" si="49"/>
        <v>0</v>
      </c>
      <c r="CN33" s="51"/>
      <c r="CO33" s="51">
        <f t="shared" si="83"/>
        <v>0</v>
      </c>
      <c r="CP33" s="51">
        <f t="shared" si="50"/>
        <v>0</v>
      </c>
      <c r="CQ33" s="33">
        <f t="shared" si="51"/>
        <v>0</v>
      </c>
      <c r="CR33" s="20">
        <f t="shared" si="52"/>
        <v>0</v>
      </c>
      <c r="CS33" s="51"/>
      <c r="CT33" s="51">
        <f t="shared" si="84"/>
        <v>0</v>
      </c>
      <c r="CU33" s="51">
        <f t="shared" si="53"/>
        <v>0</v>
      </c>
      <c r="CV33" s="33">
        <f t="shared" si="54"/>
        <v>0</v>
      </c>
      <c r="CW33" s="20">
        <f t="shared" si="55"/>
        <v>0</v>
      </c>
      <c r="CX33" s="51"/>
      <c r="CY33" s="51">
        <f t="shared" si="85"/>
        <v>0</v>
      </c>
      <c r="CZ33" s="51">
        <f t="shared" si="56"/>
        <v>0</v>
      </c>
      <c r="DA33" s="33">
        <f t="shared" si="57"/>
        <v>0</v>
      </c>
      <c r="DB33" s="20">
        <f t="shared" si="58"/>
        <v>0</v>
      </c>
      <c r="DC33" s="51"/>
      <c r="DD33" s="51">
        <f t="shared" si="86"/>
        <v>0</v>
      </c>
      <c r="DE33" s="51">
        <f t="shared" si="59"/>
        <v>0</v>
      </c>
      <c r="DF33" s="33">
        <f t="shared" si="60"/>
        <v>0</v>
      </c>
      <c r="DG33" s="20">
        <f t="shared" si="61"/>
        <v>0</v>
      </c>
      <c r="DH33" s="33"/>
      <c r="DI33" s="33">
        <f t="shared" si="87"/>
        <v>0</v>
      </c>
      <c r="DJ33" s="33">
        <f t="shared" si="62"/>
        <v>0</v>
      </c>
      <c r="DK33" s="33">
        <f t="shared" si="63"/>
        <v>0</v>
      </c>
      <c r="DL33" s="20">
        <f t="shared" si="64"/>
        <v>0</v>
      </c>
      <c r="DM33" s="51"/>
      <c r="DN33" s="51">
        <f t="shared" si="88"/>
        <v>0</v>
      </c>
      <c r="DO33" s="51">
        <f t="shared" si="65"/>
        <v>0</v>
      </c>
      <c r="DP33" s="33">
        <f t="shared" si="66"/>
        <v>0</v>
      </c>
      <c r="DQ33" s="20">
        <f t="shared" si="67"/>
        <v>0</v>
      </c>
      <c r="DR33" s="51"/>
      <c r="DS33" s="33"/>
      <c r="DT33" s="33"/>
      <c r="DU33" s="33"/>
    </row>
    <row r="34" spans="1:125" ht="12">
      <c r="A34" s="19">
        <v>46661</v>
      </c>
      <c r="C34" s="41"/>
      <c r="D34" s="41"/>
      <c r="E34" s="35">
        <f t="shared" si="0"/>
        <v>0</v>
      </c>
      <c r="H34" s="51"/>
      <c r="I34" s="51"/>
      <c r="J34" s="51">
        <f t="shared" si="1"/>
        <v>0</v>
      </c>
      <c r="K34" s="51"/>
      <c r="M34" s="51">
        <f t="shared" si="2"/>
        <v>0</v>
      </c>
      <c r="N34" s="41">
        <f t="shared" si="3"/>
        <v>0</v>
      </c>
      <c r="O34" s="33">
        <f t="shared" si="4"/>
        <v>0</v>
      </c>
      <c r="P34" s="41">
        <f t="shared" si="3"/>
        <v>0</v>
      </c>
      <c r="R34" s="65"/>
      <c r="S34" s="65">
        <f t="shared" si="5"/>
        <v>0</v>
      </c>
      <c r="T34" s="20">
        <f t="shared" si="6"/>
        <v>0</v>
      </c>
      <c r="U34" s="20">
        <f t="shared" si="7"/>
        <v>0</v>
      </c>
      <c r="W34" s="65"/>
      <c r="X34" s="65">
        <f t="shared" si="8"/>
        <v>0</v>
      </c>
      <c r="Y34" s="20">
        <f t="shared" si="9"/>
        <v>0</v>
      </c>
      <c r="Z34" s="20">
        <f t="shared" si="10"/>
        <v>0</v>
      </c>
      <c r="AC34" s="33">
        <f t="shared" si="11"/>
        <v>0</v>
      </c>
      <c r="AD34" s="33">
        <f t="shared" si="12"/>
        <v>0</v>
      </c>
      <c r="AE34" s="20">
        <f t="shared" si="13"/>
        <v>0</v>
      </c>
      <c r="AG34" s="65"/>
      <c r="AH34" s="65">
        <f t="shared" si="14"/>
        <v>0</v>
      </c>
      <c r="AI34" s="20">
        <f t="shared" si="15"/>
        <v>0</v>
      </c>
      <c r="AJ34" s="20">
        <f t="shared" si="16"/>
        <v>0</v>
      </c>
      <c r="AL34" s="65"/>
      <c r="AM34" s="65">
        <f t="shared" si="17"/>
        <v>0</v>
      </c>
      <c r="AN34" s="20">
        <f t="shared" si="18"/>
        <v>0</v>
      </c>
      <c r="AO34" s="20">
        <f t="shared" si="19"/>
        <v>0</v>
      </c>
      <c r="AP34" s="33"/>
      <c r="AQ34" s="65"/>
      <c r="AR34" s="65">
        <f t="shared" si="20"/>
        <v>0</v>
      </c>
      <c r="AS34" s="20">
        <f t="shared" si="21"/>
        <v>0</v>
      </c>
      <c r="AT34" s="20">
        <f t="shared" si="22"/>
        <v>0</v>
      </c>
      <c r="AU34" s="33"/>
      <c r="AV34" s="51"/>
      <c r="AW34" s="51">
        <f t="shared" si="23"/>
        <v>0</v>
      </c>
      <c r="AX34" s="33">
        <f t="shared" si="24"/>
        <v>0</v>
      </c>
      <c r="AY34" s="20">
        <f t="shared" si="25"/>
        <v>0</v>
      </c>
      <c r="AZ34" s="33"/>
      <c r="BA34" s="33"/>
      <c r="BB34" s="33">
        <f t="shared" si="26"/>
        <v>0</v>
      </c>
      <c r="BC34" s="33">
        <f t="shared" si="27"/>
        <v>0</v>
      </c>
      <c r="BD34" s="20">
        <f t="shared" si="28"/>
        <v>0</v>
      </c>
      <c r="BE34" s="33"/>
      <c r="BF34" s="51"/>
      <c r="BG34" s="51">
        <f t="shared" si="29"/>
        <v>0</v>
      </c>
      <c r="BH34" s="33">
        <f t="shared" si="30"/>
        <v>0</v>
      </c>
      <c r="BI34" s="20">
        <f t="shared" si="31"/>
        <v>0</v>
      </c>
      <c r="BJ34" s="33"/>
      <c r="BK34" s="51"/>
      <c r="BL34" s="51">
        <f t="shared" si="32"/>
        <v>0</v>
      </c>
      <c r="BM34" s="33">
        <f t="shared" si="33"/>
        <v>0</v>
      </c>
      <c r="BN34" s="20">
        <f t="shared" si="34"/>
        <v>0</v>
      </c>
      <c r="BO34" s="33"/>
      <c r="BP34" s="51"/>
      <c r="BQ34" s="51">
        <f t="shared" si="35"/>
        <v>0</v>
      </c>
      <c r="BR34" s="33">
        <f t="shared" si="36"/>
        <v>0</v>
      </c>
      <c r="BS34" s="20">
        <f t="shared" si="37"/>
        <v>0</v>
      </c>
      <c r="BT34" s="33"/>
      <c r="BU34" s="51"/>
      <c r="BV34" s="51">
        <f t="shared" si="38"/>
        <v>0</v>
      </c>
      <c r="BW34" s="33">
        <f t="shared" si="39"/>
        <v>0</v>
      </c>
      <c r="BX34" s="20">
        <f t="shared" si="40"/>
        <v>0</v>
      </c>
      <c r="BY34" s="33"/>
      <c r="BZ34" s="33"/>
      <c r="CA34" s="33">
        <f t="shared" si="41"/>
        <v>0</v>
      </c>
      <c r="CB34" s="33">
        <f t="shared" si="42"/>
        <v>0</v>
      </c>
      <c r="CC34" s="20">
        <f t="shared" si="43"/>
        <v>0</v>
      </c>
      <c r="CD34" s="33"/>
      <c r="CE34" s="51"/>
      <c r="CF34" s="51">
        <f t="shared" si="44"/>
        <v>0</v>
      </c>
      <c r="CG34" s="33">
        <f t="shared" si="45"/>
        <v>0</v>
      </c>
      <c r="CH34" s="20">
        <f t="shared" si="46"/>
        <v>0</v>
      </c>
      <c r="CI34" s="33"/>
      <c r="CJ34" s="51"/>
      <c r="CK34" s="51">
        <f t="shared" si="47"/>
        <v>0</v>
      </c>
      <c r="CL34" s="33">
        <f t="shared" si="48"/>
        <v>0</v>
      </c>
      <c r="CM34" s="20">
        <f t="shared" si="49"/>
        <v>0</v>
      </c>
      <c r="CN34" s="33"/>
      <c r="CO34" s="51"/>
      <c r="CP34" s="51">
        <f t="shared" si="50"/>
        <v>0</v>
      </c>
      <c r="CQ34" s="33">
        <f t="shared" si="51"/>
        <v>0</v>
      </c>
      <c r="CR34" s="20">
        <f t="shared" si="52"/>
        <v>0</v>
      </c>
      <c r="CS34" s="33"/>
      <c r="CT34" s="51"/>
      <c r="CU34" s="51">
        <f t="shared" si="53"/>
        <v>0</v>
      </c>
      <c r="CV34" s="33">
        <f t="shared" si="54"/>
        <v>0</v>
      </c>
      <c r="CW34" s="20">
        <f t="shared" si="55"/>
        <v>0</v>
      </c>
      <c r="CX34" s="33"/>
      <c r="CY34" s="51"/>
      <c r="CZ34" s="51">
        <f t="shared" si="56"/>
        <v>0</v>
      </c>
      <c r="DA34" s="33">
        <f t="shared" si="57"/>
        <v>0</v>
      </c>
      <c r="DB34" s="20">
        <f t="shared" si="58"/>
        <v>0</v>
      </c>
      <c r="DC34" s="33"/>
      <c r="DD34" s="51"/>
      <c r="DE34" s="51">
        <f t="shared" si="59"/>
        <v>0</v>
      </c>
      <c r="DF34" s="33">
        <f t="shared" si="60"/>
        <v>0</v>
      </c>
      <c r="DG34" s="20">
        <f t="shared" si="61"/>
        <v>0</v>
      </c>
      <c r="DH34" s="33"/>
      <c r="DI34" s="33"/>
      <c r="DJ34" s="33">
        <f t="shared" si="62"/>
        <v>0</v>
      </c>
      <c r="DK34" s="33">
        <f t="shared" si="63"/>
        <v>0</v>
      </c>
      <c r="DL34" s="20">
        <f t="shared" si="64"/>
        <v>0</v>
      </c>
      <c r="DM34" s="33"/>
      <c r="DN34" s="51"/>
      <c r="DO34" s="51">
        <f t="shared" si="65"/>
        <v>0</v>
      </c>
      <c r="DP34" s="33">
        <f t="shared" si="66"/>
        <v>0</v>
      </c>
      <c r="DQ34" s="20">
        <f t="shared" si="67"/>
        <v>0</v>
      </c>
      <c r="DR34" s="33"/>
      <c r="DS34" s="33"/>
      <c r="DT34" s="33"/>
      <c r="DU34" s="33"/>
    </row>
    <row r="35" spans="1:125" ht="12">
      <c r="A35" s="19">
        <v>46844</v>
      </c>
      <c r="C35" s="41"/>
      <c r="D35" s="41"/>
      <c r="E35" s="35">
        <f t="shared" si="0"/>
        <v>0</v>
      </c>
      <c r="H35" s="51"/>
      <c r="I35" s="51"/>
      <c r="J35" s="51">
        <f t="shared" si="1"/>
        <v>0</v>
      </c>
      <c r="K35" s="51"/>
      <c r="M35" s="51">
        <f t="shared" si="2"/>
        <v>0</v>
      </c>
      <c r="N35" s="41">
        <f t="shared" si="3"/>
        <v>0</v>
      </c>
      <c r="O35" s="33">
        <f t="shared" si="4"/>
        <v>0</v>
      </c>
      <c r="P35" s="41">
        <f t="shared" si="3"/>
        <v>0</v>
      </c>
      <c r="R35" s="65">
        <f t="shared" si="68"/>
        <v>0</v>
      </c>
      <c r="S35" s="65">
        <f t="shared" si="5"/>
        <v>0</v>
      </c>
      <c r="T35" s="20">
        <f t="shared" si="6"/>
        <v>0</v>
      </c>
      <c r="U35" s="20">
        <f t="shared" si="7"/>
        <v>0</v>
      </c>
      <c r="W35" s="65">
        <f t="shared" si="69"/>
        <v>0</v>
      </c>
      <c r="X35" s="65">
        <f t="shared" si="8"/>
        <v>0</v>
      </c>
      <c r="Y35" s="20">
        <f t="shared" si="9"/>
        <v>0</v>
      </c>
      <c r="Z35" s="20">
        <f t="shared" si="10"/>
        <v>0</v>
      </c>
      <c r="AB35" s="33">
        <f t="shared" si="70"/>
        <v>0</v>
      </c>
      <c r="AC35" s="33">
        <f t="shared" si="11"/>
        <v>0</v>
      </c>
      <c r="AD35" s="33">
        <f t="shared" si="12"/>
        <v>0</v>
      </c>
      <c r="AE35" s="20">
        <f t="shared" si="13"/>
        <v>0</v>
      </c>
      <c r="AG35" s="65">
        <f t="shared" si="71"/>
        <v>0</v>
      </c>
      <c r="AH35" s="65">
        <f t="shared" si="14"/>
        <v>0</v>
      </c>
      <c r="AI35" s="20">
        <f t="shared" si="15"/>
        <v>0</v>
      </c>
      <c r="AJ35" s="20">
        <f t="shared" si="16"/>
        <v>0</v>
      </c>
      <c r="AL35" s="65">
        <f t="shared" si="72"/>
        <v>0</v>
      </c>
      <c r="AM35" s="65">
        <f t="shared" si="17"/>
        <v>0</v>
      </c>
      <c r="AN35" s="20">
        <f t="shared" si="18"/>
        <v>0</v>
      </c>
      <c r="AO35" s="20">
        <f t="shared" si="19"/>
        <v>0</v>
      </c>
      <c r="AP35" s="33"/>
      <c r="AQ35" s="65">
        <f t="shared" si="73"/>
        <v>0</v>
      </c>
      <c r="AR35" s="65">
        <f t="shared" si="20"/>
        <v>0</v>
      </c>
      <c r="AS35" s="20">
        <f t="shared" si="21"/>
        <v>0</v>
      </c>
      <c r="AT35" s="20">
        <f t="shared" si="22"/>
        <v>0</v>
      </c>
      <c r="AU35" s="33"/>
      <c r="AV35" s="51">
        <f t="shared" si="74"/>
        <v>0</v>
      </c>
      <c r="AW35" s="51">
        <f t="shared" si="23"/>
        <v>0</v>
      </c>
      <c r="AX35" s="33">
        <f t="shared" si="24"/>
        <v>0</v>
      </c>
      <c r="AY35" s="20">
        <f t="shared" si="25"/>
        <v>0</v>
      </c>
      <c r="AZ35" s="33"/>
      <c r="BA35" s="33">
        <f t="shared" si="75"/>
        <v>0</v>
      </c>
      <c r="BB35" s="33">
        <f t="shared" si="26"/>
        <v>0</v>
      </c>
      <c r="BC35" s="33">
        <f t="shared" si="27"/>
        <v>0</v>
      </c>
      <c r="BD35" s="20">
        <f t="shared" si="28"/>
        <v>0</v>
      </c>
      <c r="BE35" s="33"/>
      <c r="BF35" s="51">
        <f t="shared" si="76"/>
        <v>0</v>
      </c>
      <c r="BG35" s="51">
        <f t="shared" si="29"/>
        <v>0</v>
      </c>
      <c r="BH35" s="33">
        <f t="shared" si="30"/>
        <v>0</v>
      </c>
      <c r="BI35" s="20">
        <f t="shared" si="31"/>
        <v>0</v>
      </c>
      <c r="BJ35" s="33"/>
      <c r="BK35" s="51">
        <f t="shared" si="77"/>
        <v>0</v>
      </c>
      <c r="BL35" s="51">
        <f t="shared" si="32"/>
        <v>0</v>
      </c>
      <c r="BM35" s="33">
        <f t="shared" si="33"/>
        <v>0</v>
      </c>
      <c r="BN35" s="20">
        <f t="shared" si="34"/>
        <v>0</v>
      </c>
      <c r="BO35" s="33"/>
      <c r="BP35" s="51">
        <f t="shared" si="78"/>
        <v>0</v>
      </c>
      <c r="BQ35" s="51">
        <f t="shared" si="35"/>
        <v>0</v>
      </c>
      <c r="BR35" s="33">
        <f t="shared" si="36"/>
        <v>0</v>
      </c>
      <c r="BS35" s="20">
        <f t="shared" si="37"/>
        <v>0</v>
      </c>
      <c r="BT35" s="33"/>
      <c r="BU35" s="51">
        <f t="shared" si="79"/>
        <v>0</v>
      </c>
      <c r="BV35" s="51">
        <f t="shared" si="38"/>
        <v>0</v>
      </c>
      <c r="BW35" s="33">
        <f t="shared" si="39"/>
        <v>0</v>
      </c>
      <c r="BX35" s="20">
        <f t="shared" si="40"/>
        <v>0</v>
      </c>
      <c r="BY35" s="33"/>
      <c r="BZ35" s="33">
        <f t="shared" si="80"/>
        <v>0</v>
      </c>
      <c r="CA35" s="33">
        <f t="shared" si="41"/>
        <v>0</v>
      </c>
      <c r="CB35" s="33">
        <f t="shared" si="42"/>
        <v>0</v>
      </c>
      <c r="CC35" s="20">
        <f t="shared" si="43"/>
        <v>0</v>
      </c>
      <c r="CD35" s="33"/>
      <c r="CE35" s="51">
        <f t="shared" si="81"/>
        <v>0</v>
      </c>
      <c r="CF35" s="51">
        <f t="shared" si="44"/>
        <v>0</v>
      </c>
      <c r="CG35" s="33">
        <f t="shared" si="45"/>
        <v>0</v>
      </c>
      <c r="CH35" s="20">
        <f t="shared" si="46"/>
        <v>0</v>
      </c>
      <c r="CI35" s="33"/>
      <c r="CJ35" s="51">
        <f t="shared" si="82"/>
        <v>0</v>
      </c>
      <c r="CK35" s="51">
        <f t="shared" si="47"/>
        <v>0</v>
      </c>
      <c r="CL35" s="33">
        <f t="shared" si="48"/>
        <v>0</v>
      </c>
      <c r="CM35" s="20">
        <f t="shared" si="49"/>
        <v>0</v>
      </c>
      <c r="CN35" s="33"/>
      <c r="CO35" s="51">
        <f t="shared" si="83"/>
        <v>0</v>
      </c>
      <c r="CP35" s="51">
        <f t="shared" si="50"/>
        <v>0</v>
      </c>
      <c r="CQ35" s="33">
        <f t="shared" si="51"/>
        <v>0</v>
      </c>
      <c r="CR35" s="20">
        <f t="shared" si="52"/>
        <v>0</v>
      </c>
      <c r="CS35" s="33"/>
      <c r="CT35" s="51">
        <f t="shared" si="84"/>
        <v>0</v>
      </c>
      <c r="CU35" s="51">
        <f t="shared" si="53"/>
        <v>0</v>
      </c>
      <c r="CV35" s="33">
        <f t="shared" si="54"/>
        <v>0</v>
      </c>
      <c r="CW35" s="20">
        <f t="shared" si="55"/>
        <v>0</v>
      </c>
      <c r="CX35" s="33"/>
      <c r="CY35" s="51">
        <f t="shared" si="85"/>
        <v>0</v>
      </c>
      <c r="CZ35" s="51">
        <f t="shared" si="56"/>
        <v>0</v>
      </c>
      <c r="DA35" s="33">
        <f t="shared" si="57"/>
        <v>0</v>
      </c>
      <c r="DB35" s="20">
        <f t="shared" si="58"/>
        <v>0</v>
      </c>
      <c r="DC35" s="33"/>
      <c r="DD35" s="51">
        <f t="shared" si="86"/>
        <v>0</v>
      </c>
      <c r="DE35" s="51">
        <f t="shared" si="59"/>
        <v>0</v>
      </c>
      <c r="DF35" s="33">
        <f t="shared" si="60"/>
        <v>0</v>
      </c>
      <c r="DG35" s="20">
        <f t="shared" si="61"/>
        <v>0</v>
      </c>
      <c r="DH35" s="33"/>
      <c r="DI35" s="33">
        <f t="shared" si="87"/>
        <v>0</v>
      </c>
      <c r="DJ35" s="33">
        <f t="shared" si="62"/>
        <v>0</v>
      </c>
      <c r="DK35" s="33">
        <f t="shared" si="63"/>
        <v>0</v>
      </c>
      <c r="DL35" s="20">
        <f t="shared" si="64"/>
        <v>0</v>
      </c>
      <c r="DM35" s="33"/>
      <c r="DN35" s="51">
        <f t="shared" si="88"/>
        <v>0</v>
      </c>
      <c r="DO35" s="51">
        <f t="shared" si="65"/>
        <v>0</v>
      </c>
      <c r="DP35" s="33">
        <f t="shared" si="66"/>
        <v>0</v>
      </c>
      <c r="DQ35" s="20">
        <f t="shared" si="67"/>
        <v>0</v>
      </c>
      <c r="DR35" s="33"/>
      <c r="DS35" s="33"/>
      <c r="DT35" s="33"/>
      <c r="DU35" s="33"/>
    </row>
    <row r="36" spans="3:125" ht="12">
      <c r="C36" s="41"/>
      <c r="D36" s="41"/>
      <c r="E36" s="41"/>
      <c r="F36" s="41"/>
      <c r="R36" s="20"/>
      <c r="S36" s="20"/>
      <c r="T36" s="20"/>
      <c r="U36" s="20"/>
      <c r="W36" s="20"/>
      <c r="X36" s="20"/>
      <c r="Y36" s="20"/>
      <c r="Z36" s="20"/>
      <c r="AG36" s="20"/>
      <c r="AH36" s="20"/>
      <c r="AI36" s="20"/>
      <c r="AJ36" s="20"/>
      <c r="AL36" s="20"/>
      <c r="AM36" s="20"/>
      <c r="AN36" s="20"/>
      <c r="AO36" s="20"/>
      <c r="AP36" s="33"/>
      <c r="AQ36" s="20"/>
      <c r="AR36" s="20"/>
      <c r="AS36" s="20"/>
      <c r="AT36" s="20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</row>
    <row r="37" spans="1:125" ht="12.75" thickBot="1">
      <c r="A37" s="31" t="s">
        <v>4</v>
      </c>
      <c r="C37" s="50">
        <f>SUM(C8:C36)</f>
        <v>25165000</v>
      </c>
      <c r="D37" s="50">
        <f>SUM(D8:D36)</f>
        <v>6403486</v>
      </c>
      <c r="E37" s="50">
        <f>SUM(E8:E36)</f>
        <v>31568486</v>
      </c>
      <c r="F37" s="50">
        <f>SUM(F8:F36)</f>
        <v>611472</v>
      </c>
      <c r="H37" s="50">
        <f>SUM(H8:H36)</f>
        <v>2549682.5689999997</v>
      </c>
      <c r="I37" s="50">
        <f>SUM(I8:I36)</f>
        <v>648792.2366395999</v>
      </c>
      <c r="J37" s="50">
        <f>SUM(J8:J36)</f>
        <v>3198474.8056396004</v>
      </c>
      <c r="K37" s="50">
        <f>SUM(K8:K36)</f>
        <v>61953.486979200025</v>
      </c>
      <c r="M37" s="50">
        <f>SUM(M8:M36)</f>
        <v>22615317.431</v>
      </c>
      <c r="N37" s="50">
        <f>SUM(N8:N36)</f>
        <v>5754693.763360399</v>
      </c>
      <c r="O37" s="50">
        <f>SUM(O8:O36)</f>
        <v>28370011.194360405</v>
      </c>
      <c r="P37" s="50">
        <f>SUM(P8:P36)</f>
        <v>549518.5130208</v>
      </c>
      <c r="R37" s="50">
        <f>SUM(R8:R36)</f>
        <v>6300153.377</v>
      </c>
      <c r="S37" s="50">
        <f>SUM(S8:S36)</f>
        <v>1603137.0533468</v>
      </c>
      <c r="T37" s="50">
        <f>SUM(T8:T36)</f>
        <v>7903290.430346799</v>
      </c>
      <c r="U37" s="50">
        <f>SUM(U8:U36)</f>
        <v>153084.33879359998</v>
      </c>
      <c r="W37" s="50">
        <f>SUM(W8:W36)</f>
        <v>486087.13999999996</v>
      </c>
      <c r="X37" s="50">
        <f>SUM(X8:X36)</f>
        <v>123689.73557599999</v>
      </c>
      <c r="Y37" s="50">
        <f>SUM(Y8:Y36)</f>
        <v>609776.8755760001</v>
      </c>
      <c r="Z37" s="50">
        <f>SUM(Z8:Z36)</f>
        <v>11811.193151999998</v>
      </c>
      <c r="AB37" s="50">
        <f>SUM(AB8:AB36)</f>
        <v>602072.625</v>
      </c>
      <c r="AC37" s="50">
        <f>SUM(AC8:AC36)</f>
        <v>153203.40255</v>
      </c>
      <c r="AD37" s="50">
        <f>SUM(AD8:AD36)</f>
        <v>755276.0275500001</v>
      </c>
      <c r="AE37" s="50">
        <f>SUM(AE8:AE36)</f>
        <v>14629.467599999996</v>
      </c>
      <c r="AG37" s="50">
        <f>SUM(AG8:AG36)</f>
        <v>298308.4265</v>
      </c>
      <c r="AH37" s="50">
        <f>SUM(AH8:AH36)</f>
        <v>75907.56339259999</v>
      </c>
      <c r="AI37" s="50">
        <f>SUM(AI8:AI36)</f>
        <v>374215.9898926</v>
      </c>
      <c r="AJ37" s="50">
        <f>SUM(AJ8:AJ36)</f>
        <v>7248.450235199998</v>
      </c>
      <c r="AL37" s="50">
        <f>SUM(AL8:AL36)</f>
        <v>5438488.677999999</v>
      </c>
      <c r="AM37" s="50">
        <f>SUM(AM8:AM36)</f>
        <v>1383877.8506151997</v>
      </c>
      <c r="AN37" s="50">
        <f>SUM(AN8:AN36)</f>
        <v>6822366.5286152</v>
      </c>
      <c r="AO37" s="50">
        <f>SUM(AO8:AO36)</f>
        <v>132147.17063039998</v>
      </c>
      <c r="AP37" s="33"/>
      <c r="AQ37" s="50">
        <f>SUM(AQ8:AQ36)</f>
        <v>717139.5874999999</v>
      </c>
      <c r="AR37" s="50">
        <f>SUM(AR8:AR36)</f>
        <v>182483.342285</v>
      </c>
      <c r="AS37" s="50">
        <f>SUM(AS8:AS36)</f>
        <v>899622.9297849999</v>
      </c>
      <c r="AT37" s="50">
        <f>SUM(AT8:AT36)</f>
        <v>17425.423319999994</v>
      </c>
      <c r="AU37" s="33"/>
      <c r="AV37" s="50">
        <f>SUM(AV8:AV36)</f>
        <v>212719.74500000002</v>
      </c>
      <c r="AW37" s="50">
        <f>SUM(AW8:AW36)</f>
        <v>54128.667158000004</v>
      </c>
      <c r="AX37" s="50">
        <f>SUM(AX8:AX36)</f>
        <v>266848.412158</v>
      </c>
      <c r="AY37" s="50">
        <f>SUM(AY8:AY36)</f>
        <v>5168.772816000001</v>
      </c>
      <c r="AZ37" s="33"/>
      <c r="BA37" s="50">
        <f>SUM(BA8:BA36)</f>
        <v>93550.88750000001</v>
      </c>
      <c r="BB37" s="50">
        <f>SUM(BB8:BB36)</f>
        <v>23804.959205000006</v>
      </c>
      <c r="BC37" s="50">
        <f>SUM(BC8:BC36)</f>
        <v>117355.846705</v>
      </c>
      <c r="BD37" s="50">
        <f>SUM(BD8:BD36)</f>
        <v>2273.14716</v>
      </c>
      <c r="BE37" s="33"/>
      <c r="BF37" s="50">
        <f>SUM(BF8:BF36)</f>
        <v>819853.0515</v>
      </c>
      <c r="BG37" s="50">
        <f>SUM(BG8:BG36)</f>
        <v>208619.8107426</v>
      </c>
      <c r="BH37" s="50">
        <f>SUM(BH8:BH36)</f>
        <v>1028472.8622426</v>
      </c>
      <c r="BI37" s="50">
        <f>SUM(BI8:BI36)</f>
        <v>19921.207435199998</v>
      </c>
      <c r="BJ37" s="33"/>
      <c r="BK37" s="50">
        <f>SUM(BK8:BK36)</f>
        <v>63491.295000000006</v>
      </c>
      <c r="BL37" s="50">
        <f>SUM(BL8:BL36)</f>
        <v>16155.995178000005</v>
      </c>
      <c r="BM37" s="50">
        <f>SUM(BM8:BM36)</f>
        <v>79647.290178</v>
      </c>
      <c r="BN37" s="50">
        <f>SUM(BN8:BN36)</f>
        <v>1542.7438560000003</v>
      </c>
      <c r="BO37" s="33"/>
      <c r="BP37" s="50">
        <f>SUM(BP8:BP36)</f>
        <v>2734408.768</v>
      </c>
      <c r="BQ37" s="50">
        <f>SUM(BQ8:BQ36)</f>
        <v>695797.6659712</v>
      </c>
      <c r="BR37" s="50">
        <f>SUM(BR8:BR36)</f>
        <v>3430206.433971199</v>
      </c>
      <c r="BS37" s="50">
        <f>SUM(BS8:BS36)</f>
        <v>66442.05834239998</v>
      </c>
      <c r="BT37" s="33"/>
      <c r="BU37" s="50">
        <f>SUM(BU8:BU36)</f>
        <v>116126.409</v>
      </c>
      <c r="BV37" s="50">
        <f>SUM(BV8:BV36)</f>
        <v>29549.5264956</v>
      </c>
      <c r="BW37" s="50">
        <f>SUM(BW8:BW36)</f>
        <v>145675.9354956</v>
      </c>
      <c r="BX37" s="50">
        <f>SUM(BX8:BX36)</f>
        <v>2821.6986912</v>
      </c>
      <c r="BY37" s="33"/>
      <c r="BZ37" s="50">
        <f>SUM(BZ8:BZ36)</f>
        <v>319.5955000000001</v>
      </c>
      <c r="CA37" s="50">
        <f>SUM(CA8:CA36)</f>
        <v>81.32427220000001</v>
      </c>
      <c r="CB37" s="50">
        <f>SUM(CB8:CB36)</f>
        <v>400.91977219999995</v>
      </c>
      <c r="CC37" s="50">
        <f>SUM(CC8:CC36)</f>
        <v>7.765694400000002</v>
      </c>
      <c r="CD37" s="33"/>
      <c r="CE37" s="50">
        <f>SUM(CE8:CE36)</f>
        <v>80651.3085</v>
      </c>
      <c r="CF37" s="50">
        <f>SUM(CF8:CF36)</f>
        <v>20522.532281400003</v>
      </c>
      <c r="CG37" s="50">
        <f>SUM(CG8:CG36)</f>
        <v>101173.84078139998</v>
      </c>
      <c r="CH37" s="50">
        <f>SUM(CH8:CH36)</f>
        <v>1959.7066128000004</v>
      </c>
      <c r="CI37" s="33"/>
      <c r="CJ37" s="50">
        <f>SUM(CJ8:CJ36)</f>
        <v>206058.56949999998</v>
      </c>
      <c r="CK37" s="50">
        <f>SUM(CK8:CK36)</f>
        <v>52433.6644138</v>
      </c>
      <c r="CL37" s="50">
        <f>SUM(CL8:CL36)</f>
        <v>258492.23391379998</v>
      </c>
      <c r="CM37" s="50">
        <f>SUM(CM8:CM36)</f>
        <v>5006.9161776</v>
      </c>
      <c r="CN37" s="33"/>
      <c r="CO37" s="50">
        <f>SUM(CO8:CO36)</f>
        <v>348268.501</v>
      </c>
      <c r="CP37" s="50">
        <f>SUM(CP8:CP36)</f>
        <v>88620.4041484</v>
      </c>
      <c r="CQ37" s="50">
        <f>SUM(CQ8:CQ36)</f>
        <v>436888.9051484</v>
      </c>
      <c r="CR37" s="50">
        <f>SUM(CR8:CR36)</f>
        <v>8462.405596800001</v>
      </c>
      <c r="CS37" s="33"/>
      <c r="CT37" s="50">
        <f>SUM(CT8:CT36)</f>
        <v>2864889.2929999996</v>
      </c>
      <c r="CU37" s="50">
        <f>SUM(CU8:CU36)</f>
        <v>728999.7408812003</v>
      </c>
      <c r="CV37" s="50">
        <f>SUM(CV8:CV36)</f>
        <v>3593889.0338812005</v>
      </c>
      <c r="CW37" s="50">
        <f>SUM(CW8:CW36)</f>
        <v>69612.5406624</v>
      </c>
      <c r="CX37" s="33"/>
      <c r="CY37" s="50">
        <f>SUM(CY8:CY36)</f>
        <v>53790.1875</v>
      </c>
      <c r="CZ37" s="50">
        <f>SUM(CZ8:CZ36)</f>
        <v>13687.451325</v>
      </c>
      <c r="DA37" s="50">
        <f>SUM(DA8:DA36)</f>
        <v>67477.638825</v>
      </c>
      <c r="DB37" s="50">
        <f>SUM(DB8:DB36)</f>
        <v>1307.0214000000003</v>
      </c>
      <c r="DC37" s="33"/>
      <c r="DD37" s="50">
        <f>SUM(DD8:DD36)</f>
        <v>256350.822</v>
      </c>
      <c r="DE37" s="50">
        <f>SUM(DE8:DE36)</f>
        <v>65231.03118480001</v>
      </c>
      <c r="DF37" s="50">
        <f>SUM(DF8:DF36)</f>
        <v>321581.8531848</v>
      </c>
      <c r="DG37" s="50">
        <f>SUM(DG8:DG36)</f>
        <v>6228.942969600001</v>
      </c>
      <c r="DH37" s="41"/>
      <c r="DI37" s="50">
        <f>SUM(DI8:DI36)</f>
        <v>461606.628</v>
      </c>
      <c r="DJ37" s="50">
        <f>SUM(DJ8:DJ36)</f>
        <v>117460.42439519995</v>
      </c>
      <c r="DK37" s="50">
        <f>SUM(DK8:DK36)</f>
        <v>579067.0523952</v>
      </c>
      <c r="DL37" s="50">
        <f>SUM(DL8:DL36)</f>
        <v>11216.353190400001</v>
      </c>
      <c r="DM37" s="33"/>
      <c r="DN37" s="50">
        <f>SUM(DN8:DN36)</f>
        <v>460982.53599999996</v>
      </c>
      <c r="DO37" s="50">
        <f>SUM(DO8:DO36)</f>
        <v>117301.61794239999</v>
      </c>
      <c r="DP37" s="50">
        <f>SUM(DP8:DP36)</f>
        <v>578284.1539424</v>
      </c>
      <c r="DQ37" s="50">
        <f>SUM(DQ8:DQ36)</f>
        <v>11201.188684800001</v>
      </c>
      <c r="DR37" s="33"/>
      <c r="DS37" s="50">
        <f>SUM(DS8:DS36)</f>
        <v>0</v>
      </c>
      <c r="DT37" s="50">
        <f>SUM(DT8:DT36)</f>
        <v>0</v>
      </c>
      <c r="DU37" s="50">
        <f>SUM(DU8:DU36)</f>
        <v>0</v>
      </c>
    </row>
    <row r="38" spans="18:46" ht="12.75" thickTop="1">
      <c r="R38" s="20"/>
      <c r="S38" s="20"/>
      <c r="T38" s="20"/>
      <c r="U38" s="20"/>
      <c r="W38" s="20"/>
      <c r="X38" s="20"/>
      <c r="Y38" s="20"/>
      <c r="Z38" s="20"/>
      <c r="AG38" s="20"/>
      <c r="AH38" s="20"/>
      <c r="AI38" s="20"/>
      <c r="AJ38" s="20"/>
      <c r="AL38" s="20"/>
      <c r="AM38" s="20"/>
      <c r="AN38" s="20"/>
      <c r="AO38" s="20"/>
      <c r="AQ38" s="20"/>
      <c r="AR38" s="20"/>
      <c r="AS38" s="20"/>
      <c r="AT38" s="20"/>
    </row>
    <row r="39" spans="3:46" ht="12">
      <c r="C39" s="35">
        <f>H37+M37</f>
        <v>25165000</v>
      </c>
      <c r="D39" s="35">
        <f>I37+N37</f>
        <v>6403485.999999999</v>
      </c>
      <c r="F39" s="35">
        <f>K37+P37</f>
        <v>611472</v>
      </c>
      <c r="N39" s="33"/>
      <c r="R39" s="20"/>
      <c r="S39" s="20"/>
      <c r="T39" s="20"/>
      <c r="U39" s="20"/>
      <c r="W39" s="20"/>
      <c r="X39" s="20"/>
      <c r="Y39" s="20"/>
      <c r="Z39" s="20"/>
      <c r="AG39" s="20"/>
      <c r="AH39" s="20"/>
      <c r="AI39" s="20"/>
      <c r="AJ39" s="20"/>
      <c r="AL39" s="20"/>
      <c r="AM39" s="20"/>
      <c r="AN39" s="20"/>
      <c r="AO39" s="20"/>
      <c r="AQ39" s="20"/>
      <c r="AR39" s="20"/>
      <c r="AS39" s="20"/>
      <c r="AT39" s="20"/>
    </row>
    <row r="40" spans="18:46" ht="12">
      <c r="R40" s="20"/>
      <c r="S40" s="20"/>
      <c r="T40" s="20"/>
      <c r="U40" s="20"/>
      <c r="W40" s="20"/>
      <c r="X40" s="20"/>
      <c r="Y40" s="20"/>
      <c r="Z40" s="20"/>
      <c r="AG40" s="20"/>
      <c r="AH40" s="20"/>
      <c r="AI40" s="20"/>
      <c r="AJ40" s="20"/>
      <c r="AL40" s="20"/>
      <c r="AM40" s="20"/>
      <c r="AN40" s="20"/>
      <c r="AO40" s="20"/>
      <c r="AQ40" s="20"/>
      <c r="AR40" s="20"/>
      <c r="AS40" s="20"/>
      <c r="AT40" s="20"/>
    </row>
    <row r="41" spans="18:46" ht="12">
      <c r="R41" s="20"/>
      <c r="S41" s="20"/>
      <c r="T41" s="20"/>
      <c r="U41" s="20"/>
      <c r="W41" s="20"/>
      <c r="X41" s="20"/>
      <c r="Y41" s="20"/>
      <c r="Z41" s="20"/>
      <c r="AG41" s="20"/>
      <c r="AH41" s="20"/>
      <c r="AI41" s="20"/>
      <c r="AJ41" s="20"/>
      <c r="AL41" s="20"/>
      <c r="AM41" s="20"/>
      <c r="AN41" s="20"/>
      <c r="AO41" s="20"/>
      <c r="AQ41" s="20"/>
      <c r="AR41" s="20"/>
      <c r="AS41" s="20"/>
      <c r="AT41" s="20"/>
    </row>
    <row r="42" spans="18:46" ht="12">
      <c r="R42" s="20"/>
      <c r="S42" s="20"/>
      <c r="T42" s="20"/>
      <c r="U42" s="20"/>
      <c r="W42" s="20"/>
      <c r="X42" s="20"/>
      <c r="Y42" s="20"/>
      <c r="Z42" s="20"/>
      <c r="AG42" s="20"/>
      <c r="AH42" s="20"/>
      <c r="AI42" s="20"/>
      <c r="AJ42" s="20"/>
      <c r="AL42" s="20"/>
      <c r="AM42" s="20"/>
      <c r="AN42" s="20"/>
      <c r="AO42" s="20"/>
      <c r="AQ42" s="20"/>
      <c r="AR42" s="20"/>
      <c r="AS42" s="20"/>
      <c r="AT42" s="20"/>
    </row>
    <row r="43" spans="18:46" ht="12">
      <c r="R43" s="20"/>
      <c r="S43" s="20"/>
      <c r="T43" s="20"/>
      <c r="U43" s="20"/>
      <c r="W43" s="20"/>
      <c r="X43" s="20"/>
      <c r="Y43" s="20"/>
      <c r="Z43" s="20"/>
      <c r="AG43" s="20"/>
      <c r="AH43" s="20"/>
      <c r="AI43" s="20"/>
      <c r="AJ43" s="20"/>
      <c r="AL43" s="20"/>
      <c r="AM43" s="20"/>
      <c r="AN43" s="20"/>
      <c r="AO43" s="20"/>
      <c r="AQ43" s="20"/>
      <c r="AR43" s="20"/>
      <c r="AS43" s="20"/>
      <c r="AT43" s="20"/>
    </row>
    <row r="44" spans="18:46" ht="12">
      <c r="R44" s="20"/>
      <c r="S44" s="20"/>
      <c r="T44" s="20"/>
      <c r="U44" s="20"/>
      <c r="W44" s="20"/>
      <c r="X44" s="20"/>
      <c r="Y44" s="20"/>
      <c r="Z44" s="20"/>
      <c r="AG44" s="20"/>
      <c r="AH44" s="20"/>
      <c r="AI44" s="20"/>
      <c r="AJ44" s="20"/>
      <c r="AL44" s="20"/>
      <c r="AM44" s="20"/>
      <c r="AN44" s="20"/>
      <c r="AO44" s="20"/>
      <c r="AQ44" s="20"/>
      <c r="AR44" s="20"/>
      <c r="AS44" s="20"/>
      <c r="AT44" s="20"/>
    </row>
    <row r="45" spans="18:46" ht="12">
      <c r="R45" s="20"/>
      <c r="S45" s="20"/>
      <c r="T45" s="20"/>
      <c r="U45" s="20"/>
      <c r="W45" s="20"/>
      <c r="X45" s="20"/>
      <c r="Y45" s="20"/>
      <c r="Z45" s="20"/>
      <c r="AG45" s="20"/>
      <c r="AH45" s="20"/>
      <c r="AI45" s="20"/>
      <c r="AJ45" s="20"/>
      <c r="AL45" s="20"/>
      <c r="AM45" s="20"/>
      <c r="AN45" s="20"/>
      <c r="AO45" s="20"/>
      <c r="AQ45" s="20"/>
      <c r="AR45" s="20"/>
      <c r="AS45" s="20"/>
      <c r="AT45" s="20"/>
    </row>
    <row r="46" spans="18:46" ht="12">
      <c r="R46" s="20"/>
      <c r="S46" s="20"/>
      <c r="T46" s="20"/>
      <c r="U46" s="20"/>
      <c r="W46" s="20"/>
      <c r="X46" s="20"/>
      <c r="Y46" s="20"/>
      <c r="Z46" s="20"/>
      <c r="AG46" s="20"/>
      <c r="AH46" s="20"/>
      <c r="AI46" s="20"/>
      <c r="AJ46" s="20"/>
      <c r="AL46" s="20"/>
      <c r="AM46" s="20"/>
      <c r="AN46" s="20"/>
      <c r="AO46" s="20"/>
      <c r="AQ46" s="20"/>
      <c r="AR46" s="20"/>
      <c r="AS46" s="20"/>
      <c r="AT46" s="20"/>
    </row>
    <row r="47" spans="18:46" ht="12">
      <c r="R47" s="20"/>
      <c r="S47" s="20"/>
      <c r="T47" s="20"/>
      <c r="U47" s="20"/>
      <c r="W47" s="20"/>
      <c r="X47" s="20"/>
      <c r="Y47" s="20"/>
      <c r="Z47" s="20"/>
      <c r="AG47" s="20"/>
      <c r="AH47" s="20"/>
      <c r="AI47" s="20"/>
      <c r="AJ47" s="20"/>
      <c r="AL47" s="20"/>
      <c r="AM47" s="20"/>
      <c r="AN47" s="20"/>
      <c r="AO47" s="20"/>
      <c r="AQ47" s="20"/>
      <c r="AR47" s="20"/>
      <c r="AS47" s="20"/>
      <c r="AT47" s="20"/>
    </row>
    <row r="48" spans="18:46" ht="12">
      <c r="R48" s="20"/>
      <c r="S48" s="20"/>
      <c r="T48" s="20"/>
      <c r="U48" s="20"/>
      <c r="W48" s="20"/>
      <c r="X48" s="20"/>
      <c r="Y48" s="20"/>
      <c r="Z48" s="20"/>
      <c r="AG48" s="20"/>
      <c r="AH48" s="20"/>
      <c r="AI48" s="20"/>
      <c r="AJ48" s="20"/>
      <c r="AL48" s="20"/>
      <c r="AM48" s="20"/>
      <c r="AN48" s="20"/>
      <c r="AO48" s="20"/>
      <c r="AQ48" s="20"/>
      <c r="AR48" s="20"/>
      <c r="AS48" s="20"/>
      <c r="AT48" s="20"/>
    </row>
    <row r="49" spans="1:46" ht="12">
      <c r="A49" s="19"/>
      <c r="R49" s="20"/>
      <c r="S49" s="20"/>
      <c r="T49" s="20"/>
      <c r="U49" s="20"/>
      <c r="W49" s="20"/>
      <c r="X49" s="20"/>
      <c r="Y49" s="20"/>
      <c r="Z49" s="20"/>
      <c r="AG49" s="20"/>
      <c r="AH49" s="20"/>
      <c r="AI49" s="20"/>
      <c r="AJ49" s="20"/>
      <c r="AL49" s="20"/>
      <c r="AM49" s="20"/>
      <c r="AN49" s="20"/>
      <c r="AO49" s="20"/>
      <c r="AQ49" s="20"/>
      <c r="AR49" s="20"/>
      <c r="AS49" s="20"/>
      <c r="AT49" s="20"/>
    </row>
    <row r="50" spans="1:46" ht="12">
      <c r="A50" s="19"/>
      <c r="L50" s="33"/>
      <c r="R50" s="20"/>
      <c r="S50" s="20"/>
      <c r="T50" s="20"/>
      <c r="U50" s="20"/>
      <c r="W50" s="20"/>
      <c r="X50" s="20"/>
      <c r="Y50" s="20"/>
      <c r="Z50" s="20"/>
      <c r="AG50" s="20"/>
      <c r="AH50" s="20"/>
      <c r="AI50" s="20"/>
      <c r="AJ50" s="20"/>
      <c r="AL50" s="20"/>
      <c r="AM50" s="20"/>
      <c r="AN50" s="20"/>
      <c r="AO50" s="20"/>
      <c r="AQ50" s="20"/>
      <c r="AR50" s="20"/>
      <c r="AS50" s="20"/>
      <c r="AT50" s="20"/>
    </row>
    <row r="51" spans="18:46" ht="12">
      <c r="R51" s="20"/>
      <c r="S51" s="20"/>
      <c r="T51" s="20"/>
      <c r="U51" s="20"/>
      <c r="W51" s="20"/>
      <c r="X51" s="20"/>
      <c r="Y51" s="20"/>
      <c r="Z51" s="20"/>
      <c r="AG51" s="20"/>
      <c r="AH51" s="20"/>
      <c r="AI51" s="20"/>
      <c r="AJ51" s="20"/>
      <c r="AL51" s="20"/>
      <c r="AM51" s="20"/>
      <c r="AN51" s="20"/>
      <c r="AO51" s="20"/>
      <c r="AQ51" s="20"/>
      <c r="AR51" s="20"/>
      <c r="AS51" s="20"/>
      <c r="AT51" s="20"/>
    </row>
    <row r="52" spans="18:46" ht="12">
      <c r="R52" s="20"/>
      <c r="S52" s="20"/>
      <c r="T52" s="20"/>
      <c r="U52" s="20"/>
      <c r="W52" s="20"/>
      <c r="X52" s="20"/>
      <c r="Y52" s="20"/>
      <c r="Z52" s="20"/>
      <c r="AG52" s="20"/>
      <c r="AH52" s="20"/>
      <c r="AI52" s="20"/>
      <c r="AJ52" s="20"/>
      <c r="AL52" s="20"/>
      <c r="AM52" s="20"/>
      <c r="AN52" s="20"/>
      <c r="AO52" s="20"/>
      <c r="AQ52" s="20"/>
      <c r="AR52" s="20"/>
      <c r="AS52" s="20"/>
      <c r="AT52" s="20"/>
    </row>
    <row r="53" spans="18:46" ht="12">
      <c r="R53" s="20"/>
      <c r="S53" s="20"/>
      <c r="T53" s="20"/>
      <c r="U53" s="20"/>
      <c r="W53" s="20"/>
      <c r="X53" s="20"/>
      <c r="Y53" s="20"/>
      <c r="Z53" s="20"/>
      <c r="AG53" s="20"/>
      <c r="AH53" s="20"/>
      <c r="AI53" s="20"/>
      <c r="AJ53" s="20"/>
      <c r="AL53" s="20"/>
      <c r="AM53" s="20"/>
      <c r="AN53" s="20"/>
      <c r="AO53" s="20"/>
      <c r="AQ53" s="20"/>
      <c r="AR53" s="20"/>
      <c r="AS53" s="20"/>
      <c r="AT53" s="20"/>
    </row>
    <row r="54" spans="18:46" ht="12">
      <c r="R54" s="20"/>
      <c r="S54" s="20"/>
      <c r="T54" s="20"/>
      <c r="U54" s="20"/>
      <c r="W54" s="20"/>
      <c r="X54" s="20"/>
      <c r="Y54" s="20"/>
      <c r="Z54" s="20"/>
      <c r="AG54" s="20"/>
      <c r="AH54" s="20"/>
      <c r="AI54" s="20"/>
      <c r="AJ54" s="20"/>
      <c r="AL54" s="20"/>
      <c r="AM54" s="20"/>
      <c r="AN54" s="20"/>
      <c r="AO54" s="20"/>
      <c r="AQ54" s="20"/>
      <c r="AR54" s="20"/>
      <c r="AS54" s="20"/>
      <c r="AT54" s="20"/>
    </row>
    <row r="55" spans="18:46" ht="12">
      <c r="R55" s="20"/>
      <c r="S55" s="20"/>
      <c r="T55" s="20"/>
      <c r="U55" s="20"/>
      <c r="W55" s="20"/>
      <c r="X55" s="20"/>
      <c r="Y55" s="20"/>
      <c r="Z55" s="20"/>
      <c r="AG55" s="20"/>
      <c r="AH55" s="20"/>
      <c r="AI55" s="20"/>
      <c r="AJ55" s="20"/>
      <c r="AL55" s="20"/>
      <c r="AM55" s="20"/>
      <c r="AN55" s="20"/>
      <c r="AO55" s="20"/>
      <c r="AQ55" s="20"/>
      <c r="AR55" s="20"/>
      <c r="AS55" s="20"/>
      <c r="AT55" s="20"/>
    </row>
    <row r="56" spans="18:46" ht="12">
      <c r="R56" s="20"/>
      <c r="S56" s="20"/>
      <c r="T56" s="20"/>
      <c r="U56" s="20"/>
      <c r="W56" s="20"/>
      <c r="X56" s="20"/>
      <c r="Y56" s="20"/>
      <c r="Z56" s="20"/>
      <c r="AG56" s="20"/>
      <c r="AH56" s="20"/>
      <c r="AI56" s="20"/>
      <c r="AJ56" s="20"/>
      <c r="AL56" s="20"/>
      <c r="AM56" s="20"/>
      <c r="AN56" s="20"/>
      <c r="AO56" s="20"/>
      <c r="AQ56" s="20"/>
      <c r="AR56" s="20"/>
      <c r="AS56" s="20"/>
      <c r="AT56" s="20"/>
    </row>
    <row r="57" spans="18:46" ht="12">
      <c r="R57" s="20"/>
      <c r="S57" s="20"/>
      <c r="T57" s="20"/>
      <c r="U57" s="20"/>
      <c r="W57" s="20"/>
      <c r="X57" s="20"/>
      <c r="Y57" s="20"/>
      <c r="Z57" s="20"/>
      <c r="AG57" s="20"/>
      <c r="AH57" s="20"/>
      <c r="AI57" s="20"/>
      <c r="AJ57" s="20"/>
      <c r="AL57" s="20"/>
      <c r="AM57" s="20"/>
      <c r="AN57" s="20"/>
      <c r="AO57" s="20"/>
      <c r="AQ57" s="20"/>
      <c r="AR57" s="20"/>
      <c r="AS57" s="20"/>
      <c r="AT57" s="20"/>
    </row>
    <row r="58" spans="18:46" ht="12">
      <c r="R58" s="20"/>
      <c r="S58" s="20"/>
      <c r="T58" s="20"/>
      <c r="U58" s="20"/>
      <c r="W58" s="20"/>
      <c r="X58" s="20"/>
      <c r="Y58" s="20"/>
      <c r="Z58" s="20"/>
      <c r="AG58" s="20"/>
      <c r="AH58" s="20"/>
      <c r="AI58" s="20"/>
      <c r="AJ58" s="20"/>
      <c r="AL58" s="20"/>
      <c r="AM58" s="20"/>
      <c r="AN58" s="20"/>
      <c r="AO58" s="20"/>
      <c r="AQ58" s="20"/>
      <c r="AR58" s="20"/>
      <c r="AS58" s="20"/>
      <c r="AT58" s="20"/>
    </row>
    <row r="59" spans="18:46" ht="12">
      <c r="R59" s="20"/>
      <c r="S59" s="20"/>
      <c r="T59" s="20"/>
      <c r="U59" s="20"/>
      <c r="W59" s="20"/>
      <c r="X59" s="20"/>
      <c r="Y59" s="20"/>
      <c r="Z59" s="20"/>
      <c r="AG59" s="20"/>
      <c r="AH59" s="20"/>
      <c r="AI59" s="20"/>
      <c r="AJ59" s="20"/>
      <c r="AL59" s="20"/>
      <c r="AM59" s="20"/>
      <c r="AN59" s="20"/>
      <c r="AO59" s="20"/>
      <c r="AQ59" s="20"/>
      <c r="AR59" s="20"/>
      <c r="AS59" s="20"/>
      <c r="AT59" s="20"/>
    </row>
    <row r="60" spans="18:46" ht="12">
      <c r="R60" s="20"/>
      <c r="S60" s="20"/>
      <c r="T60" s="20"/>
      <c r="U60" s="20"/>
      <c r="W60" s="20"/>
      <c r="X60" s="20"/>
      <c r="Y60" s="20"/>
      <c r="Z60" s="20"/>
      <c r="AG60" s="20"/>
      <c r="AH60" s="20"/>
      <c r="AI60" s="20"/>
      <c r="AJ60" s="20"/>
      <c r="AL60" s="20"/>
      <c r="AM60" s="20"/>
      <c r="AN60" s="20"/>
      <c r="AO60" s="20"/>
      <c r="AQ60" s="20"/>
      <c r="AR60" s="20"/>
      <c r="AS60" s="20"/>
      <c r="AT60" s="20"/>
    </row>
    <row r="61" spans="18:46" ht="12">
      <c r="R61" s="20"/>
      <c r="S61" s="20"/>
      <c r="T61" s="20"/>
      <c r="U61" s="20"/>
      <c r="W61" s="20"/>
      <c r="X61" s="20"/>
      <c r="Y61" s="20"/>
      <c r="Z61" s="20"/>
      <c r="AG61" s="20"/>
      <c r="AH61" s="20"/>
      <c r="AI61" s="20"/>
      <c r="AJ61" s="20"/>
      <c r="AL61" s="20"/>
      <c r="AM61" s="20"/>
      <c r="AN61" s="20"/>
      <c r="AO61" s="20"/>
      <c r="AQ61" s="20"/>
      <c r="AR61" s="20"/>
      <c r="AS61" s="20"/>
      <c r="AT61" s="20"/>
    </row>
    <row r="62" spans="18:46" ht="12">
      <c r="R62" s="20"/>
      <c r="S62" s="20"/>
      <c r="T62" s="20"/>
      <c r="U62" s="20"/>
      <c r="W62" s="20"/>
      <c r="X62" s="20"/>
      <c r="Y62" s="20"/>
      <c r="Z62" s="20"/>
      <c r="AG62" s="20"/>
      <c r="AH62" s="20"/>
      <c r="AI62" s="20"/>
      <c r="AJ62" s="20"/>
      <c r="AL62" s="20"/>
      <c r="AM62" s="20"/>
      <c r="AN62" s="20"/>
      <c r="AO62" s="20"/>
      <c r="AQ62" s="20"/>
      <c r="AR62" s="20"/>
      <c r="AS62" s="20"/>
      <c r="AT62" s="20"/>
    </row>
    <row r="63" spans="18:46" ht="12">
      <c r="R63" s="20"/>
      <c r="S63" s="20"/>
      <c r="T63" s="20"/>
      <c r="U63" s="20"/>
      <c r="W63" s="20"/>
      <c r="X63" s="20"/>
      <c r="Y63" s="20"/>
      <c r="Z63" s="20"/>
      <c r="AG63" s="20"/>
      <c r="AH63" s="20"/>
      <c r="AI63" s="20"/>
      <c r="AJ63" s="20"/>
      <c r="AL63" s="20"/>
      <c r="AM63" s="20"/>
      <c r="AN63" s="20"/>
      <c r="AO63" s="20"/>
      <c r="AQ63" s="20"/>
      <c r="AR63" s="20"/>
      <c r="AS63" s="20"/>
      <c r="AT63" s="20"/>
    </row>
    <row r="64" spans="18:46" ht="12">
      <c r="R64" s="20"/>
      <c r="S64" s="20"/>
      <c r="T64" s="20"/>
      <c r="U64" s="20"/>
      <c r="W64" s="20"/>
      <c r="X64" s="20"/>
      <c r="Y64" s="20"/>
      <c r="Z64" s="20"/>
      <c r="AG64" s="20"/>
      <c r="AH64" s="20"/>
      <c r="AI64" s="20"/>
      <c r="AJ64" s="20"/>
      <c r="AL64" s="20"/>
      <c r="AM64" s="20"/>
      <c r="AN64" s="20"/>
      <c r="AO64" s="20"/>
      <c r="AQ64" s="20"/>
      <c r="AR64" s="20"/>
      <c r="AS64" s="20"/>
      <c r="AT64" s="20"/>
    </row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</sheetData>
  <sheetProtection/>
  <printOptions/>
  <pageMargins left="0.5" right="0" top="0.1" bottom="0.25" header="0" footer="0"/>
  <pageSetup horizontalDpi="600" verticalDpi="600" orientation="landscape" scale="90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L75"/>
  <sheetViews>
    <sheetView zoomScale="150" zoomScaleNormal="150" workbookViewId="0" topLeftCell="A1">
      <pane xSplit="1" ySplit="7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9" sqref="J9"/>
    </sheetView>
  </sheetViews>
  <sheetFormatPr defaultColWidth="8.8515625" defaultRowHeight="12.75"/>
  <cols>
    <col min="1" max="1" width="9.7109375" style="19" customWidth="1"/>
    <col min="2" max="2" width="3.7109375" style="0" customWidth="1"/>
    <col min="3" max="5" width="13.7109375" style="35" hidden="1" customWidth="1"/>
    <col min="6" max="6" width="3.7109375" style="33" hidden="1" customWidth="1"/>
    <col min="7" max="10" width="13.7109375" style="33" customWidth="1"/>
    <col min="11" max="11" width="3.7109375" style="33" customWidth="1"/>
    <col min="12" max="15" width="12.7109375" style="33" customWidth="1"/>
    <col min="16" max="16" width="2.421875" style="33" customWidth="1"/>
    <col min="17" max="20" width="12.7109375" style="33" customWidth="1"/>
    <col min="21" max="21" width="3.7109375" style="33" customWidth="1"/>
    <col min="22" max="25" width="13.7109375" style="33" customWidth="1"/>
    <col min="26" max="26" width="3.7109375" style="33" customWidth="1"/>
    <col min="27" max="28" width="12.7109375" style="33" customWidth="1"/>
    <col min="29" max="30" width="13.7109375" style="33" customWidth="1"/>
    <col min="31" max="31" width="3.7109375" style="33" customWidth="1"/>
    <col min="32" max="35" width="12.7109375" style="33" customWidth="1"/>
    <col min="36" max="36" width="3.7109375" style="33" customWidth="1"/>
    <col min="37" max="40" width="13.7109375" style="33" customWidth="1"/>
    <col min="41" max="41" width="3.7109375" style="33" customWidth="1"/>
    <col min="42" max="45" width="13.7109375" style="33" customWidth="1"/>
    <col min="46" max="46" width="3.00390625" style="33" customWidth="1"/>
    <col min="47" max="50" width="13.7109375" style="33" customWidth="1"/>
    <col min="51" max="51" width="3.7109375" style="33" customWidth="1"/>
    <col min="52" max="55" width="12.7109375" style="33" customWidth="1"/>
    <col min="56" max="56" width="3.7109375" style="33" customWidth="1"/>
    <col min="57" max="60" width="13.7109375" style="33" customWidth="1"/>
    <col min="61" max="61" width="3.7109375" style="33" customWidth="1"/>
    <col min="62" max="65" width="13.7109375" style="33" customWidth="1"/>
    <col min="66" max="66" width="3.7109375" style="33" customWidth="1"/>
    <col min="67" max="70" width="13.7109375" style="33" customWidth="1"/>
    <col min="71" max="71" width="3.7109375" style="33" customWidth="1"/>
    <col min="72" max="75" width="13.7109375" style="33" customWidth="1"/>
    <col min="76" max="76" width="3.7109375" style="33" customWidth="1"/>
    <col min="77" max="80" width="13.7109375" style="33" customWidth="1"/>
    <col min="81" max="81" width="3.7109375" style="33" customWidth="1"/>
    <col min="82" max="85" width="13.7109375" style="33" customWidth="1"/>
    <col min="86" max="86" width="3.7109375" style="33" customWidth="1"/>
    <col min="87" max="90" width="13.7109375" style="33" customWidth="1"/>
    <col min="91" max="91" width="3.7109375" style="33" customWidth="1"/>
    <col min="92" max="95" width="13.7109375" style="33" customWidth="1"/>
    <col min="96" max="96" width="3.7109375" style="33" customWidth="1"/>
    <col min="97" max="100" width="13.7109375" style="33" customWidth="1"/>
    <col min="101" max="101" width="3.7109375" style="33" customWidth="1"/>
    <col min="102" max="105" width="13.7109375" style="33" customWidth="1"/>
    <col min="106" max="106" width="3.7109375" style="33" customWidth="1"/>
    <col min="107" max="110" width="13.7109375" style="33" customWidth="1"/>
    <col min="111" max="111" width="3.7109375" style="33" customWidth="1"/>
    <col min="112" max="115" width="13.7109375" style="33" customWidth="1"/>
    <col min="116" max="116" width="3.7109375" style="33" customWidth="1"/>
  </cols>
  <sheetData>
    <row r="1" spans="1:112" ht="12">
      <c r="A1" s="43"/>
      <c r="B1" s="30"/>
      <c r="D1" s="44"/>
      <c r="G1" s="44" t="s">
        <v>14</v>
      </c>
      <c r="V1" s="44"/>
      <c r="AA1" s="44" t="s">
        <v>14</v>
      </c>
      <c r="AF1" s="44" t="s">
        <v>14</v>
      </c>
      <c r="AP1" s="44"/>
      <c r="AZ1" s="44" t="s">
        <v>14</v>
      </c>
      <c r="BO1" s="44" t="s">
        <v>14</v>
      </c>
      <c r="CD1" s="44" t="s">
        <v>14</v>
      </c>
      <c r="CS1" s="44" t="s">
        <v>14</v>
      </c>
      <c r="CX1" s="44"/>
      <c r="DH1" s="44" t="s">
        <v>14</v>
      </c>
    </row>
    <row r="2" spans="1:112" ht="12">
      <c r="A2" s="43"/>
      <c r="B2" s="30"/>
      <c r="D2" s="44"/>
      <c r="G2" s="44" t="s">
        <v>13</v>
      </c>
      <c r="V2" s="44"/>
      <c r="AA2" s="44" t="s">
        <v>13</v>
      </c>
      <c r="AF2" s="44" t="s">
        <v>13</v>
      </c>
      <c r="AP2" s="44"/>
      <c r="AZ2" s="44" t="s">
        <v>13</v>
      </c>
      <c r="BO2" s="44" t="s">
        <v>13</v>
      </c>
      <c r="CD2" s="44" t="s">
        <v>13</v>
      </c>
      <c r="CS2" s="44" t="s">
        <v>13</v>
      </c>
      <c r="CX2" s="44"/>
      <c r="DH2" s="44" t="s">
        <v>13</v>
      </c>
    </row>
    <row r="3" spans="1:112" ht="12">
      <c r="A3" s="43"/>
      <c r="B3" s="30"/>
      <c r="D3" s="42"/>
      <c r="G3" s="44" t="s">
        <v>130</v>
      </c>
      <c r="V3" s="44"/>
      <c r="AA3" s="44" t="str">
        <f>G3</f>
        <v>2008 Series A Bond Funded Projects After 2015A</v>
      </c>
      <c r="AF3" s="44" t="str">
        <f>AA3</f>
        <v>2008 Series A Bond Funded Projects After 2015A</v>
      </c>
      <c r="AP3" s="44"/>
      <c r="AZ3" s="44" t="str">
        <f>AF3</f>
        <v>2008 Series A Bond Funded Projects After 2015A</v>
      </c>
      <c r="BO3" s="44" t="str">
        <f>AZ3</f>
        <v>2008 Series A Bond Funded Projects After 2015A</v>
      </c>
      <c r="CD3" s="44" t="str">
        <f>BO3</f>
        <v>2008 Series A Bond Funded Projects After 2015A</v>
      </c>
      <c r="CS3" s="44" t="str">
        <f>CD3</f>
        <v>2008 Series A Bond Funded Projects After 2015A</v>
      </c>
      <c r="CX3" s="44"/>
      <c r="DH3" s="44" t="str">
        <f>CS3</f>
        <v>2008 Series A Bond Funded Projects After 2015A</v>
      </c>
    </row>
    <row r="4" spans="1:4" ht="12">
      <c r="A4" s="43"/>
      <c r="B4" s="30"/>
      <c r="C4" s="42"/>
      <c r="D4" s="44"/>
    </row>
    <row r="5" spans="1:115" ht="12">
      <c r="A5" s="21" t="s">
        <v>9</v>
      </c>
      <c r="C5" s="47" t="s">
        <v>134</v>
      </c>
      <c r="D5" s="48"/>
      <c r="E5" s="49"/>
      <c r="G5" s="36" t="s">
        <v>78</v>
      </c>
      <c r="H5" s="37"/>
      <c r="I5" s="38"/>
      <c r="J5" s="38"/>
      <c r="L5" s="61" t="s">
        <v>118</v>
      </c>
      <c r="M5" s="70"/>
      <c r="N5" s="38"/>
      <c r="O5" s="38"/>
      <c r="P5" s="41"/>
      <c r="Q5" s="78" t="s">
        <v>128</v>
      </c>
      <c r="R5" s="70"/>
      <c r="S5" s="38"/>
      <c r="T5" s="38"/>
      <c r="V5" s="61" t="s">
        <v>36</v>
      </c>
      <c r="W5" s="70"/>
      <c r="X5" s="38"/>
      <c r="Y5" s="38"/>
      <c r="AA5" s="61" t="s">
        <v>119</v>
      </c>
      <c r="AB5" s="70"/>
      <c r="AC5" s="38"/>
      <c r="AD5" s="38"/>
      <c r="AF5" s="61" t="s">
        <v>121</v>
      </c>
      <c r="AG5" s="70"/>
      <c r="AH5" s="38"/>
      <c r="AI5" s="38"/>
      <c r="AK5" s="36" t="s">
        <v>30</v>
      </c>
      <c r="AL5" s="37"/>
      <c r="AM5" s="38"/>
      <c r="AN5" s="38"/>
      <c r="AP5" s="36" t="s">
        <v>89</v>
      </c>
      <c r="AQ5" s="37"/>
      <c r="AR5" s="38"/>
      <c r="AS5" s="38"/>
      <c r="AT5" s="83"/>
      <c r="AU5" s="78" t="s">
        <v>129</v>
      </c>
      <c r="AV5" s="70"/>
      <c r="AW5" s="38"/>
      <c r="AX5" s="38"/>
      <c r="AY5" s="62"/>
      <c r="AZ5" s="36" t="s">
        <v>122</v>
      </c>
      <c r="BA5" s="37"/>
      <c r="BB5" s="38"/>
      <c r="BC5" s="38"/>
      <c r="BD5" s="75"/>
      <c r="BE5" s="36" t="s">
        <v>90</v>
      </c>
      <c r="BF5" s="37"/>
      <c r="BG5" s="38"/>
      <c r="BH5" s="38"/>
      <c r="BI5" s="75"/>
      <c r="BJ5" s="36" t="s">
        <v>32</v>
      </c>
      <c r="BK5" s="37"/>
      <c r="BL5" s="38"/>
      <c r="BM5" s="38"/>
      <c r="BO5" s="36" t="s">
        <v>91</v>
      </c>
      <c r="BP5" s="37"/>
      <c r="BQ5" s="38"/>
      <c r="BR5" s="38"/>
      <c r="BT5" s="36" t="s">
        <v>77</v>
      </c>
      <c r="BU5" s="70"/>
      <c r="BV5" s="38"/>
      <c r="BW5" s="38"/>
      <c r="BY5" s="36" t="s">
        <v>33</v>
      </c>
      <c r="BZ5" s="70"/>
      <c r="CA5" s="38"/>
      <c r="CB5" s="38"/>
      <c r="CC5" s="62"/>
      <c r="CD5" s="36" t="s">
        <v>34</v>
      </c>
      <c r="CE5" s="70"/>
      <c r="CF5" s="38"/>
      <c r="CG5" s="38"/>
      <c r="CI5" s="36" t="s">
        <v>92</v>
      </c>
      <c r="CJ5" s="70"/>
      <c r="CK5" s="38"/>
      <c r="CL5" s="38"/>
      <c r="CN5" s="36" t="s">
        <v>93</v>
      </c>
      <c r="CO5" s="70"/>
      <c r="CP5" s="38"/>
      <c r="CQ5" s="38"/>
      <c r="CS5" s="36" t="s">
        <v>94</v>
      </c>
      <c r="CT5" s="70"/>
      <c r="CU5" s="38"/>
      <c r="CV5" s="38"/>
      <c r="CX5" s="36" t="s">
        <v>95</v>
      </c>
      <c r="CY5" s="70"/>
      <c r="CZ5" s="38"/>
      <c r="DA5" s="38"/>
      <c r="DC5" s="36" t="s">
        <v>96</v>
      </c>
      <c r="DD5" s="70"/>
      <c r="DE5" s="38"/>
      <c r="DF5" s="38"/>
      <c r="DH5" s="36" t="s">
        <v>97</v>
      </c>
      <c r="DI5" s="70"/>
      <c r="DJ5" s="38"/>
      <c r="DK5" s="38"/>
    </row>
    <row r="6" spans="1:116" s="12" customFormat="1" ht="12">
      <c r="A6" s="45" t="s">
        <v>10</v>
      </c>
      <c r="C6" s="39"/>
      <c r="D6" s="37"/>
      <c r="E6" s="38"/>
      <c r="F6" s="33"/>
      <c r="G6" s="69"/>
      <c r="H6" s="64">
        <f>M6+W6+AB6+AG6+AL6+AQ6+BA6+BF6+BK6+BP6+BU6+BZ6+CE6+CJ6+CO6+CT6+CY6+DD6+DI6+R6+AV6</f>
        <v>0.10131860000000001</v>
      </c>
      <c r="I6" s="74"/>
      <c r="J6" s="40" t="s">
        <v>125</v>
      </c>
      <c r="K6" s="33"/>
      <c r="L6" s="68"/>
      <c r="M6" s="12">
        <v>0.010125</v>
      </c>
      <c r="N6" s="74"/>
      <c r="O6" s="40" t="s">
        <v>125</v>
      </c>
      <c r="P6" s="82"/>
      <c r="Q6" s="68"/>
      <c r="R6" s="12">
        <v>0.001302550177095632</v>
      </c>
      <c r="S6" s="74"/>
      <c r="T6" s="40" t="s">
        <v>125</v>
      </c>
      <c r="U6" s="33"/>
      <c r="V6" s="68">
        <v>0.0029994</v>
      </c>
      <c r="W6" s="12">
        <v>0.0237644</v>
      </c>
      <c r="X6" s="74"/>
      <c r="Y6" s="40" t="s">
        <v>125</v>
      </c>
      <c r="Z6" s="33"/>
      <c r="AA6" s="68"/>
      <c r="AB6" s="12">
        <v>0.0006876</v>
      </c>
      <c r="AC6" s="74"/>
      <c r="AD6" s="40" t="s">
        <v>125</v>
      </c>
      <c r="AE6" s="33"/>
      <c r="AF6" s="68"/>
      <c r="AG6" s="12">
        <v>0.0005016</v>
      </c>
      <c r="AH6" s="74"/>
      <c r="AI6" s="40" t="s">
        <v>125</v>
      </c>
      <c r="AJ6" s="33"/>
      <c r="AK6" s="68">
        <v>0.0066446</v>
      </c>
      <c r="AL6" s="64">
        <v>0.007</v>
      </c>
      <c r="AM6" s="74"/>
      <c r="AN6" s="40" t="s">
        <v>125</v>
      </c>
      <c r="AO6" s="33"/>
      <c r="AP6" s="68">
        <v>0.002919</v>
      </c>
      <c r="AQ6" s="64">
        <v>0.0051777</v>
      </c>
      <c r="AR6" s="74"/>
      <c r="AS6" s="40" t="s">
        <v>125</v>
      </c>
      <c r="AT6" s="63"/>
      <c r="AU6" s="68"/>
      <c r="AV6" s="12">
        <v>0.001797349822904368</v>
      </c>
      <c r="AW6" s="74"/>
      <c r="AX6" s="40" t="s">
        <v>125</v>
      </c>
      <c r="AY6" s="62"/>
      <c r="AZ6" s="68"/>
      <c r="BA6" s="64">
        <v>0.0027386</v>
      </c>
      <c r="BB6" s="74"/>
      <c r="BC6" s="40" t="s">
        <v>125</v>
      </c>
      <c r="BD6" s="75"/>
      <c r="BE6" s="68">
        <v>0.0039482</v>
      </c>
      <c r="BF6" s="64">
        <v>0.0078084</v>
      </c>
      <c r="BG6" s="74"/>
      <c r="BH6" s="40" t="s">
        <v>125</v>
      </c>
      <c r="BI6" s="41"/>
      <c r="BJ6" s="68">
        <v>0.0010906</v>
      </c>
      <c r="BK6" s="64">
        <v>0.0036689</v>
      </c>
      <c r="BL6" s="74"/>
      <c r="BM6" s="40" t="s">
        <v>125</v>
      </c>
      <c r="BN6" s="33"/>
      <c r="BO6" s="68">
        <v>0.0025758</v>
      </c>
      <c r="BP6" s="64">
        <v>0.0026553</v>
      </c>
      <c r="BQ6" s="74"/>
      <c r="BR6" s="40" t="s">
        <v>125</v>
      </c>
      <c r="BS6" s="33"/>
      <c r="BT6" s="68">
        <v>0.0025875</v>
      </c>
      <c r="BU6" s="12">
        <v>0.0038219</v>
      </c>
      <c r="BV6" s="74"/>
      <c r="BW6" s="40" t="s">
        <v>125</v>
      </c>
      <c r="BX6" s="33"/>
      <c r="BY6" s="68">
        <v>0.0007706</v>
      </c>
      <c r="BZ6" s="12">
        <v>0.0007861</v>
      </c>
      <c r="CA6" s="74"/>
      <c r="CB6" s="40" t="s">
        <v>125</v>
      </c>
      <c r="CC6" s="62"/>
      <c r="CD6" s="54">
        <v>0.0003248</v>
      </c>
      <c r="CE6" s="12">
        <v>0.0029823</v>
      </c>
      <c r="CF6" s="74"/>
      <c r="CG6" s="40" t="s">
        <v>125</v>
      </c>
      <c r="CH6" s="33"/>
      <c r="CI6" s="68">
        <v>0.0005667</v>
      </c>
      <c r="CJ6" s="12">
        <v>0.0007439</v>
      </c>
      <c r="CK6" s="74"/>
      <c r="CL6" s="40" t="s">
        <v>125</v>
      </c>
      <c r="CM6" s="33"/>
      <c r="CN6" s="68">
        <v>0.0004347</v>
      </c>
      <c r="CO6" s="12">
        <v>0.0029891</v>
      </c>
      <c r="CP6" s="74"/>
      <c r="CQ6" s="40" t="s">
        <v>125</v>
      </c>
      <c r="CR6" s="33"/>
      <c r="CS6" s="68">
        <v>0.0032194</v>
      </c>
      <c r="CT6" s="12">
        <v>0.0167293</v>
      </c>
      <c r="CU6" s="74"/>
      <c r="CV6" s="40" t="s">
        <v>125</v>
      </c>
      <c r="CW6" s="33"/>
      <c r="CX6" s="68">
        <v>4.76E-05</v>
      </c>
      <c r="CY6" s="12">
        <v>4.86E-05</v>
      </c>
      <c r="CZ6" s="74"/>
      <c r="DA6" s="40" t="s">
        <v>125</v>
      </c>
      <c r="DB6" s="33"/>
      <c r="DC6" s="68">
        <v>0.0028593</v>
      </c>
      <c r="DD6" s="12">
        <v>0.0031897</v>
      </c>
      <c r="DE6" s="74"/>
      <c r="DF6" s="40" t="s">
        <v>125</v>
      </c>
      <c r="DG6" s="33"/>
      <c r="DH6" s="68">
        <v>0.0009192</v>
      </c>
      <c r="DI6" s="12">
        <v>0.0028003</v>
      </c>
      <c r="DJ6" s="74"/>
      <c r="DK6" s="40" t="s">
        <v>125</v>
      </c>
      <c r="DL6" s="33"/>
    </row>
    <row r="7" spans="1:115" ht="12">
      <c r="A7" s="25"/>
      <c r="C7" s="40" t="s">
        <v>11</v>
      </c>
      <c r="D7" s="40" t="s">
        <v>12</v>
      </c>
      <c r="E7" s="40" t="s">
        <v>4</v>
      </c>
      <c r="G7" s="40" t="s">
        <v>11</v>
      </c>
      <c r="H7" s="40" t="s">
        <v>12</v>
      </c>
      <c r="I7" s="40" t="s">
        <v>4</v>
      </c>
      <c r="J7" s="40" t="s">
        <v>126</v>
      </c>
      <c r="L7" s="40" t="s">
        <v>11</v>
      </c>
      <c r="M7" s="40" t="s">
        <v>12</v>
      </c>
      <c r="N7" s="40" t="s">
        <v>4</v>
      </c>
      <c r="O7" s="40" t="s">
        <v>126</v>
      </c>
      <c r="P7" s="82"/>
      <c r="Q7" s="40" t="s">
        <v>11</v>
      </c>
      <c r="R7" s="40" t="s">
        <v>12</v>
      </c>
      <c r="S7" s="40" t="s">
        <v>4</v>
      </c>
      <c r="T7" s="40" t="s">
        <v>126</v>
      </c>
      <c r="V7" s="40" t="s">
        <v>11</v>
      </c>
      <c r="W7" s="40" t="s">
        <v>12</v>
      </c>
      <c r="X7" s="40" t="s">
        <v>4</v>
      </c>
      <c r="Y7" s="40" t="s">
        <v>126</v>
      </c>
      <c r="AA7" s="40" t="s">
        <v>11</v>
      </c>
      <c r="AB7" s="40" t="s">
        <v>12</v>
      </c>
      <c r="AC7" s="40" t="s">
        <v>4</v>
      </c>
      <c r="AD7" s="40" t="s">
        <v>126</v>
      </c>
      <c r="AF7" s="40" t="s">
        <v>11</v>
      </c>
      <c r="AG7" s="40" t="s">
        <v>12</v>
      </c>
      <c r="AH7" s="40" t="s">
        <v>4</v>
      </c>
      <c r="AI7" s="40" t="s">
        <v>126</v>
      </c>
      <c r="AK7" s="40" t="s">
        <v>11</v>
      </c>
      <c r="AL7" s="40" t="s">
        <v>12</v>
      </c>
      <c r="AM7" s="40" t="s">
        <v>4</v>
      </c>
      <c r="AN7" s="40" t="s">
        <v>126</v>
      </c>
      <c r="AP7" s="40" t="s">
        <v>11</v>
      </c>
      <c r="AQ7" s="40" t="s">
        <v>12</v>
      </c>
      <c r="AR7" s="40" t="s">
        <v>4</v>
      </c>
      <c r="AS7" s="40" t="s">
        <v>126</v>
      </c>
      <c r="AT7" s="63"/>
      <c r="AU7" s="40" t="s">
        <v>11</v>
      </c>
      <c r="AV7" s="40" t="s">
        <v>12</v>
      </c>
      <c r="AW7" s="40" t="s">
        <v>4</v>
      </c>
      <c r="AX7" s="40" t="s">
        <v>126</v>
      </c>
      <c r="AY7" s="63"/>
      <c r="AZ7" s="40" t="s">
        <v>11</v>
      </c>
      <c r="BA7" s="40" t="s">
        <v>12</v>
      </c>
      <c r="BB7" s="40" t="s">
        <v>4</v>
      </c>
      <c r="BC7" s="40" t="s">
        <v>126</v>
      </c>
      <c r="BD7" s="63"/>
      <c r="BE7" s="40" t="s">
        <v>11</v>
      </c>
      <c r="BF7" s="40" t="s">
        <v>12</v>
      </c>
      <c r="BG7" s="40" t="s">
        <v>4</v>
      </c>
      <c r="BH7" s="40" t="s">
        <v>126</v>
      </c>
      <c r="BI7" s="63"/>
      <c r="BJ7" s="40" t="s">
        <v>11</v>
      </c>
      <c r="BK7" s="40" t="s">
        <v>12</v>
      </c>
      <c r="BL7" s="40" t="s">
        <v>4</v>
      </c>
      <c r="BM7" s="40" t="s">
        <v>126</v>
      </c>
      <c r="BO7" s="40" t="s">
        <v>11</v>
      </c>
      <c r="BP7" s="40" t="s">
        <v>12</v>
      </c>
      <c r="BQ7" s="40" t="s">
        <v>4</v>
      </c>
      <c r="BR7" s="40" t="s">
        <v>126</v>
      </c>
      <c r="BT7" s="40" t="s">
        <v>11</v>
      </c>
      <c r="BU7" s="40" t="s">
        <v>12</v>
      </c>
      <c r="BV7" s="40" t="s">
        <v>4</v>
      </c>
      <c r="BW7" s="40" t="s">
        <v>126</v>
      </c>
      <c r="BY7" s="40" t="s">
        <v>11</v>
      </c>
      <c r="BZ7" s="40" t="s">
        <v>12</v>
      </c>
      <c r="CA7" s="40" t="s">
        <v>4</v>
      </c>
      <c r="CB7" s="40" t="s">
        <v>126</v>
      </c>
      <c r="CC7" s="63"/>
      <c r="CD7" s="40" t="s">
        <v>11</v>
      </c>
      <c r="CE7" s="40" t="s">
        <v>12</v>
      </c>
      <c r="CF7" s="40" t="s">
        <v>4</v>
      </c>
      <c r="CG7" s="40" t="s">
        <v>126</v>
      </c>
      <c r="CI7" s="40" t="s">
        <v>11</v>
      </c>
      <c r="CJ7" s="40" t="s">
        <v>12</v>
      </c>
      <c r="CK7" s="40" t="s">
        <v>4</v>
      </c>
      <c r="CL7" s="40" t="s">
        <v>126</v>
      </c>
      <c r="CN7" s="40" t="s">
        <v>11</v>
      </c>
      <c r="CO7" s="40" t="s">
        <v>12</v>
      </c>
      <c r="CP7" s="40" t="s">
        <v>4</v>
      </c>
      <c r="CQ7" s="40" t="s">
        <v>126</v>
      </c>
      <c r="CS7" s="40" t="s">
        <v>11</v>
      </c>
      <c r="CT7" s="40" t="s">
        <v>12</v>
      </c>
      <c r="CU7" s="40" t="s">
        <v>4</v>
      </c>
      <c r="CV7" s="40" t="s">
        <v>126</v>
      </c>
      <c r="CX7" s="40" t="s">
        <v>11</v>
      </c>
      <c r="CY7" s="40" t="s">
        <v>12</v>
      </c>
      <c r="CZ7" s="40" t="s">
        <v>4</v>
      </c>
      <c r="DA7" s="40" t="s">
        <v>126</v>
      </c>
      <c r="DC7" s="40" t="s">
        <v>11</v>
      </c>
      <c r="DD7" s="40" t="s">
        <v>12</v>
      </c>
      <c r="DE7" s="40" t="s">
        <v>4</v>
      </c>
      <c r="DF7" s="40" t="s">
        <v>126</v>
      </c>
      <c r="DH7" s="40" t="s">
        <v>11</v>
      </c>
      <c r="DI7" s="40" t="s">
        <v>12</v>
      </c>
      <c r="DJ7" s="40" t="s">
        <v>4</v>
      </c>
      <c r="DK7" s="40" t="s">
        <v>126</v>
      </c>
    </row>
    <row r="8" spans="1:115" ht="12">
      <c r="A8" s="19">
        <v>41913</v>
      </c>
      <c r="D8" s="35">
        <v>1657743</v>
      </c>
      <c r="E8" s="35">
        <f aca="true" t="shared" si="0" ref="E8:E35">C8+D8</f>
        <v>1657743</v>
      </c>
      <c r="G8" s="71"/>
      <c r="H8" s="51">
        <f aca="true" t="shared" si="1" ref="H8:H35">M8+W8+AB8+AG8+AL8+AQ8+BA8+BF8+BK8+BP8+BU8+BZ8+CE8+CJ8+CO8+CT8+CY8+DD8+DI8+R8+AV8</f>
        <v>167960.19991979998</v>
      </c>
      <c r="I8" s="51">
        <f aca="true" t="shared" si="2" ref="I8:I35">G8+H8</f>
        <v>167960.19991979998</v>
      </c>
      <c r="J8" s="51">
        <f aca="true" t="shared" si="3" ref="J8:J35">O8+Y8+AD8+AI8+AN8+AS8+BC8+BH8+BM8+BR8+BW8+CB8+CG8+CL8+CQ8+CV8+DA8+DF8+DK8+T8+AX8</f>
        <v>5883.773739200002</v>
      </c>
      <c r="M8" s="33">
        <f aca="true" t="shared" si="4" ref="M8:M35">D8*1.0125/100</f>
        <v>16784.647875</v>
      </c>
      <c r="N8" s="33">
        <f aca="true" t="shared" si="5" ref="N8:N35">L8+M8</f>
        <v>16784.647875</v>
      </c>
      <c r="O8" s="20">
        <f>M$6*'2008A'!$F8</f>
        <v>587.979</v>
      </c>
      <c r="P8" s="20"/>
      <c r="Q8" s="20">
        <f>R6*C8</f>
        <v>0</v>
      </c>
      <c r="R8" s="20">
        <v>2159.293438229044</v>
      </c>
      <c r="S8" s="20">
        <f>SUM(Q8:R8)</f>
        <v>2159.293438229044</v>
      </c>
      <c r="T8" s="20">
        <v>75.64169388429752</v>
      </c>
      <c r="W8" s="51">
        <f aca="true" t="shared" si="6" ref="W8:W35">D8*2.37644/100</f>
        <v>39395.2677492</v>
      </c>
      <c r="X8" s="51">
        <f aca="true" t="shared" si="7" ref="X8:X35">V8+W8</f>
        <v>39395.2677492</v>
      </c>
      <c r="Y8" s="20">
        <f>W$6*'2008A'!$F8</f>
        <v>1380.0462368</v>
      </c>
      <c r="AB8" s="33">
        <f aca="true" t="shared" si="8" ref="AB8:AB35">D8*0.06876/100</f>
        <v>1139.8640868</v>
      </c>
      <c r="AC8" s="33">
        <f aca="true" t="shared" si="9" ref="AC8:AC35">AA8+AB8</f>
        <v>1139.8640868</v>
      </c>
      <c r="AD8" s="20">
        <f>AB$6*'2008A'!$F8</f>
        <v>39.9303072</v>
      </c>
      <c r="AG8" s="33">
        <f aca="true" t="shared" si="10" ref="AG8:AG35">D8*0.05016/100</f>
        <v>831.5238888</v>
      </c>
      <c r="AH8" s="33">
        <f aca="true" t="shared" si="11" ref="AH8:AH35">AF8+AG8</f>
        <v>831.5238888</v>
      </c>
      <c r="AI8" s="20">
        <f>AG$6*'2008A'!$F8</f>
        <v>29.1289152</v>
      </c>
      <c r="AL8" s="33">
        <f aca="true" t="shared" si="12" ref="AL8:AL35">D8*0.7/100</f>
        <v>11604.201</v>
      </c>
      <c r="AM8" s="33">
        <f aca="true" t="shared" si="13" ref="AM8:AM35">AK8+AL8</f>
        <v>11604.201</v>
      </c>
      <c r="AN8" s="20">
        <f>AL$6*'2008A'!$F8</f>
        <v>406.504</v>
      </c>
      <c r="AQ8" s="33">
        <f aca="true" t="shared" si="14" ref="AQ8:AQ35">D8*0.51777/100</f>
        <v>8583.2959311</v>
      </c>
      <c r="AR8" s="33">
        <f aca="true" t="shared" si="15" ref="AR8:AR35">AP8+AQ8</f>
        <v>8583.2959311</v>
      </c>
      <c r="AS8" s="20">
        <f>AQ$6*'2008A'!$F8</f>
        <v>300.67939440000004</v>
      </c>
      <c r="AT8" s="20"/>
      <c r="AU8" s="20"/>
      <c r="AV8" s="20">
        <v>2979.5440874709557</v>
      </c>
      <c r="AW8" s="20">
        <f>SUM(AU8:AV8)</f>
        <v>2979.5440874709557</v>
      </c>
      <c r="AX8" s="20">
        <v>104.37569891570246</v>
      </c>
      <c r="AZ8" s="51"/>
      <c r="BA8" s="51">
        <f aca="true" t="shared" si="16" ref="BA8:BA35">D8*0.27386/100</f>
        <v>4539.894979799999</v>
      </c>
      <c r="BB8" s="33">
        <f aca="true" t="shared" si="17" ref="BB8:BB35">AZ8+BA8</f>
        <v>4539.894979799999</v>
      </c>
      <c r="BC8" s="20">
        <f>BA$6*'2008A'!$F8</f>
        <v>159.03597919999999</v>
      </c>
      <c r="BE8" s="51"/>
      <c r="BF8" s="51">
        <f aca="true" t="shared" si="18" ref="BF8:BF35">D8*0.78084/100</f>
        <v>12944.3204412</v>
      </c>
      <c r="BG8" s="33">
        <f aca="true" t="shared" si="19" ref="BG8:BG35">BE8+BF8</f>
        <v>12944.3204412</v>
      </c>
      <c r="BH8" s="20">
        <f>BF$6*'2008A'!$F8</f>
        <v>453.4494048</v>
      </c>
      <c r="BK8" s="33">
        <f aca="true" t="shared" si="20" ref="BK8:BK35">D8*0.36689/100</f>
        <v>6082.093292699999</v>
      </c>
      <c r="BL8" s="33">
        <f aca="true" t="shared" si="21" ref="BL8:BL35">BJ8+BK8</f>
        <v>6082.093292699999</v>
      </c>
      <c r="BM8" s="20">
        <f>BK$6*'2008A'!$F8</f>
        <v>213.0603608</v>
      </c>
      <c r="BP8" s="33">
        <f aca="true" t="shared" si="22" ref="BP8:BP35">D8*0.26553/100</f>
        <v>4401.8049879</v>
      </c>
      <c r="BQ8" s="33">
        <f aca="true" t="shared" si="23" ref="BQ8:BQ35">BO8+BP8</f>
        <v>4401.8049879</v>
      </c>
      <c r="BR8" s="20">
        <f>BP$6*'2008A'!$F8</f>
        <v>154.1985816</v>
      </c>
      <c r="BU8" s="33">
        <f aca="true" t="shared" si="24" ref="BU8:BU35">D8*0.38219/100</f>
        <v>6335.727971699999</v>
      </c>
      <c r="BV8" s="33">
        <f aca="true" t="shared" si="25" ref="BV8:BV35">BT8+BU8</f>
        <v>6335.727971699999</v>
      </c>
      <c r="BW8" s="20">
        <f>BU$6*'2008A'!$F8</f>
        <v>221.9453768</v>
      </c>
      <c r="BZ8" s="33">
        <f aca="true" t="shared" si="26" ref="BZ8:BZ35">D8*0.07861/100</f>
        <v>1303.1517723</v>
      </c>
      <c r="CA8" s="33">
        <f aca="true" t="shared" si="27" ref="CA8:CA35">BY8+BZ8</f>
        <v>1303.1517723</v>
      </c>
      <c r="CB8" s="20">
        <f>BZ$6*'2008A'!$F8</f>
        <v>45.650399199999995</v>
      </c>
      <c r="CE8" s="33">
        <f aca="true" t="shared" si="28" ref="CE8:CE35">D8*0.29823/100</f>
        <v>4943.8869489</v>
      </c>
      <c r="CF8" s="33">
        <f aca="true" t="shared" si="29" ref="CF8:CF35">CD8+CE8</f>
        <v>4943.8869489</v>
      </c>
      <c r="CG8" s="20">
        <f>CE$6*'2008A'!$F8</f>
        <v>173.18812559999998</v>
      </c>
      <c r="CJ8" s="33">
        <f aca="true" t="shared" si="30" ref="CJ8:CJ35">D8*0.07439/100</f>
        <v>1233.1950177</v>
      </c>
      <c r="CK8" s="33">
        <f aca="true" t="shared" si="31" ref="CK8:CK35">CI8+CJ8</f>
        <v>1233.1950177</v>
      </c>
      <c r="CL8" s="20">
        <f>CJ$6*'2008A'!$F8</f>
        <v>43.1997608</v>
      </c>
      <c r="CO8" s="33">
        <f aca="true" t="shared" si="32" ref="CO8:CO35">D8*0.29891/100</f>
        <v>4955.1596013</v>
      </c>
      <c r="CP8" s="33">
        <f aca="true" t="shared" si="33" ref="CP8:CP35">CN8+CO8</f>
        <v>4955.1596013</v>
      </c>
      <c r="CQ8" s="20">
        <f>CO$6*'2008A'!$F8</f>
        <v>173.5830152</v>
      </c>
      <c r="CT8" s="33">
        <f aca="true" t="shared" si="34" ref="CT8:CT35">D8*1.67293/100</f>
        <v>27732.879969899997</v>
      </c>
      <c r="CU8" s="33">
        <f aca="true" t="shared" si="35" ref="CU8:CU35">CS8+CT8</f>
        <v>27732.879969899997</v>
      </c>
      <c r="CV8" s="20">
        <f>CT$6*'2008A'!$F8</f>
        <v>971.5039095999999</v>
      </c>
      <c r="CY8" s="33">
        <f aca="true" t="shared" si="36" ref="CY8:CY35">D8*0.00486/100</f>
        <v>80.5663098</v>
      </c>
      <c r="CZ8" s="33">
        <f aca="true" t="shared" si="37" ref="CZ8:CZ35">CX8+CY8</f>
        <v>80.5663098</v>
      </c>
      <c r="DA8" s="20">
        <f>CY$6*'2008A'!$F8</f>
        <v>2.8222992000000002</v>
      </c>
      <c r="DD8" s="33">
        <f aca="true" t="shared" si="38" ref="DD8:DD35">D8*0.31897/100</f>
        <v>5287.702847099999</v>
      </c>
      <c r="DE8" s="33">
        <f aca="true" t="shared" si="39" ref="DE8:DE35">DC8+DD8</f>
        <v>5287.702847099999</v>
      </c>
      <c r="DF8" s="20">
        <f>DD$6*'2008A'!$F8</f>
        <v>185.2322584</v>
      </c>
      <c r="DI8" s="33">
        <f aca="true" t="shared" si="40" ref="DI8:DI35">D8*0.28003/100</f>
        <v>4642.1777229</v>
      </c>
      <c r="DJ8" s="33">
        <f aca="true" t="shared" si="41" ref="DJ8:DJ35">DH8+DI8</f>
        <v>4642.1777229</v>
      </c>
      <c r="DK8" s="20">
        <f>DI$6*'2008A'!$F8</f>
        <v>162.6190216</v>
      </c>
    </row>
    <row r="9" spans="1:115" ht="12">
      <c r="A9" s="19">
        <v>42095</v>
      </c>
      <c r="C9" s="35">
        <v>3700000</v>
      </c>
      <c r="D9" s="35">
        <v>1657743</v>
      </c>
      <c r="E9" s="35">
        <f t="shared" si="0"/>
        <v>5357743</v>
      </c>
      <c r="G9" s="71">
        <f aca="true" t="shared" si="42" ref="G9:G35">L9+V9+AA9+AF9+AK9+AP9+AZ9+BE9+BJ9+BO9+BT9+BY9+CD9+CI9+CN9+CS9+CX9+DC9+DH9+Q9+AU9</f>
        <v>374878.82</v>
      </c>
      <c r="H9" s="51">
        <f t="shared" si="1"/>
        <v>167960.19991979998</v>
      </c>
      <c r="I9" s="51">
        <f t="shared" si="2"/>
        <v>542839.0199198</v>
      </c>
      <c r="J9" s="51">
        <f t="shared" si="3"/>
        <v>5097.338766000001</v>
      </c>
      <c r="L9" s="33">
        <f aca="true" t="shared" si="43" ref="L9:L35">C9*1.0125/100</f>
        <v>37462.5</v>
      </c>
      <c r="M9" s="33">
        <f t="shared" si="4"/>
        <v>16784.647875</v>
      </c>
      <c r="N9" s="33">
        <f t="shared" si="5"/>
        <v>54247.147874999995</v>
      </c>
      <c r="O9" s="20">
        <f>M$6*'2008A'!$F9</f>
        <v>509.38875</v>
      </c>
      <c r="P9" s="20"/>
      <c r="Q9" s="20">
        <f>$R$6*C9</f>
        <v>4819.435655253838</v>
      </c>
      <c r="R9" s="20">
        <f>$R$6*D9</f>
        <v>2159.293438229044</v>
      </c>
      <c r="S9" s="20">
        <f>SUM(Q9:R9)</f>
        <v>6978.7290934828825</v>
      </c>
      <c r="T9" s="20">
        <f>$R$6*'2008A'!F9</f>
        <v>65.53129940968124</v>
      </c>
      <c r="V9" s="33">
        <f aca="true" t="shared" si="44" ref="V9:V35">C9*2.37644/100</f>
        <v>87928.28</v>
      </c>
      <c r="W9" s="51">
        <f t="shared" si="6"/>
        <v>39395.2677492</v>
      </c>
      <c r="X9" s="51">
        <f t="shared" si="7"/>
        <v>127323.54774919999</v>
      </c>
      <c r="Y9" s="20">
        <f>W$6*'2008A'!$F9</f>
        <v>1195.586964</v>
      </c>
      <c r="AA9" s="33">
        <f aca="true" t="shared" si="45" ref="AA9:AA35">C9*0.06876/100</f>
        <v>2544.12</v>
      </c>
      <c r="AB9" s="33">
        <f t="shared" si="8"/>
        <v>1139.8640868</v>
      </c>
      <c r="AC9" s="33">
        <f t="shared" si="9"/>
        <v>3683.9840868</v>
      </c>
      <c r="AD9" s="20">
        <f>AB$6*'2008A'!$F9</f>
        <v>34.593156</v>
      </c>
      <c r="AF9" s="33">
        <f aca="true" t="shared" si="46" ref="AF9:AF35">C9*0.05016/100</f>
        <v>1855.92</v>
      </c>
      <c r="AG9" s="33">
        <f t="shared" si="10"/>
        <v>831.5238888</v>
      </c>
      <c r="AH9" s="33">
        <f t="shared" si="11"/>
        <v>2687.4438888</v>
      </c>
      <c r="AI9" s="20">
        <f>AG$6*'2008A'!$F9</f>
        <v>25.235496</v>
      </c>
      <c r="AK9" s="33">
        <f aca="true" t="shared" si="47" ref="AK9:AK35">C9*0.7/100</f>
        <v>25900</v>
      </c>
      <c r="AL9" s="33">
        <f t="shared" si="12"/>
        <v>11604.201</v>
      </c>
      <c r="AM9" s="33">
        <f t="shared" si="13"/>
        <v>37504.201</v>
      </c>
      <c r="AN9" s="20">
        <f>AL$6*'2008A'!$F9</f>
        <v>352.17</v>
      </c>
      <c r="AP9" s="33">
        <f aca="true" t="shared" si="48" ref="AP9:AP35">C9*0.51777/100</f>
        <v>19157.489999999998</v>
      </c>
      <c r="AQ9" s="33">
        <f t="shared" si="14"/>
        <v>8583.2959311</v>
      </c>
      <c r="AR9" s="33">
        <f t="shared" si="15"/>
        <v>27740.7859311</v>
      </c>
      <c r="AS9" s="20">
        <f>AQ$6*'2008A'!$F9</f>
        <v>260.490087</v>
      </c>
      <c r="AT9" s="20"/>
      <c r="AU9" s="20">
        <f>$AV$6*C9</f>
        <v>6650.194344746162</v>
      </c>
      <c r="AV9" s="20">
        <f>$AV$6*D9</f>
        <v>2979.5440874709557</v>
      </c>
      <c r="AW9" s="20">
        <f>SUM(AU9:AV9)</f>
        <v>9629.738432217116</v>
      </c>
      <c r="AX9" s="20">
        <f>$AV$6*'2008A'!F9</f>
        <v>90.42466959031876</v>
      </c>
      <c r="AZ9" s="51">
        <f aca="true" t="shared" si="49" ref="AZ9:AZ35">C9*0.27386/100</f>
        <v>10132.82</v>
      </c>
      <c r="BA9" s="51">
        <f t="shared" si="16"/>
        <v>4539.894979799999</v>
      </c>
      <c r="BB9" s="33">
        <f t="shared" si="17"/>
        <v>14672.7149798</v>
      </c>
      <c r="BC9" s="20">
        <f>BA$6*'2008A'!$F9</f>
        <v>137.778966</v>
      </c>
      <c r="BE9" s="51">
        <f aca="true" t="shared" si="50" ref="BE9:BE35">C9*0.78084/100</f>
        <v>28891.08</v>
      </c>
      <c r="BF9" s="51">
        <f t="shared" si="18"/>
        <v>12944.3204412</v>
      </c>
      <c r="BG9" s="33">
        <f t="shared" si="19"/>
        <v>41835.4004412</v>
      </c>
      <c r="BH9" s="20">
        <f>BF$6*'2008A'!$F9</f>
        <v>392.840604</v>
      </c>
      <c r="BJ9" s="33">
        <f aca="true" t="shared" si="51" ref="BJ9:BJ35">C9*0.36689/100</f>
        <v>13574.93</v>
      </c>
      <c r="BK9" s="33">
        <f t="shared" si="20"/>
        <v>6082.093292699999</v>
      </c>
      <c r="BL9" s="33">
        <f t="shared" si="21"/>
        <v>19657.0232927</v>
      </c>
      <c r="BM9" s="20">
        <f>BK$6*'2008A'!$F9</f>
        <v>184.582359</v>
      </c>
      <c r="BO9" s="33">
        <f aca="true" t="shared" si="52" ref="BO9:BO35">C9*0.26553/100</f>
        <v>9824.61</v>
      </c>
      <c r="BP9" s="33">
        <f t="shared" si="22"/>
        <v>4401.8049879</v>
      </c>
      <c r="BQ9" s="33">
        <f t="shared" si="23"/>
        <v>14226.4149879</v>
      </c>
      <c r="BR9" s="20">
        <f>BP$6*'2008A'!$F9</f>
        <v>133.588143</v>
      </c>
      <c r="BT9" s="33">
        <f aca="true" t="shared" si="53" ref="BT9:BT35">C9*0.38219/100</f>
        <v>14141.03</v>
      </c>
      <c r="BU9" s="33">
        <f t="shared" si="24"/>
        <v>6335.727971699999</v>
      </c>
      <c r="BV9" s="33">
        <f t="shared" si="25"/>
        <v>20476.7579717</v>
      </c>
      <c r="BW9" s="20">
        <f>BU$6*'2008A'!$F9</f>
        <v>192.279789</v>
      </c>
      <c r="BY9" s="33">
        <f aca="true" t="shared" si="54" ref="BY9:BY35">C9*0.07861/100</f>
        <v>2908.57</v>
      </c>
      <c r="BZ9" s="33">
        <f t="shared" si="26"/>
        <v>1303.1517723</v>
      </c>
      <c r="CA9" s="33">
        <f t="shared" si="27"/>
        <v>4211.7217723</v>
      </c>
      <c r="CB9" s="20">
        <f>BZ$6*'2008A'!$F9</f>
        <v>39.548691</v>
      </c>
      <c r="CD9" s="33">
        <f aca="true" t="shared" si="55" ref="CD9:CD35">C9*0.29823/100</f>
        <v>11034.51</v>
      </c>
      <c r="CE9" s="33">
        <f t="shared" si="28"/>
        <v>4943.8869489</v>
      </c>
      <c r="CF9" s="33">
        <f t="shared" si="29"/>
        <v>15978.396948900001</v>
      </c>
      <c r="CG9" s="20">
        <f>CE$6*'2008A'!$F9</f>
        <v>150.039513</v>
      </c>
      <c r="CI9" s="33">
        <f aca="true" t="shared" si="56" ref="CI9:CI35">C9*0.07439/100</f>
        <v>2752.43</v>
      </c>
      <c r="CJ9" s="33">
        <f t="shared" si="30"/>
        <v>1233.1950177</v>
      </c>
      <c r="CK9" s="33">
        <f t="shared" si="31"/>
        <v>3985.6250177</v>
      </c>
      <c r="CL9" s="20">
        <f>CJ$6*'2008A'!$F9</f>
        <v>37.425609</v>
      </c>
      <c r="CN9" s="33">
        <f aca="true" t="shared" si="57" ref="CN9:CN35">C9*0.29891/100</f>
        <v>11059.67</v>
      </c>
      <c r="CO9" s="33">
        <f t="shared" si="32"/>
        <v>4955.1596013</v>
      </c>
      <c r="CP9" s="33">
        <f t="shared" si="33"/>
        <v>16014.8296013</v>
      </c>
      <c r="CQ9" s="20">
        <f>CO$6*'2008A'!$F9</f>
        <v>150.381621</v>
      </c>
      <c r="CS9" s="33">
        <f aca="true" t="shared" si="58" ref="CS9:CS35">C9*1.67293/100</f>
        <v>61898.41</v>
      </c>
      <c r="CT9" s="33">
        <f t="shared" si="34"/>
        <v>27732.879969899997</v>
      </c>
      <c r="CU9" s="33">
        <f t="shared" si="35"/>
        <v>89631.2899699</v>
      </c>
      <c r="CV9" s="20">
        <f>CT$6*'2008A'!$F9</f>
        <v>841.651083</v>
      </c>
      <c r="CX9" s="33">
        <f aca="true" t="shared" si="59" ref="CX9:CX35">C9*0.00486/100</f>
        <v>179.82</v>
      </c>
      <c r="CY9" s="33">
        <f t="shared" si="36"/>
        <v>80.5663098</v>
      </c>
      <c r="CZ9" s="33">
        <f t="shared" si="37"/>
        <v>260.3863098</v>
      </c>
      <c r="DA9" s="20">
        <f>CY$6*'2008A'!$F9</f>
        <v>2.445066</v>
      </c>
      <c r="DC9" s="33">
        <f aca="true" t="shared" si="60" ref="DC9:DC35">C9*0.31897/100</f>
        <v>11801.89</v>
      </c>
      <c r="DD9" s="33">
        <f t="shared" si="38"/>
        <v>5287.702847099999</v>
      </c>
      <c r="DE9" s="33">
        <f t="shared" si="39"/>
        <v>17089.5928471</v>
      </c>
      <c r="DF9" s="20">
        <f>DD$6*'2008A'!$F9</f>
        <v>160.47380700000002</v>
      </c>
      <c r="DH9" s="33">
        <f aca="true" t="shared" si="61" ref="DH9:DH35">C9*0.28003/100</f>
        <v>10361.11</v>
      </c>
      <c r="DI9" s="33">
        <f t="shared" si="40"/>
        <v>4642.1777229</v>
      </c>
      <c r="DJ9" s="33">
        <f t="shared" si="41"/>
        <v>15003.2877229</v>
      </c>
      <c r="DK9" s="20">
        <f>DI$6*'2008A'!$F9</f>
        <v>140.883093</v>
      </c>
    </row>
    <row r="10" spans="1:115" ht="12">
      <c r="A10" s="19">
        <v>42278</v>
      </c>
      <c r="D10" s="35">
        <v>513025</v>
      </c>
      <c r="E10" s="35">
        <f t="shared" si="0"/>
        <v>513025</v>
      </c>
      <c r="G10" s="71"/>
      <c r="H10" s="51">
        <f t="shared" si="1"/>
        <v>51978.97476499999</v>
      </c>
      <c r="I10" s="51">
        <f t="shared" si="2"/>
        <v>51978.97476499999</v>
      </c>
      <c r="J10" s="51">
        <f t="shared" si="3"/>
        <v>5097.237447400002</v>
      </c>
      <c r="M10" s="33">
        <f t="shared" si="4"/>
        <v>5194.378125</v>
      </c>
      <c r="N10" s="33">
        <f t="shared" si="5"/>
        <v>5194.378125</v>
      </c>
      <c r="O10" s="20">
        <f>M$6*'2008A'!$F10</f>
        <v>509.378625</v>
      </c>
      <c r="P10" s="20"/>
      <c r="Q10" s="20">
        <f aca="true" t="shared" si="62" ref="Q10:Q35">$R$6*C10</f>
        <v>0</v>
      </c>
      <c r="R10" s="20">
        <f aca="true" t="shared" si="63" ref="R10:R35">$R$6*D10</f>
        <v>668.2408046044866</v>
      </c>
      <c r="S10" s="20">
        <f aca="true" t="shared" si="64" ref="S10:S35">SUM(Q10:R10)</f>
        <v>668.2408046044866</v>
      </c>
      <c r="T10" s="20">
        <f>$R$6*'2008A'!F10</f>
        <v>65.52999685950415</v>
      </c>
      <c r="W10" s="51">
        <f t="shared" si="6"/>
        <v>12191.731310000001</v>
      </c>
      <c r="X10" s="51">
        <f t="shared" si="7"/>
        <v>12191.731310000001</v>
      </c>
      <c r="Y10" s="20">
        <f>W$6*'2008A'!$F10</f>
        <v>1195.5631996</v>
      </c>
      <c r="AB10" s="33">
        <f t="shared" si="8"/>
        <v>352.75599</v>
      </c>
      <c r="AC10" s="33">
        <f t="shared" si="9"/>
        <v>352.75599</v>
      </c>
      <c r="AD10" s="20">
        <f>AB$6*'2008A'!$F10</f>
        <v>34.5924684</v>
      </c>
      <c r="AG10" s="33">
        <f t="shared" si="10"/>
        <v>257.33334</v>
      </c>
      <c r="AH10" s="33">
        <f t="shared" si="11"/>
        <v>257.33334</v>
      </c>
      <c r="AI10" s="20">
        <f>AG$6*'2008A'!$F10</f>
        <v>25.2349944</v>
      </c>
      <c r="AL10" s="33">
        <f t="shared" si="12"/>
        <v>3591.175</v>
      </c>
      <c r="AM10" s="33">
        <f t="shared" si="13"/>
        <v>3591.175</v>
      </c>
      <c r="AN10" s="20">
        <f>AL$6*'2008A'!$F10</f>
        <v>352.163</v>
      </c>
      <c r="AQ10" s="33">
        <f t="shared" si="14"/>
        <v>2656.2895424999997</v>
      </c>
      <c r="AR10" s="33">
        <f t="shared" si="15"/>
        <v>2656.2895424999997</v>
      </c>
      <c r="AS10" s="20">
        <f>AQ$6*'2008A'!$F10</f>
        <v>260.4849093</v>
      </c>
      <c r="AT10" s="20"/>
      <c r="AU10" s="20">
        <f aca="true" t="shared" si="65" ref="AU10:AU35">$AV$6*C10</f>
        <v>0</v>
      </c>
      <c r="AV10" s="20">
        <f aca="true" t="shared" si="66" ref="AV10:AV35">$AV$6*D10</f>
        <v>922.0853928955135</v>
      </c>
      <c r="AW10" s="20">
        <f aca="true" t="shared" si="67" ref="AW10:AW35">SUM(AU10:AV10)</f>
        <v>922.0853928955135</v>
      </c>
      <c r="AX10" s="20">
        <f>$AV$6*'2008A'!F10</f>
        <v>90.42287224049585</v>
      </c>
      <c r="AZ10" s="51"/>
      <c r="BA10" s="51">
        <f t="shared" si="16"/>
        <v>1404.9702650000002</v>
      </c>
      <c r="BB10" s="33">
        <f t="shared" si="17"/>
        <v>1404.9702650000002</v>
      </c>
      <c r="BC10" s="20">
        <f>BA$6*'2008A'!$F10</f>
        <v>137.77622739999998</v>
      </c>
      <c r="BE10" s="51"/>
      <c r="BF10" s="51">
        <f t="shared" si="18"/>
        <v>4005.90441</v>
      </c>
      <c r="BG10" s="33">
        <f t="shared" si="19"/>
        <v>4005.90441</v>
      </c>
      <c r="BH10" s="20">
        <f>BF$6*'2008A'!$F10</f>
        <v>392.8327956</v>
      </c>
      <c r="BK10" s="33">
        <f t="shared" si="20"/>
        <v>1882.2374225</v>
      </c>
      <c r="BL10" s="33">
        <f t="shared" si="21"/>
        <v>1882.2374225</v>
      </c>
      <c r="BM10" s="20">
        <f>BK$6*'2008A'!$F10</f>
        <v>184.57869010000002</v>
      </c>
      <c r="BP10" s="33">
        <f t="shared" si="22"/>
        <v>1362.2352825</v>
      </c>
      <c r="BQ10" s="33">
        <f t="shared" si="23"/>
        <v>1362.2352825</v>
      </c>
      <c r="BR10" s="20">
        <f>BP$6*'2008A'!$F10</f>
        <v>133.58548770000002</v>
      </c>
      <c r="BU10" s="33">
        <f t="shared" si="24"/>
        <v>1960.7302475</v>
      </c>
      <c r="BV10" s="33">
        <f t="shared" si="25"/>
        <v>1960.7302475</v>
      </c>
      <c r="BW10" s="20">
        <f>BU$6*'2008A'!$F10</f>
        <v>192.2759671</v>
      </c>
      <c r="BZ10" s="33">
        <f t="shared" si="26"/>
        <v>403.2889525</v>
      </c>
      <c r="CA10" s="33">
        <f t="shared" si="27"/>
        <v>403.2889525</v>
      </c>
      <c r="CB10" s="20">
        <f>BZ$6*'2008A'!$F10</f>
        <v>39.5479049</v>
      </c>
      <c r="CE10" s="33">
        <f t="shared" si="28"/>
        <v>1529.9944575</v>
      </c>
      <c r="CF10" s="33">
        <f t="shared" si="29"/>
        <v>1529.9944575</v>
      </c>
      <c r="CG10" s="20">
        <f>CE$6*'2008A'!$F10</f>
        <v>150.0365307</v>
      </c>
      <c r="CJ10" s="33">
        <f t="shared" si="30"/>
        <v>381.63929749999994</v>
      </c>
      <c r="CK10" s="33">
        <f t="shared" si="31"/>
        <v>381.63929749999994</v>
      </c>
      <c r="CL10" s="20">
        <f>CJ$6*'2008A'!$F10</f>
        <v>37.4248651</v>
      </c>
      <c r="CO10" s="33">
        <f t="shared" si="32"/>
        <v>1533.4830275</v>
      </c>
      <c r="CP10" s="33">
        <f t="shared" si="33"/>
        <v>1533.4830275</v>
      </c>
      <c r="CQ10" s="20">
        <f>CO$6*'2008A'!$F10</f>
        <v>150.37863190000002</v>
      </c>
      <c r="CT10" s="33">
        <f t="shared" si="34"/>
        <v>8582.5491325</v>
      </c>
      <c r="CU10" s="33">
        <f t="shared" si="35"/>
        <v>8582.5491325</v>
      </c>
      <c r="CV10" s="20">
        <f>CT$6*'2008A'!$F10</f>
        <v>841.6343536999999</v>
      </c>
      <c r="CY10" s="33">
        <f t="shared" si="36"/>
        <v>24.933015</v>
      </c>
      <c r="CZ10" s="33">
        <f t="shared" si="37"/>
        <v>24.933015</v>
      </c>
      <c r="DA10" s="20">
        <f>CY$6*'2008A'!$F10</f>
        <v>2.4450174000000002</v>
      </c>
      <c r="DD10" s="33">
        <f t="shared" si="38"/>
        <v>1636.3958424999998</v>
      </c>
      <c r="DE10" s="33">
        <f t="shared" si="39"/>
        <v>1636.3958424999998</v>
      </c>
      <c r="DF10" s="20">
        <f>DD$6*'2008A'!$F10</f>
        <v>160.47061730000001</v>
      </c>
      <c r="DI10" s="33">
        <f t="shared" si="40"/>
        <v>1436.6239074999999</v>
      </c>
      <c r="DJ10" s="33">
        <f t="shared" si="41"/>
        <v>1436.6239074999999</v>
      </c>
      <c r="DK10" s="20">
        <f>DI$6*'2008A'!$F10</f>
        <v>140.88029269999998</v>
      </c>
    </row>
    <row r="11" spans="1:115" ht="12">
      <c r="A11" s="19">
        <v>42461</v>
      </c>
      <c r="C11" s="35">
        <v>3885000</v>
      </c>
      <c r="D11" s="35">
        <v>513025</v>
      </c>
      <c r="E11" s="35">
        <f t="shared" si="0"/>
        <v>4398025</v>
      </c>
      <c r="G11" s="71">
        <f t="shared" si="42"/>
        <v>393622.761</v>
      </c>
      <c r="H11" s="51">
        <f t="shared" si="1"/>
        <v>51978.97476499999</v>
      </c>
      <c r="I11" s="51">
        <f t="shared" si="2"/>
        <v>445601.735765</v>
      </c>
      <c r="J11" s="51">
        <f t="shared" si="3"/>
        <v>5097.237447400002</v>
      </c>
      <c r="L11" s="33">
        <f t="shared" si="43"/>
        <v>39335.625</v>
      </c>
      <c r="M11" s="33">
        <f t="shared" si="4"/>
        <v>5194.378125</v>
      </c>
      <c r="N11" s="33">
        <f t="shared" si="5"/>
        <v>44530.003125</v>
      </c>
      <c r="O11" s="20">
        <f>M$6*'2008A'!$F11</f>
        <v>509.378625</v>
      </c>
      <c r="P11" s="20"/>
      <c r="Q11" s="20">
        <f t="shared" si="62"/>
        <v>5060.40743801653</v>
      </c>
      <c r="R11" s="20">
        <f t="shared" si="63"/>
        <v>668.2408046044866</v>
      </c>
      <c r="S11" s="20">
        <f t="shared" si="64"/>
        <v>5728.648242621017</v>
      </c>
      <c r="T11" s="20">
        <f>$R$6*'2008A'!F11</f>
        <v>65.52999685950415</v>
      </c>
      <c r="V11" s="33">
        <f t="shared" si="44"/>
        <v>92324.694</v>
      </c>
      <c r="W11" s="51">
        <f t="shared" si="6"/>
        <v>12191.731310000001</v>
      </c>
      <c r="X11" s="51">
        <f t="shared" si="7"/>
        <v>104516.42531</v>
      </c>
      <c r="Y11" s="20">
        <f>W$6*'2008A'!$F11</f>
        <v>1195.5631996</v>
      </c>
      <c r="AA11" s="33">
        <f t="shared" si="45"/>
        <v>2671.3260000000005</v>
      </c>
      <c r="AB11" s="33">
        <f t="shared" si="8"/>
        <v>352.75599</v>
      </c>
      <c r="AC11" s="33">
        <f t="shared" si="9"/>
        <v>3024.0819900000006</v>
      </c>
      <c r="AD11" s="20">
        <f>AB$6*'2008A'!$F11</f>
        <v>34.5924684</v>
      </c>
      <c r="AF11" s="33">
        <f t="shared" si="46"/>
        <v>1948.7160000000001</v>
      </c>
      <c r="AG11" s="33">
        <f t="shared" si="10"/>
        <v>257.33334</v>
      </c>
      <c r="AH11" s="33">
        <f t="shared" si="11"/>
        <v>2206.04934</v>
      </c>
      <c r="AI11" s="20">
        <f>AG$6*'2008A'!$F11</f>
        <v>25.2349944</v>
      </c>
      <c r="AK11" s="33">
        <f t="shared" si="47"/>
        <v>27195</v>
      </c>
      <c r="AL11" s="33">
        <f t="shared" si="12"/>
        <v>3591.175</v>
      </c>
      <c r="AM11" s="33">
        <f t="shared" si="13"/>
        <v>30786.175</v>
      </c>
      <c r="AN11" s="20">
        <f>AL$6*'2008A'!$F11</f>
        <v>352.163</v>
      </c>
      <c r="AP11" s="33">
        <f t="shared" si="48"/>
        <v>20115.364499999996</v>
      </c>
      <c r="AQ11" s="33">
        <f t="shared" si="14"/>
        <v>2656.2895424999997</v>
      </c>
      <c r="AR11" s="33">
        <f t="shared" si="15"/>
        <v>22771.654042499995</v>
      </c>
      <c r="AS11" s="20">
        <f>AQ$6*'2008A'!$F11</f>
        <v>260.4849093</v>
      </c>
      <c r="AT11" s="20"/>
      <c r="AU11" s="20">
        <f t="shared" si="65"/>
        <v>6982.70406198347</v>
      </c>
      <c r="AV11" s="20">
        <f t="shared" si="66"/>
        <v>922.0853928955135</v>
      </c>
      <c r="AW11" s="20">
        <f t="shared" si="67"/>
        <v>7904.789454878983</v>
      </c>
      <c r="AX11" s="20">
        <f>$AV$6*'2008A'!F11</f>
        <v>90.42287224049585</v>
      </c>
      <c r="AZ11" s="51">
        <f t="shared" si="49"/>
        <v>10639.461</v>
      </c>
      <c r="BA11" s="51">
        <f t="shared" si="16"/>
        <v>1404.9702650000002</v>
      </c>
      <c r="BB11" s="33">
        <f t="shared" si="17"/>
        <v>12044.431265</v>
      </c>
      <c r="BC11" s="20">
        <f>BA$6*'2008A'!$F11</f>
        <v>137.77622739999998</v>
      </c>
      <c r="BE11" s="51">
        <f t="shared" si="50"/>
        <v>30335.634</v>
      </c>
      <c r="BF11" s="51">
        <f t="shared" si="18"/>
        <v>4005.90441</v>
      </c>
      <c r="BG11" s="33">
        <f t="shared" si="19"/>
        <v>34341.53841</v>
      </c>
      <c r="BH11" s="20">
        <f>BF$6*'2008A'!$F11</f>
        <v>392.8327956</v>
      </c>
      <c r="BJ11" s="33">
        <f t="shared" si="51"/>
        <v>14253.6765</v>
      </c>
      <c r="BK11" s="33">
        <f t="shared" si="20"/>
        <v>1882.2374225</v>
      </c>
      <c r="BL11" s="33">
        <f t="shared" si="21"/>
        <v>16135.9139225</v>
      </c>
      <c r="BM11" s="20">
        <f>BK$6*'2008A'!$F11</f>
        <v>184.57869010000002</v>
      </c>
      <c r="BO11" s="33">
        <f t="shared" si="52"/>
        <v>10315.840499999998</v>
      </c>
      <c r="BP11" s="33">
        <f t="shared" si="22"/>
        <v>1362.2352825</v>
      </c>
      <c r="BQ11" s="33">
        <f t="shared" si="23"/>
        <v>11678.075782499998</v>
      </c>
      <c r="BR11" s="20">
        <f>BP$6*'2008A'!$F11</f>
        <v>133.58548770000002</v>
      </c>
      <c r="BT11" s="33">
        <f t="shared" si="53"/>
        <v>14848.081499999998</v>
      </c>
      <c r="BU11" s="33">
        <f t="shared" si="24"/>
        <v>1960.7302475</v>
      </c>
      <c r="BV11" s="33">
        <f t="shared" si="25"/>
        <v>16808.8117475</v>
      </c>
      <c r="BW11" s="20">
        <f>BU$6*'2008A'!$F11</f>
        <v>192.2759671</v>
      </c>
      <c r="BY11" s="33">
        <f t="shared" si="54"/>
        <v>3053.9984999999997</v>
      </c>
      <c r="BZ11" s="33">
        <f t="shared" si="26"/>
        <v>403.2889525</v>
      </c>
      <c r="CA11" s="33">
        <f t="shared" si="27"/>
        <v>3457.2874524999997</v>
      </c>
      <c r="CB11" s="20">
        <f>BZ$6*'2008A'!$F11</f>
        <v>39.5479049</v>
      </c>
      <c r="CD11" s="33">
        <f t="shared" si="55"/>
        <v>11586.2355</v>
      </c>
      <c r="CE11" s="33">
        <f t="shared" si="28"/>
        <v>1529.9944575</v>
      </c>
      <c r="CF11" s="33">
        <f t="shared" si="29"/>
        <v>13116.2299575</v>
      </c>
      <c r="CG11" s="20">
        <f>CE$6*'2008A'!$F11</f>
        <v>150.0365307</v>
      </c>
      <c r="CI11" s="33">
        <f t="shared" si="56"/>
        <v>2890.0514999999996</v>
      </c>
      <c r="CJ11" s="33">
        <f t="shared" si="30"/>
        <v>381.63929749999994</v>
      </c>
      <c r="CK11" s="33">
        <f t="shared" si="31"/>
        <v>3271.6907974999995</v>
      </c>
      <c r="CL11" s="20">
        <f>CJ$6*'2008A'!$F11</f>
        <v>37.4248651</v>
      </c>
      <c r="CN11" s="33">
        <f t="shared" si="57"/>
        <v>11612.6535</v>
      </c>
      <c r="CO11" s="33">
        <f t="shared" si="32"/>
        <v>1533.4830275</v>
      </c>
      <c r="CP11" s="33">
        <f t="shared" si="33"/>
        <v>13146.1365275</v>
      </c>
      <c r="CQ11" s="20">
        <f>CO$6*'2008A'!$F11</f>
        <v>150.37863190000002</v>
      </c>
      <c r="CS11" s="33">
        <f t="shared" si="58"/>
        <v>64993.3305</v>
      </c>
      <c r="CT11" s="33">
        <f t="shared" si="34"/>
        <v>8582.5491325</v>
      </c>
      <c r="CU11" s="33">
        <f t="shared" si="35"/>
        <v>73575.8796325</v>
      </c>
      <c r="CV11" s="20">
        <f>CT$6*'2008A'!$F11</f>
        <v>841.6343536999999</v>
      </c>
      <c r="CX11" s="33">
        <f t="shared" si="59"/>
        <v>188.81099999999998</v>
      </c>
      <c r="CY11" s="33">
        <f t="shared" si="36"/>
        <v>24.933015</v>
      </c>
      <c r="CZ11" s="33">
        <f t="shared" si="37"/>
        <v>213.744015</v>
      </c>
      <c r="DA11" s="20">
        <f>CY$6*'2008A'!$F11</f>
        <v>2.4450174000000002</v>
      </c>
      <c r="DC11" s="33">
        <f t="shared" si="60"/>
        <v>12391.984499999999</v>
      </c>
      <c r="DD11" s="33">
        <f t="shared" si="38"/>
        <v>1636.3958424999998</v>
      </c>
      <c r="DE11" s="33">
        <f t="shared" si="39"/>
        <v>14028.380342499999</v>
      </c>
      <c r="DF11" s="20">
        <f>DD$6*'2008A'!$F11</f>
        <v>160.47061730000001</v>
      </c>
      <c r="DH11" s="33">
        <f t="shared" si="61"/>
        <v>10879.165500000001</v>
      </c>
      <c r="DI11" s="33">
        <f t="shared" si="40"/>
        <v>1436.6239074999999</v>
      </c>
      <c r="DJ11" s="33">
        <f t="shared" si="41"/>
        <v>12315.7894075</v>
      </c>
      <c r="DK11" s="20">
        <f>DI$6*'2008A'!$F11</f>
        <v>140.88029269999998</v>
      </c>
    </row>
    <row r="12" spans="1:115" ht="12">
      <c r="A12" s="19">
        <v>42644</v>
      </c>
      <c r="D12" s="35">
        <v>415900</v>
      </c>
      <c r="E12" s="35">
        <f t="shared" si="0"/>
        <v>415900</v>
      </c>
      <c r="G12" s="71"/>
      <c r="H12" s="51">
        <f t="shared" si="1"/>
        <v>42138.40574</v>
      </c>
      <c r="I12" s="51">
        <f t="shared" si="2"/>
        <v>42138.40574</v>
      </c>
      <c r="J12" s="51">
        <f t="shared" si="3"/>
        <v>5097.237447400002</v>
      </c>
      <c r="M12" s="33">
        <f t="shared" si="4"/>
        <v>4210.9875</v>
      </c>
      <c r="N12" s="33">
        <f t="shared" si="5"/>
        <v>4210.9875</v>
      </c>
      <c r="O12" s="20">
        <f>M$6*'2008A'!$F12</f>
        <v>509.378625</v>
      </c>
      <c r="P12" s="20"/>
      <c r="Q12" s="20">
        <f t="shared" si="62"/>
        <v>0</v>
      </c>
      <c r="R12" s="20">
        <f t="shared" si="63"/>
        <v>541.7306186540733</v>
      </c>
      <c r="S12" s="20">
        <f t="shared" si="64"/>
        <v>541.7306186540733</v>
      </c>
      <c r="T12" s="20">
        <f>$R$6*'2008A'!F12</f>
        <v>65.52999685950415</v>
      </c>
      <c r="W12" s="51">
        <f t="shared" si="6"/>
        <v>9883.61396</v>
      </c>
      <c r="X12" s="51">
        <f t="shared" si="7"/>
        <v>9883.61396</v>
      </c>
      <c r="Y12" s="20">
        <f>W$6*'2008A'!$F12</f>
        <v>1195.5631996</v>
      </c>
      <c r="AB12" s="33">
        <f t="shared" si="8"/>
        <v>285.97284</v>
      </c>
      <c r="AC12" s="33">
        <f t="shared" si="9"/>
        <v>285.97284</v>
      </c>
      <c r="AD12" s="20">
        <f>AB$6*'2008A'!$F12</f>
        <v>34.5924684</v>
      </c>
      <c r="AG12" s="33">
        <f t="shared" si="10"/>
        <v>208.61544</v>
      </c>
      <c r="AH12" s="33">
        <f t="shared" si="11"/>
        <v>208.61544</v>
      </c>
      <c r="AI12" s="20">
        <f>AG$6*'2008A'!$F12</f>
        <v>25.2349944</v>
      </c>
      <c r="AL12" s="33">
        <f t="shared" si="12"/>
        <v>2911.3</v>
      </c>
      <c r="AM12" s="33">
        <f t="shared" si="13"/>
        <v>2911.3</v>
      </c>
      <c r="AN12" s="20">
        <f>AL$6*'2008A'!$F12</f>
        <v>352.163</v>
      </c>
      <c r="AQ12" s="33">
        <f t="shared" si="14"/>
        <v>2153.40543</v>
      </c>
      <c r="AR12" s="33">
        <f t="shared" si="15"/>
        <v>2153.40543</v>
      </c>
      <c r="AS12" s="20">
        <f>AQ$6*'2008A'!$F12</f>
        <v>260.4849093</v>
      </c>
      <c r="AT12" s="20"/>
      <c r="AU12" s="20">
        <f t="shared" si="65"/>
        <v>0</v>
      </c>
      <c r="AV12" s="20">
        <f t="shared" si="66"/>
        <v>747.5177913459266</v>
      </c>
      <c r="AW12" s="20">
        <f t="shared" si="67"/>
        <v>747.5177913459266</v>
      </c>
      <c r="AX12" s="20">
        <f>$AV$6*'2008A'!F12</f>
        <v>90.42287224049585</v>
      </c>
      <c r="AZ12" s="51"/>
      <c r="BA12" s="51">
        <f t="shared" si="16"/>
        <v>1138.98374</v>
      </c>
      <c r="BB12" s="33">
        <f t="shared" si="17"/>
        <v>1138.98374</v>
      </c>
      <c r="BC12" s="20">
        <f>BA$6*'2008A'!$F12</f>
        <v>137.77622739999998</v>
      </c>
      <c r="BE12" s="51"/>
      <c r="BF12" s="51">
        <f t="shared" si="18"/>
        <v>3247.51356</v>
      </c>
      <c r="BG12" s="33">
        <f t="shared" si="19"/>
        <v>3247.51356</v>
      </c>
      <c r="BH12" s="20">
        <f>BF$6*'2008A'!$F12</f>
        <v>392.8327956</v>
      </c>
      <c r="BK12" s="33">
        <f t="shared" si="20"/>
        <v>1525.89551</v>
      </c>
      <c r="BL12" s="33">
        <f t="shared" si="21"/>
        <v>1525.89551</v>
      </c>
      <c r="BM12" s="20">
        <f>BK$6*'2008A'!$F12</f>
        <v>184.57869010000002</v>
      </c>
      <c r="BP12" s="33">
        <f t="shared" si="22"/>
        <v>1104.33927</v>
      </c>
      <c r="BQ12" s="33">
        <f t="shared" si="23"/>
        <v>1104.33927</v>
      </c>
      <c r="BR12" s="20">
        <f>BP$6*'2008A'!$F12</f>
        <v>133.58548770000002</v>
      </c>
      <c r="BU12" s="33">
        <f t="shared" si="24"/>
        <v>1589.52821</v>
      </c>
      <c r="BV12" s="33">
        <f t="shared" si="25"/>
        <v>1589.52821</v>
      </c>
      <c r="BW12" s="20">
        <f>BU$6*'2008A'!$F12</f>
        <v>192.2759671</v>
      </c>
      <c r="BZ12" s="33">
        <f t="shared" si="26"/>
        <v>326.93899</v>
      </c>
      <c r="CA12" s="33">
        <f t="shared" si="27"/>
        <v>326.93899</v>
      </c>
      <c r="CB12" s="20">
        <f>BZ$6*'2008A'!$F12</f>
        <v>39.5479049</v>
      </c>
      <c r="CE12" s="33">
        <f t="shared" si="28"/>
        <v>1240.3385700000001</v>
      </c>
      <c r="CF12" s="33">
        <f t="shared" si="29"/>
        <v>1240.3385700000001</v>
      </c>
      <c r="CG12" s="20">
        <f>CE$6*'2008A'!$F12</f>
        <v>150.0365307</v>
      </c>
      <c r="CJ12" s="33">
        <f t="shared" si="30"/>
        <v>309.38801</v>
      </c>
      <c r="CK12" s="33">
        <f t="shared" si="31"/>
        <v>309.38801</v>
      </c>
      <c r="CL12" s="20">
        <f>CJ$6*'2008A'!$F12</f>
        <v>37.4248651</v>
      </c>
      <c r="CO12" s="33">
        <f t="shared" si="32"/>
        <v>1243.16669</v>
      </c>
      <c r="CP12" s="33">
        <f t="shared" si="33"/>
        <v>1243.16669</v>
      </c>
      <c r="CQ12" s="20">
        <f>CO$6*'2008A'!$F12</f>
        <v>150.37863190000002</v>
      </c>
      <c r="CT12" s="33">
        <f t="shared" si="34"/>
        <v>6957.715870000001</v>
      </c>
      <c r="CU12" s="33">
        <f t="shared" si="35"/>
        <v>6957.715870000001</v>
      </c>
      <c r="CV12" s="20">
        <f>CT$6*'2008A'!$F12</f>
        <v>841.6343536999999</v>
      </c>
      <c r="CY12" s="33">
        <f t="shared" si="36"/>
        <v>20.21274</v>
      </c>
      <c r="CZ12" s="33">
        <f t="shared" si="37"/>
        <v>20.21274</v>
      </c>
      <c r="DA12" s="20">
        <f>CY$6*'2008A'!$F12</f>
        <v>2.4450174000000002</v>
      </c>
      <c r="DD12" s="33">
        <f t="shared" si="38"/>
        <v>1326.5962299999999</v>
      </c>
      <c r="DE12" s="33">
        <f t="shared" si="39"/>
        <v>1326.5962299999999</v>
      </c>
      <c r="DF12" s="20">
        <f>DD$6*'2008A'!$F12</f>
        <v>160.47061730000001</v>
      </c>
      <c r="DI12" s="33">
        <f t="shared" si="40"/>
        <v>1164.6447699999999</v>
      </c>
      <c r="DJ12" s="33">
        <f t="shared" si="41"/>
        <v>1164.6447699999999</v>
      </c>
      <c r="DK12" s="20">
        <f>DI$6*'2008A'!$F12</f>
        <v>140.88029269999998</v>
      </c>
    </row>
    <row r="13" spans="1:115" ht="12">
      <c r="A13" s="19">
        <v>42826</v>
      </c>
      <c r="C13" s="35">
        <v>4080000</v>
      </c>
      <c r="D13" s="35">
        <v>415900</v>
      </c>
      <c r="E13" s="35">
        <f t="shared" si="0"/>
        <v>4495900</v>
      </c>
      <c r="G13" s="71">
        <f t="shared" si="42"/>
        <v>413379.88800000004</v>
      </c>
      <c r="H13" s="51">
        <f t="shared" si="1"/>
        <v>42138.40574</v>
      </c>
      <c r="I13" s="51">
        <f t="shared" si="2"/>
        <v>455518.29374000005</v>
      </c>
      <c r="J13" s="51">
        <f t="shared" si="3"/>
        <v>5097.237447400002</v>
      </c>
      <c r="L13" s="33">
        <f t="shared" si="43"/>
        <v>41310</v>
      </c>
      <c r="M13" s="33">
        <f t="shared" si="4"/>
        <v>4210.9875</v>
      </c>
      <c r="N13" s="33">
        <f t="shared" si="5"/>
        <v>45520.9875</v>
      </c>
      <c r="O13" s="20">
        <f>M$6*'2008A'!$F13</f>
        <v>509.378625</v>
      </c>
      <c r="P13" s="20"/>
      <c r="Q13" s="20">
        <f t="shared" si="62"/>
        <v>5314.404722550178</v>
      </c>
      <c r="R13" s="20">
        <f t="shared" si="63"/>
        <v>541.7306186540733</v>
      </c>
      <c r="S13" s="20">
        <f t="shared" si="64"/>
        <v>5856.135341204252</v>
      </c>
      <c r="T13" s="20">
        <f>$R$6*'2008A'!F13</f>
        <v>65.52999685950415</v>
      </c>
      <c r="V13" s="33">
        <f t="shared" si="44"/>
        <v>96958.75200000001</v>
      </c>
      <c r="W13" s="51">
        <f t="shared" si="6"/>
        <v>9883.61396</v>
      </c>
      <c r="X13" s="51">
        <f t="shared" si="7"/>
        <v>106842.36596000001</v>
      </c>
      <c r="Y13" s="20">
        <f>W$6*'2008A'!$F13</f>
        <v>1195.5631996</v>
      </c>
      <c r="AA13" s="33">
        <f t="shared" si="45"/>
        <v>2805.408</v>
      </c>
      <c r="AB13" s="33">
        <f t="shared" si="8"/>
        <v>285.97284</v>
      </c>
      <c r="AC13" s="33">
        <f t="shared" si="9"/>
        <v>3091.38084</v>
      </c>
      <c r="AD13" s="20">
        <f>AB$6*'2008A'!$F13</f>
        <v>34.5924684</v>
      </c>
      <c r="AF13" s="33">
        <f t="shared" si="46"/>
        <v>2046.5280000000002</v>
      </c>
      <c r="AG13" s="33">
        <f t="shared" si="10"/>
        <v>208.61544</v>
      </c>
      <c r="AH13" s="33">
        <f t="shared" si="11"/>
        <v>2255.1434400000003</v>
      </c>
      <c r="AI13" s="20">
        <f>AG$6*'2008A'!$F13</f>
        <v>25.2349944</v>
      </c>
      <c r="AK13" s="33">
        <f t="shared" si="47"/>
        <v>28560</v>
      </c>
      <c r="AL13" s="33">
        <f t="shared" si="12"/>
        <v>2911.3</v>
      </c>
      <c r="AM13" s="33">
        <f t="shared" si="13"/>
        <v>31471.3</v>
      </c>
      <c r="AN13" s="20">
        <f>AL$6*'2008A'!$F13</f>
        <v>352.163</v>
      </c>
      <c r="AP13" s="33">
        <f t="shared" si="48"/>
        <v>21125.015999999996</v>
      </c>
      <c r="AQ13" s="33">
        <f t="shared" si="14"/>
        <v>2153.40543</v>
      </c>
      <c r="AR13" s="33">
        <f t="shared" si="15"/>
        <v>23278.421429999995</v>
      </c>
      <c r="AS13" s="20">
        <f>AQ$6*'2008A'!$F13</f>
        <v>260.4849093</v>
      </c>
      <c r="AT13" s="20"/>
      <c r="AU13" s="20">
        <f t="shared" si="65"/>
        <v>7333.1872774498215</v>
      </c>
      <c r="AV13" s="20">
        <f t="shared" si="66"/>
        <v>747.5177913459266</v>
      </c>
      <c r="AW13" s="20">
        <f t="shared" si="67"/>
        <v>8080.705068795748</v>
      </c>
      <c r="AX13" s="20">
        <f>$AV$6*'2008A'!F13</f>
        <v>90.42287224049585</v>
      </c>
      <c r="AZ13" s="51">
        <f t="shared" si="49"/>
        <v>11173.488000000001</v>
      </c>
      <c r="BA13" s="51">
        <f t="shared" si="16"/>
        <v>1138.98374</v>
      </c>
      <c r="BB13" s="33">
        <f t="shared" si="17"/>
        <v>12312.47174</v>
      </c>
      <c r="BC13" s="20">
        <f>BA$6*'2008A'!$F13</f>
        <v>137.77622739999998</v>
      </c>
      <c r="BE13" s="51">
        <f t="shared" si="50"/>
        <v>31858.271999999997</v>
      </c>
      <c r="BF13" s="51">
        <f t="shared" si="18"/>
        <v>3247.51356</v>
      </c>
      <c r="BG13" s="33">
        <f t="shared" si="19"/>
        <v>35105.78556</v>
      </c>
      <c r="BH13" s="20">
        <f>BF$6*'2008A'!$F13</f>
        <v>392.8327956</v>
      </c>
      <c r="BJ13" s="33">
        <f t="shared" si="51"/>
        <v>14969.112</v>
      </c>
      <c r="BK13" s="33">
        <f t="shared" si="20"/>
        <v>1525.89551</v>
      </c>
      <c r="BL13" s="33">
        <f t="shared" si="21"/>
        <v>16495.00751</v>
      </c>
      <c r="BM13" s="20">
        <f>BK$6*'2008A'!$F13</f>
        <v>184.57869010000002</v>
      </c>
      <c r="BO13" s="33">
        <f t="shared" si="52"/>
        <v>10833.624</v>
      </c>
      <c r="BP13" s="33">
        <f t="shared" si="22"/>
        <v>1104.33927</v>
      </c>
      <c r="BQ13" s="33">
        <f t="shared" si="23"/>
        <v>11937.96327</v>
      </c>
      <c r="BR13" s="20">
        <f>BP$6*'2008A'!$F13</f>
        <v>133.58548770000002</v>
      </c>
      <c r="BT13" s="33">
        <f t="shared" si="53"/>
        <v>15593.351999999999</v>
      </c>
      <c r="BU13" s="33">
        <f t="shared" si="24"/>
        <v>1589.52821</v>
      </c>
      <c r="BV13" s="33">
        <f t="shared" si="25"/>
        <v>17182.88021</v>
      </c>
      <c r="BW13" s="20">
        <f>BU$6*'2008A'!$F13</f>
        <v>192.2759671</v>
      </c>
      <c r="BY13" s="33">
        <f t="shared" si="54"/>
        <v>3207.288</v>
      </c>
      <c r="BZ13" s="33">
        <f t="shared" si="26"/>
        <v>326.93899</v>
      </c>
      <c r="CA13" s="33">
        <f t="shared" si="27"/>
        <v>3534.22699</v>
      </c>
      <c r="CB13" s="20">
        <f>BZ$6*'2008A'!$F13</f>
        <v>39.5479049</v>
      </c>
      <c r="CD13" s="33">
        <f t="shared" si="55"/>
        <v>12167.784</v>
      </c>
      <c r="CE13" s="33">
        <f t="shared" si="28"/>
        <v>1240.3385700000001</v>
      </c>
      <c r="CF13" s="33">
        <f t="shared" si="29"/>
        <v>13408.12257</v>
      </c>
      <c r="CG13" s="20">
        <f>CE$6*'2008A'!$F13</f>
        <v>150.0365307</v>
      </c>
      <c r="CI13" s="33">
        <f t="shared" si="56"/>
        <v>3035.112</v>
      </c>
      <c r="CJ13" s="33">
        <f t="shared" si="30"/>
        <v>309.38801</v>
      </c>
      <c r="CK13" s="33">
        <f t="shared" si="31"/>
        <v>3344.50001</v>
      </c>
      <c r="CL13" s="20">
        <f>CJ$6*'2008A'!$F13</f>
        <v>37.4248651</v>
      </c>
      <c r="CN13" s="33">
        <f t="shared" si="57"/>
        <v>12195.528</v>
      </c>
      <c r="CO13" s="33">
        <f t="shared" si="32"/>
        <v>1243.16669</v>
      </c>
      <c r="CP13" s="33">
        <f t="shared" si="33"/>
        <v>13438.69469</v>
      </c>
      <c r="CQ13" s="20">
        <f>CO$6*'2008A'!$F13</f>
        <v>150.37863190000002</v>
      </c>
      <c r="CS13" s="33">
        <f t="shared" si="58"/>
        <v>68255.54400000001</v>
      </c>
      <c r="CT13" s="33">
        <f t="shared" si="34"/>
        <v>6957.715870000001</v>
      </c>
      <c r="CU13" s="33">
        <f t="shared" si="35"/>
        <v>75213.25987000001</v>
      </c>
      <c r="CV13" s="20">
        <f>CT$6*'2008A'!$F13</f>
        <v>841.6343536999999</v>
      </c>
      <c r="CX13" s="33">
        <f t="shared" si="59"/>
        <v>198.28799999999998</v>
      </c>
      <c r="CY13" s="33">
        <f t="shared" si="36"/>
        <v>20.21274</v>
      </c>
      <c r="CZ13" s="33">
        <f t="shared" si="37"/>
        <v>218.50073999999998</v>
      </c>
      <c r="DA13" s="20">
        <f>CY$6*'2008A'!$F13</f>
        <v>2.4450174000000002</v>
      </c>
      <c r="DC13" s="33">
        <f t="shared" si="60"/>
        <v>13013.975999999999</v>
      </c>
      <c r="DD13" s="33">
        <f t="shared" si="38"/>
        <v>1326.5962299999999</v>
      </c>
      <c r="DE13" s="33">
        <f t="shared" si="39"/>
        <v>14340.572229999998</v>
      </c>
      <c r="DF13" s="20">
        <f>DD$6*'2008A'!$F13</f>
        <v>160.47061730000001</v>
      </c>
      <c r="DH13" s="33">
        <f t="shared" si="61"/>
        <v>11425.223999999998</v>
      </c>
      <c r="DI13" s="33">
        <f t="shared" si="40"/>
        <v>1164.6447699999999</v>
      </c>
      <c r="DJ13" s="33">
        <f t="shared" si="41"/>
        <v>12589.868769999997</v>
      </c>
      <c r="DK13" s="20">
        <f>DI$6*'2008A'!$F13</f>
        <v>140.88029269999998</v>
      </c>
    </row>
    <row r="14" spans="1:115" ht="12">
      <c r="A14" s="19">
        <v>43009</v>
      </c>
      <c r="B14" s="27"/>
      <c r="D14" s="35">
        <v>313900</v>
      </c>
      <c r="E14" s="35">
        <f t="shared" si="0"/>
        <v>313900</v>
      </c>
      <c r="G14" s="71"/>
      <c r="H14" s="51">
        <f t="shared" si="1"/>
        <v>31803.908540000004</v>
      </c>
      <c r="I14" s="51">
        <f t="shared" si="2"/>
        <v>31803.908540000004</v>
      </c>
      <c r="J14" s="51">
        <f t="shared" si="3"/>
        <v>5097.237447400002</v>
      </c>
      <c r="M14" s="33">
        <f t="shared" si="4"/>
        <v>3178.2375</v>
      </c>
      <c r="N14" s="33">
        <f t="shared" si="5"/>
        <v>3178.2375</v>
      </c>
      <c r="O14" s="20">
        <f>M$6*'2008A'!$F14</f>
        <v>509.378625</v>
      </c>
      <c r="P14" s="20"/>
      <c r="Q14" s="20">
        <f t="shared" si="62"/>
        <v>0</v>
      </c>
      <c r="R14" s="20">
        <f t="shared" si="63"/>
        <v>408.8705005903189</v>
      </c>
      <c r="S14" s="20">
        <f t="shared" si="64"/>
        <v>408.8705005903189</v>
      </c>
      <c r="T14" s="20">
        <f>$R$6*'2008A'!F14</f>
        <v>65.52999685950415</v>
      </c>
      <c r="W14" s="51">
        <f t="shared" si="6"/>
        <v>7459.645160000001</v>
      </c>
      <c r="X14" s="51">
        <f t="shared" si="7"/>
        <v>7459.645160000001</v>
      </c>
      <c r="Y14" s="20">
        <f>W$6*'2008A'!$F14</f>
        <v>1195.5631996</v>
      </c>
      <c r="AB14" s="33">
        <f t="shared" si="8"/>
        <v>215.83764</v>
      </c>
      <c r="AC14" s="33">
        <f t="shared" si="9"/>
        <v>215.83764</v>
      </c>
      <c r="AD14" s="20">
        <f>AB$6*'2008A'!$F14</f>
        <v>34.5924684</v>
      </c>
      <c r="AG14" s="33">
        <f t="shared" si="10"/>
        <v>157.45224</v>
      </c>
      <c r="AH14" s="33">
        <f t="shared" si="11"/>
        <v>157.45224</v>
      </c>
      <c r="AI14" s="20">
        <f>AG$6*'2008A'!$F14</f>
        <v>25.2349944</v>
      </c>
      <c r="AL14" s="33">
        <f t="shared" si="12"/>
        <v>2197.3</v>
      </c>
      <c r="AM14" s="33">
        <f t="shared" si="13"/>
        <v>2197.3</v>
      </c>
      <c r="AN14" s="20">
        <f>AL$6*'2008A'!$F14</f>
        <v>352.163</v>
      </c>
      <c r="AQ14" s="33">
        <f t="shared" si="14"/>
        <v>1625.28003</v>
      </c>
      <c r="AR14" s="33">
        <f t="shared" si="15"/>
        <v>1625.28003</v>
      </c>
      <c r="AS14" s="20">
        <f>AQ$6*'2008A'!$F14</f>
        <v>260.4849093</v>
      </c>
      <c r="AT14" s="20"/>
      <c r="AU14" s="20">
        <f t="shared" si="65"/>
        <v>0</v>
      </c>
      <c r="AV14" s="20">
        <f t="shared" si="66"/>
        <v>564.1881094096811</v>
      </c>
      <c r="AW14" s="20">
        <f t="shared" si="67"/>
        <v>564.1881094096811</v>
      </c>
      <c r="AX14" s="20">
        <f>$AV$6*'2008A'!F14</f>
        <v>90.42287224049585</v>
      </c>
      <c r="AZ14" s="51"/>
      <c r="BA14" s="51">
        <f t="shared" si="16"/>
        <v>859.64654</v>
      </c>
      <c r="BB14" s="33">
        <f t="shared" si="17"/>
        <v>859.64654</v>
      </c>
      <c r="BC14" s="20">
        <f>BA$6*'2008A'!$F14</f>
        <v>137.77622739999998</v>
      </c>
      <c r="BE14" s="51"/>
      <c r="BF14" s="51">
        <f t="shared" si="18"/>
        <v>2451.05676</v>
      </c>
      <c r="BG14" s="33">
        <f t="shared" si="19"/>
        <v>2451.05676</v>
      </c>
      <c r="BH14" s="20">
        <f>BF$6*'2008A'!$F14</f>
        <v>392.8327956</v>
      </c>
      <c r="BK14" s="33">
        <f t="shared" si="20"/>
        <v>1151.66771</v>
      </c>
      <c r="BL14" s="33">
        <f t="shared" si="21"/>
        <v>1151.66771</v>
      </c>
      <c r="BM14" s="20">
        <f>BK$6*'2008A'!$F14</f>
        <v>184.57869010000002</v>
      </c>
      <c r="BP14" s="33">
        <f t="shared" si="22"/>
        <v>833.49867</v>
      </c>
      <c r="BQ14" s="33">
        <f t="shared" si="23"/>
        <v>833.49867</v>
      </c>
      <c r="BR14" s="20">
        <f>BP$6*'2008A'!$F14</f>
        <v>133.58548770000002</v>
      </c>
      <c r="BU14" s="33">
        <f t="shared" si="24"/>
        <v>1199.6944099999998</v>
      </c>
      <c r="BV14" s="33">
        <f t="shared" si="25"/>
        <v>1199.6944099999998</v>
      </c>
      <c r="BW14" s="20">
        <f>BU$6*'2008A'!$F14</f>
        <v>192.2759671</v>
      </c>
      <c r="BZ14" s="33">
        <f t="shared" si="26"/>
        <v>246.75679</v>
      </c>
      <c r="CA14" s="33">
        <f t="shared" si="27"/>
        <v>246.75679</v>
      </c>
      <c r="CB14" s="20">
        <f>BZ$6*'2008A'!$F14</f>
        <v>39.5479049</v>
      </c>
      <c r="CE14" s="33">
        <f t="shared" si="28"/>
        <v>936.14397</v>
      </c>
      <c r="CF14" s="33">
        <f t="shared" si="29"/>
        <v>936.14397</v>
      </c>
      <c r="CG14" s="20">
        <f>CE$6*'2008A'!$F14</f>
        <v>150.0365307</v>
      </c>
      <c r="CJ14" s="33">
        <f t="shared" si="30"/>
        <v>233.51021</v>
      </c>
      <c r="CK14" s="33">
        <f t="shared" si="31"/>
        <v>233.51021</v>
      </c>
      <c r="CL14" s="20">
        <f>CJ$6*'2008A'!$F14</f>
        <v>37.4248651</v>
      </c>
      <c r="CO14" s="33">
        <f t="shared" si="32"/>
        <v>938.27849</v>
      </c>
      <c r="CP14" s="33">
        <f t="shared" si="33"/>
        <v>938.27849</v>
      </c>
      <c r="CQ14" s="20">
        <f>CO$6*'2008A'!$F14</f>
        <v>150.37863190000002</v>
      </c>
      <c r="CT14" s="33">
        <f t="shared" si="34"/>
        <v>5251.32727</v>
      </c>
      <c r="CU14" s="33">
        <f t="shared" si="35"/>
        <v>5251.32727</v>
      </c>
      <c r="CV14" s="20">
        <f>CT$6*'2008A'!$F14</f>
        <v>841.6343536999999</v>
      </c>
      <c r="CY14" s="33">
        <f t="shared" si="36"/>
        <v>15.255539999999998</v>
      </c>
      <c r="CZ14" s="33">
        <f t="shared" si="37"/>
        <v>15.255539999999998</v>
      </c>
      <c r="DA14" s="20">
        <f>CY$6*'2008A'!$F14</f>
        <v>2.4450174000000002</v>
      </c>
      <c r="DD14" s="33">
        <f t="shared" si="38"/>
        <v>1001.2468299999999</v>
      </c>
      <c r="DE14" s="33">
        <f t="shared" si="39"/>
        <v>1001.2468299999999</v>
      </c>
      <c r="DF14" s="20">
        <f>DD$6*'2008A'!$F14</f>
        <v>160.47061730000001</v>
      </c>
      <c r="DI14" s="33">
        <f t="shared" si="40"/>
        <v>879.01417</v>
      </c>
      <c r="DJ14" s="33">
        <f t="shared" si="41"/>
        <v>879.01417</v>
      </c>
      <c r="DK14" s="20">
        <f>DI$6*'2008A'!$F14</f>
        <v>140.88029269999998</v>
      </c>
    </row>
    <row r="15" spans="1:115" ht="12">
      <c r="A15" s="19">
        <v>43191</v>
      </c>
      <c r="C15" s="35">
        <v>4285000</v>
      </c>
      <c r="D15" s="35">
        <v>313900</v>
      </c>
      <c r="E15" s="35">
        <f t="shared" si="0"/>
        <v>4598900</v>
      </c>
      <c r="G15" s="71">
        <f t="shared" si="42"/>
        <v>434150.201</v>
      </c>
      <c r="H15" s="51">
        <f t="shared" si="1"/>
        <v>31803.908540000004</v>
      </c>
      <c r="I15" s="51">
        <f t="shared" si="2"/>
        <v>465954.10954</v>
      </c>
      <c r="J15" s="51">
        <f t="shared" si="3"/>
        <v>5097.237447400002</v>
      </c>
      <c r="L15" s="33">
        <f t="shared" si="43"/>
        <v>43385.625</v>
      </c>
      <c r="M15" s="33">
        <f t="shared" si="4"/>
        <v>3178.2375</v>
      </c>
      <c r="N15" s="33">
        <f t="shared" si="5"/>
        <v>46563.8625</v>
      </c>
      <c r="O15" s="20">
        <f>M$6*'2008A'!$F15</f>
        <v>509.378625</v>
      </c>
      <c r="P15" s="20"/>
      <c r="Q15" s="20">
        <f t="shared" si="62"/>
        <v>5581.427508854783</v>
      </c>
      <c r="R15" s="20">
        <f t="shared" si="63"/>
        <v>408.8705005903189</v>
      </c>
      <c r="S15" s="20">
        <f t="shared" si="64"/>
        <v>5990.298009445101</v>
      </c>
      <c r="T15" s="20">
        <f>$R$6*'2008A'!F15</f>
        <v>65.52999685950415</v>
      </c>
      <c r="V15" s="33">
        <f t="shared" si="44"/>
        <v>101830.454</v>
      </c>
      <c r="W15" s="51">
        <f t="shared" si="6"/>
        <v>7459.645160000001</v>
      </c>
      <c r="X15" s="51">
        <f t="shared" si="7"/>
        <v>109290.09916</v>
      </c>
      <c r="Y15" s="20">
        <f>W$6*'2008A'!$F15</f>
        <v>1195.5631996</v>
      </c>
      <c r="AA15" s="33">
        <f t="shared" si="45"/>
        <v>2946.3660000000004</v>
      </c>
      <c r="AB15" s="33">
        <f t="shared" si="8"/>
        <v>215.83764</v>
      </c>
      <c r="AC15" s="33">
        <f t="shared" si="9"/>
        <v>3162.2036400000006</v>
      </c>
      <c r="AD15" s="20">
        <f>AB$6*'2008A'!$F15</f>
        <v>34.5924684</v>
      </c>
      <c r="AF15" s="33">
        <f t="shared" si="46"/>
        <v>2149.356</v>
      </c>
      <c r="AG15" s="33">
        <f t="shared" si="10"/>
        <v>157.45224</v>
      </c>
      <c r="AH15" s="33">
        <f t="shared" si="11"/>
        <v>2306.8082400000003</v>
      </c>
      <c r="AI15" s="20">
        <f>AG$6*'2008A'!$F15</f>
        <v>25.2349944</v>
      </c>
      <c r="AK15" s="33">
        <f t="shared" si="47"/>
        <v>29995</v>
      </c>
      <c r="AL15" s="33">
        <f t="shared" si="12"/>
        <v>2197.3</v>
      </c>
      <c r="AM15" s="33">
        <f t="shared" si="13"/>
        <v>32192.3</v>
      </c>
      <c r="AN15" s="20">
        <f>AL$6*'2008A'!$F15</f>
        <v>352.163</v>
      </c>
      <c r="AP15" s="33">
        <f t="shared" si="48"/>
        <v>22186.444499999998</v>
      </c>
      <c r="AQ15" s="33">
        <f t="shared" si="14"/>
        <v>1625.28003</v>
      </c>
      <c r="AR15" s="33">
        <f t="shared" si="15"/>
        <v>23811.72453</v>
      </c>
      <c r="AS15" s="20">
        <f>AQ$6*'2008A'!$F15</f>
        <v>260.4849093</v>
      </c>
      <c r="AT15" s="20"/>
      <c r="AU15" s="20">
        <f t="shared" si="65"/>
        <v>7701.643991145217</v>
      </c>
      <c r="AV15" s="20">
        <f t="shared" si="66"/>
        <v>564.1881094096811</v>
      </c>
      <c r="AW15" s="20">
        <f t="shared" si="67"/>
        <v>8265.832100554899</v>
      </c>
      <c r="AX15" s="20">
        <f>$AV$6*'2008A'!F15</f>
        <v>90.42287224049585</v>
      </c>
      <c r="AZ15" s="51">
        <f t="shared" si="49"/>
        <v>11734.900999999998</v>
      </c>
      <c r="BA15" s="51">
        <f t="shared" si="16"/>
        <v>859.64654</v>
      </c>
      <c r="BB15" s="33">
        <f t="shared" si="17"/>
        <v>12594.547539999998</v>
      </c>
      <c r="BC15" s="20">
        <f>BA$6*'2008A'!$F15</f>
        <v>137.77622739999998</v>
      </c>
      <c r="BE15" s="51">
        <f t="shared" si="50"/>
        <v>33458.994</v>
      </c>
      <c r="BF15" s="51">
        <f t="shared" si="18"/>
        <v>2451.05676</v>
      </c>
      <c r="BG15" s="33">
        <f t="shared" si="19"/>
        <v>35910.05076</v>
      </c>
      <c r="BH15" s="20">
        <f>BF$6*'2008A'!$F15</f>
        <v>392.8327956</v>
      </c>
      <c r="BJ15" s="33">
        <f t="shared" si="51"/>
        <v>15721.236499999999</v>
      </c>
      <c r="BK15" s="33">
        <f t="shared" si="20"/>
        <v>1151.66771</v>
      </c>
      <c r="BL15" s="33">
        <f t="shared" si="21"/>
        <v>16872.90421</v>
      </c>
      <c r="BM15" s="20">
        <f>BK$6*'2008A'!$F15</f>
        <v>184.57869010000002</v>
      </c>
      <c r="BO15" s="33">
        <f t="shared" si="52"/>
        <v>11377.960500000001</v>
      </c>
      <c r="BP15" s="33">
        <f t="shared" si="22"/>
        <v>833.49867</v>
      </c>
      <c r="BQ15" s="33">
        <f t="shared" si="23"/>
        <v>12211.459170000002</v>
      </c>
      <c r="BR15" s="20">
        <f>BP$6*'2008A'!$F15</f>
        <v>133.58548770000002</v>
      </c>
      <c r="BT15" s="33">
        <f t="shared" si="53"/>
        <v>16376.841499999999</v>
      </c>
      <c r="BU15" s="33">
        <f t="shared" si="24"/>
        <v>1199.6944099999998</v>
      </c>
      <c r="BV15" s="33">
        <f t="shared" si="25"/>
        <v>17576.53591</v>
      </c>
      <c r="BW15" s="20">
        <f>BU$6*'2008A'!$F15</f>
        <v>192.2759671</v>
      </c>
      <c r="BY15" s="33">
        <f t="shared" si="54"/>
        <v>3368.4384999999997</v>
      </c>
      <c r="BZ15" s="33">
        <f t="shared" si="26"/>
        <v>246.75679</v>
      </c>
      <c r="CA15" s="33">
        <f t="shared" si="27"/>
        <v>3615.1952899999997</v>
      </c>
      <c r="CB15" s="20">
        <f>BZ$6*'2008A'!$F15</f>
        <v>39.5479049</v>
      </c>
      <c r="CD15" s="33">
        <f t="shared" si="55"/>
        <v>12779.1555</v>
      </c>
      <c r="CE15" s="33">
        <f t="shared" si="28"/>
        <v>936.14397</v>
      </c>
      <c r="CF15" s="33">
        <f t="shared" si="29"/>
        <v>13715.29947</v>
      </c>
      <c r="CG15" s="20">
        <f>CE$6*'2008A'!$F15</f>
        <v>150.0365307</v>
      </c>
      <c r="CI15" s="33">
        <f t="shared" si="56"/>
        <v>3187.6114999999995</v>
      </c>
      <c r="CJ15" s="33">
        <f t="shared" si="30"/>
        <v>233.51021</v>
      </c>
      <c r="CK15" s="33">
        <f t="shared" si="31"/>
        <v>3421.1217099999994</v>
      </c>
      <c r="CL15" s="20">
        <f>CJ$6*'2008A'!$F15</f>
        <v>37.4248651</v>
      </c>
      <c r="CN15" s="33">
        <f t="shared" si="57"/>
        <v>12808.293500000002</v>
      </c>
      <c r="CO15" s="33">
        <f t="shared" si="32"/>
        <v>938.27849</v>
      </c>
      <c r="CP15" s="33">
        <f t="shared" si="33"/>
        <v>13746.571990000002</v>
      </c>
      <c r="CQ15" s="20">
        <f>CO$6*'2008A'!$F15</f>
        <v>150.37863190000002</v>
      </c>
      <c r="CS15" s="33">
        <f t="shared" si="58"/>
        <v>71685.0505</v>
      </c>
      <c r="CT15" s="33">
        <f t="shared" si="34"/>
        <v>5251.32727</v>
      </c>
      <c r="CU15" s="33">
        <f t="shared" si="35"/>
        <v>76936.37776999999</v>
      </c>
      <c r="CV15" s="20">
        <f>CT$6*'2008A'!$F15</f>
        <v>841.6343536999999</v>
      </c>
      <c r="CX15" s="33">
        <f t="shared" si="59"/>
        <v>208.25099999999998</v>
      </c>
      <c r="CY15" s="33">
        <f t="shared" si="36"/>
        <v>15.255539999999998</v>
      </c>
      <c r="CZ15" s="33">
        <f t="shared" si="37"/>
        <v>223.50653999999997</v>
      </c>
      <c r="DA15" s="20">
        <f>CY$6*'2008A'!$F15</f>
        <v>2.4450174000000002</v>
      </c>
      <c r="DC15" s="33">
        <f t="shared" si="60"/>
        <v>13667.8645</v>
      </c>
      <c r="DD15" s="33">
        <f t="shared" si="38"/>
        <v>1001.2468299999999</v>
      </c>
      <c r="DE15" s="33">
        <f t="shared" si="39"/>
        <v>14669.11133</v>
      </c>
      <c r="DF15" s="20">
        <f>DD$6*'2008A'!$F15</f>
        <v>160.47061730000001</v>
      </c>
      <c r="DH15" s="33">
        <f t="shared" si="61"/>
        <v>11999.2855</v>
      </c>
      <c r="DI15" s="33">
        <f t="shared" si="40"/>
        <v>879.01417</v>
      </c>
      <c r="DJ15" s="33">
        <f t="shared" si="41"/>
        <v>12878.29967</v>
      </c>
      <c r="DK15" s="20">
        <f>DI$6*'2008A'!$F15</f>
        <v>140.88029269999998</v>
      </c>
    </row>
    <row r="16" spans="1:115" ht="12">
      <c r="A16" s="19">
        <v>43374</v>
      </c>
      <c r="D16" s="35">
        <v>206775</v>
      </c>
      <c r="E16" s="35">
        <f t="shared" si="0"/>
        <v>206775</v>
      </c>
      <c r="G16" s="71"/>
      <c r="H16" s="51">
        <f t="shared" si="1"/>
        <v>20950.153515000005</v>
      </c>
      <c r="I16" s="51">
        <f t="shared" si="2"/>
        <v>20950.153515000005</v>
      </c>
      <c r="J16" s="51">
        <f t="shared" si="3"/>
        <v>5097.237447400002</v>
      </c>
      <c r="M16" s="33">
        <f t="shared" si="4"/>
        <v>2093.596875</v>
      </c>
      <c r="N16" s="33">
        <f t="shared" si="5"/>
        <v>2093.596875</v>
      </c>
      <c r="O16" s="20">
        <f>M$6*'2008A'!$F16</f>
        <v>509.378625</v>
      </c>
      <c r="P16" s="20"/>
      <c r="Q16" s="20">
        <f t="shared" si="62"/>
        <v>0</v>
      </c>
      <c r="R16" s="20">
        <f t="shared" si="63"/>
        <v>269.3348128689493</v>
      </c>
      <c r="S16" s="20">
        <f t="shared" si="64"/>
        <v>269.3348128689493</v>
      </c>
      <c r="T16" s="20">
        <f>$R$6*'2008A'!F16</f>
        <v>65.52999685950415</v>
      </c>
      <c r="W16" s="51">
        <f t="shared" si="6"/>
        <v>4913.88381</v>
      </c>
      <c r="X16" s="51">
        <f t="shared" si="7"/>
        <v>4913.88381</v>
      </c>
      <c r="Y16" s="20">
        <f>W$6*'2008A'!$F16</f>
        <v>1195.5631996</v>
      </c>
      <c r="AB16" s="33">
        <f t="shared" si="8"/>
        <v>142.17849</v>
      </c>
      <c r="AC16" s="33">
        <f t="shared" si="9"/>
        <v>142.17849</v>
      </c>
      <c r="AD16" s="20">
        <f>AB$6*'2008A'!$F16</f>
        <v>34.5924684</v>
      </c>
      <c r="AG16" s="33">
        <f t="shared" si="10"/>
        <v>103.71834000000001</v>
      </c>
      <c r="AH16" s="33">
        <f t="shared" si="11"/>
        <v>103.71834000000001</v>
      </c>
      <c r="AI16" s="20">
        <f>AG$6*'2008A'!$F16</f>
        <v>25.2349944</v>
      </c>
      <c r="AL16" s="33">
        <f t="shared" si="12"/>
        <v>1447.425</v>
      </c>
      <c r="AM16" s="33">
        <f t="shared" si="13"/>
        <v>1447.425</v>
      </c>
      <c r="AN16" s="20">
        <f>AL$6*'2008A'!$F16</f>
        <v>352.163</v>
      </c>
      <c r="AQ16" s="33">
        <f t="shared" si="14"/>
        <v>1070.6189175</v>
      </c>
      <c r="AR16" s="33">
        <f t="shared" si="15"/>
        <v>1070.6189175</v>
      </c>
      <c r="AS16" s="20">
        <f>AQ$6*'2008A'!$F16</f>
        <v>260.4849093</v>
      </c>
      <c r="AT16" s="20"/>
      <c r="AU16" s="20">
        <f t="shared" si="65"/>
        <v>0</v>
      </c>
      <c r="AV16" s="20">
        <f t="shared" si="66"/>
        <v>371.6470096310507</v>
      </c>
      <c r="AW16" s="20">
        <f t="shared" si="67"/>
        <v>371.6470096310507</v>
      </c>
      <c r="AX16" s="20">
        <f>$AV$6*'2008A'!F16</f>
        <v>90.42287224049585</v>
      </c>
      <c r="AZ16" s="51"/>
      <c r="BA16" s="51">
        <f t="shared" si="16"/>
        <v>566.274015</v>
      </c>
      <c r="BB16" s="33">
        <f t="shared" si="17"/>
        <v>566.274015</v>
      </c>
      <c r="BC16" s="20">
        <f>BA$6*'2008A'!$F16</f>
        <v>137.77622739999998</v>
      </c>
      <c r="BE16" s="51"/>
      <c r="BF16" s="51">
        <f t="shared" si="18"/>
        <v>1614.5819099999999</v>
      </c>
      <c r="BG16" s="33">
        <f t="shared" si="19"/>
        <v>1614.5819099999999</v>
      </c>
      <c r="BH16" s="20">
        <f>BF$6*'2008A'!$F16</f>
        <v>392.8327956</v>
      </c>
      <c r="BK16" s="33">
        <f t="shared" si="20"/>
        <v>758.6367975</v>
      </c>
      <c r="BL16" s="33">
        <f t="shared" si="21"/>
        <v>758.6367975</v>
      </c>
      <c r="BM16" s="20">
        <f>BK$6*'2008A'!$F16</f>
        <v>184.57869010000002</v>
      </c>
      <c r="BP16" s="33">
        <f t="shared" si="22"/>
        <v>549.0496575</v>
      </c>
      <c r="BQ16" s="33">
        <f t="shared" si="23"/>
        <v>549.0496575</v>
      </c>
      <c r="BR16" s="20">
        <f>BP$6*'2008A'!$F16</f>
        <v>133.58548770000002</v>
      </c>
      <c r="BU16" s="33">
        <f t="shared" si="24"/>
        <v>790.2733724999999</v>
      </c>
      <c r="BV16" s="33">
        <f t="shared" si="25"/>
        <v>790.2733724999999</v>
      </c>
      <c r="BW16" s="20">
        <f>BU$6*'2008A'!$F16</f>
        <v>192.2759671</v>
      </c>
      <c r="BZ16" s="33">
        <f t="shared" si="26"/>
        <v>162.5458275</v>
      </c>
      <c r="CA16" s="33">
        <f t="shared" si="27"/>
        <v>162.5458275</v>
      </c>
      <c r="CB16" s="20">
        <f>BZ$6*'2008A'!$F16</f>
        <v>39.5479049</v>
      </c>
      <c r="CE16" s="33">
        <f t="shared" si="28"/>
        <v>616.6650825</v>
      </c>
      <c r="CF16" s="33">
        <f t="shared" si="29"/>
        <v>616.6650825</v>
      </c>
      <c r="CG16" s="20">
        <f>CE$6*'2008A'!$F16</f>
        <v>150.0365307</v>
      </c>
      <c r="CJ16" s="33">
        <f t="shared" si="30"/>
        <v>153.8199225</v>
      </c>
      <c r="CK16" s="33">
        <f t="shared" si="31"/>
        <v>153.8199225</v>
      </c>
      <c r="CL16" s="20">
        <f>CJ$6*'2008A'!$F16</f>
        <v>37.4248651</v>
      </c>
      <c r="CO16" s="33">
        <f t="shared" si="32"/>
        <v>618.0711525</v>
      </c>
      <c r="CP16" s="33">
        <f t="shared" si="33"/>
        <v>618.0711525</v>
      </c>
      <c r="CQ16" s="20">
        <f>CO$6*'2008A'!$F16</f>
        <v>150.37863190000002</v>
      </c>
      <c r="CT16" s="33">
        <f t="shared" si="34"/>
        <v>3459.2010075</v>
      </c>
      <c r="CU16" s="33">
        <f t="shared" si="35"/>
        <v>3459.2010075</v>
      </c>
      <c r="CV16" s="20">
        <f>CT$6*'2008A'!$F16</f>
        <v>841.6343536999999</v>
      </c>
      <c r="CY16" s="33">
        <f t="shared" si="36"/>
        <v>10.049264999999998</v>
      </c>
      <c r="CZ16" s="33">
        <f t="shared" si="37"/>
        <v>10.049264999999998</v>
      </c>
      <c r="DA16" s="20">
        <f>CY$6*'2008A'!$F16</f>
        <v>2.4450174000000002</v>
      </c>
      <c r="DD16" s="33">
        <f t="shared" si="38"/>
        <v>659.5502175</v>
      </c>
      <c r="DE16" s="33">
        <f t="shared" si="39"/>
        <v>659.5502175</v>
      </c>
      <c r="DF16" s="20">
        <f>DD$6*'2008A'!$F16</f>
        <v>160.47061730000001</v>
      </c>
      <c r="DI16" s="33">
        <f t="shared" si="40"/>
        <v>579.0320325</v>
      </c>
      <c r="DJ16" s="33">
        <f t="shared" si="41"/>
        <v>579.0320325</v>
      </c>
      <c r="DK16" s="20">
        <f>DI$6*'2008A'!$F16</f>
        <v>140.88029269999998</v>
      </c>
    </row>
    <row r="17" spans="1:115" ht="12">
      <c r="A17" s="19">
        <v>43556</v>
      </c>
      <c r="C17" s="35">
        <v>4495000</v>
      </c>
      <c r="D17" s="35">
        <v>206775</v>
      </c>
      <c r="E17" s="35">
        <f t="shared" si="0"/>
        <v>4701775</v>
      </c>
      <c r="G17" s="71">
        <f t="shared" si="42"/>
        <v>455427.10699999996</v>
      </c>
      <c r="H17" s="51">
        <f t="shared" si="1"/>
        <v>20950.153515000005</v>
      </c>
      <c r="I17" s="51">
        <f t="shared" si="2"/>
        <v>476377.260515</v>
      </c>
      <c r="J17" s="51">
        <f t="shared" si="3"/>
        <v>5097.237447400002</v>
      </c>
      <c r="L17" s="33">
        <f t="shared" si="43"/>
        <v>45511.875</v>
      </c>
      <c r="M17" s="33">
        <f t="shared" si="4"/>
        <v>2093.596875</v>
      </c>
      <c r="N17" s="33">
        <f t="shared" si="5"/>
        <v>47605.471875</v>
      </c>
      <c r="O17" s="20">
        <f>M$6*'2008A'!$F17</f>
        <v>509.378625</v>
      </c>
      <c r="P17" s="20"/>
      <c r="Q17" s="20">
        <f t="shared" si="62"/>
        <v>5854.963046044866</v>
      </c>
      <c r="R17" s="20">
        <f t="shared" si="63"/>
        <v>269.3348128689493</v>
      </c>
      <c r="S17" s="20">
        <f t="shared" si="64"/>
        <v>6124.297858913816</v>
      </c>
      <c r="T17" s="20">
        <f>$R$6*'2008A'!F17</f>
        <v>65.52999685950415</v>
      </c>
      <c r="V17" s="33">
        <f t="shared" si="44"/>
        <v>106820.978</v>
      </c>
      <c r="W17" s="51">
        <f t="shared" si="6"/>
        <v>4913.88381</v>
      </c>
      <c r="X17" s="51">
        <f t="shared" si="7"/>
        <v>111734.86181</v>
      </c>
      <c r="Y17" s="20">
        <f>W$6*'2008A'!$F17</f>
        <v>1195.5631996</v>
      </c>
      <c r="AA17" s="33">
        <f t="shared" si="45"/>
        <v>3090.762</v>
      </c>
      <c r="AB17" s="33">
        <f t="shared" si="8"/>
        <v>142.17849</v>
      </c>
      <c r="AC17" s="33">
        <f t="shared" si="9"/>
        <v>3232.94049</v>
      </c>
      <c r="AD17" s="20">
        <f>AB$6*'2008A'!$F17</f>
        <v>34.5924684</v>
      </c>
      <c r="AF17" s="33">
        <f t="shared" si="46"/>
        <v>2254.692</v>
      </c>
      <c r="AG17" s="33">
        <f t="shared" si="10"/>
        <v>103.71834000000001</v>
      </c>
      <c r="AH17" s="33">
        <f t="shared" si="11"/>
        <v>2358.41034</v>
      </c>
      <c r="AI17" s="20">
        <f>AG$6*'2008A'!$F17</f>
        <v>25.2349944</v>
      </c>
      <c r="AK17" s="33">
        <f t="shared" si="47"/>
        <v>31465</v>
      </c>
      <c r="AL17" s="33">
        <f t="shared" si="12"/>
        <v>1447.425</v>
      </c>
      <c r="AM17" s="33">
        <f t="shared" si="13"/>
        <v>32912.425</v>
      </c>
      <c r="AN17" s="20">
        <f>AL$6*'2008A'!$F17</f>
        <v>352.163</v>
      </c>
      <c r="AP17" s="33">
        <f t="shared" si="48"/>
        <v>23273.7615</v>
      </c>
      <c r="AQ17" s="33">
        <f t="shared" si="14"/>
        <v>1070.6189175</v>
      </c>
      <c r="AR17" s="33">
        <f t="shared" si="15"/>
        <v>24344.3804175</v>
      </c>
      <c r="AS17" s="20">
        <f>AQ$6*'2008A'!$F17</f>
        <v>260.4849093</v>
      </c>
      <c r="AT17" s="20"/>
      <c r="AU17" s="20">
        <f t="shared" si="65"/>
        <v>8079.087453955134</v>
      </c>
      <c r="AV17" s="20">
        <f t="shared" si="66"/>
        <v>371.6470096310507</v>
      </c>
      <c r="AW17" s="20">
        <f t="shared" si="67"/>
        <v>8450.734463586185</v>
      </c>
      <c r="AX17" s="20">
        <f>$AV$6*'2008A'!F17</f>
        <v>90.42287224049585</v>
      </c>
      <c r="AZ17" s="51">
        <f t="shared" si="49"/>
        <v>12310.007</v>
      </c>
      <c r="BA17" s="51">
        <f t="shared" si="16"/>
        <v>566.274015</v>
      </c>
      <c r="BB17" s="33">
        <f t="shared" si="17"/>
        <v>12876.281015</v>
      </c>
      <c r="BC17" s="20">
        <f>BA$6*'2008A'!$F17</f>
        <v>137.77622739999998</v>
      </c>
      <c r="BE17" s="51">
        <f t="shared" si="50"/>
        <v>35098.758</v>
      </c>
      <c r="BF17" s="51">
        <f t="shared" si="18"/>
        <v>1614.5819099999999</v>
      </c>
      <c r="BG17" s="33">
        <f t="shared" si="19"/>
        <v>36713.33991</v>
      </c>
      <c r="BH17" s="20">
        <f>BF$6*'2008A'!$F17</f>
        <v>392.8327956</v>
      </c>
      <c r="BJ17" s="33">
        <f t="shared" si="51"/>
        <v>16491.7055</v>
      </c>
      <c r="BK17" s="33">
        <f t="shared" si="20"/>
        <v>758.6367975</v>
      </c>
      <c r="BL17" s="33">
        <f t="shared" si="21"/>
        <v>17250.3422975</v>
      </c>
      <c r="BM17" s="20">
        <f>BK$6*'2008A'!$F17</f>
        <v>184.57869010000002</v>
      </c>
      <c r="BO17" s="33">
        <f t="shared" si="52"/>
        <v>11935.573499999999</v>
      </c>
      <c r="BP17" s="33">
        <f t="shared" si="22"/>
        <v>549.0496575</v>
      </c>
      <c r="BQ17" s="33">
        <f t="shared" si="23"/>
        <v>12484.623157499998</v>
      </c>
      <c r="BR17" s="20">
        <f>BP$6*'2008A'!$F17</f>
        <v>133.58548770000002</v>
      </c>
      <c r="BT17" s="33">
        <f t="shared" si="53"/>
        <v>17179.440499999997</v>
      </c>
      <c r="BU17" s="33">
        <f t="shared" si="24"/>
        <v>790.2733724999999</v>
      </c>
      <c r="BV17" s="33">
        <f t="shared" si="25"/>
        <v>17969.713872499997</v>
      </c>
      <c r="BW17" s="20">
        <f>BU$6*'2008A'!$F17</f>
        <v>192.2759671</v>
      </c>
      <c r="BY17" s="33">
        <f t="shared" si="54"/>
        <v>3533.5195000000003</v>
      </c>
      <c r="BZ17" s="33">
        <f t="shared" si="26"/>
        <v>162.5458275</v>
      </c>
      <c r="CA17" s="33">
        <f t="shared" si="27"/>
        <v>3696.0653275000004</v>
      </c>
      <c r="CB17" s="20">
        <f>BZ$6*'2008A'!$F17</f>
        <v>39.5479049</v>
      </c>
      <c r="CD17" s="33">
        <f t="shared" si="55"/>
        <v>13405.4385</v>
      </c>
      <c r="CE17" s="33">
        <f t="shared" si="28"/>
        <v>616.6650825</v>
      </c>
      <c r="CF17" s="33">
        <f t="shared" si="29"/>
        <v>14022.1035825</v>
      </c>
      <c r="CG17" s="20">
        <f>CE$6*'2008A'!$F17</f>
        <v>150.0365307</v>
      </c>
      <c r="CI17" s="33">
        <f t="shared" si="56"/>
        <v>3343.8305</v>
      </c>
      <c r="CJ17" s="33">
        <f t="shared" si="30"/>
        <v>153.8199225</v>
      </c>
      <c r="CK17" s="33">
        <f t="shared" si="31"/>
        <v>3497.6504225</v>
      </c>
      <c r="CL17" s="20">
        <f>CJ$6*'2008A'!$F17</f>
        <v>37.4248651</v>
      </c>
      <c r="CN17" s="33">
        <f t="shared" si="57"/>
        <v>13436.0045</v>
      </c>
      <c r="CO17" s="33">
        <f t="shared" si="32"/>
        <v>618.0711525</v>
      </c>
      <c r="CP17" s="33">
        <f t="shared" si="33"/>
        <v>14054.0756525</v>
      </c>
      <c r="CQ17" s="20">
        <f>CO$6*'2008A'!$F17</f>
        <v>150.37863190000002</v>
      </c>
      <c r="CS17" s="33">
        <f t="shared" si="58"/>
        <v>75198.2035</v>
      </c>
      <c r="CT17" s="33">
        <f t="shared" si="34"/>
        <v>3459.2010075</v>
      </c>
      <c r="CU17" s="33">
        <f t="shared" si="35"/>
        <v>78657.4045075</v>
      </c>
      <c r="CV17" s="20">
        <f>CT$6*'2008A'!$F17</f>
        <v>841.6343536999999</v>
      </c>
      <c r="CX17" s="33">
        <f t="shared" si="59"/>
        <v>218.45699999999997</v>
      </c>
      <c r="CY17" s="33">
        <f t="shared" si="36"/>
        <v>10.049264999999998</v>
      </c>
      <c r="CZ17" s="33">
        <f t="shared" si="37"/>
        <v>228.50626499999996</v>
      </c>
      <c r="DA17" s="20">
        <f>CY$6*'2008A'!$F17</f>
        <v>2.4450174000000002</v>
      </c>
      <c r="DC17" s="33">
        <f t="shared" si="60"/>
        <v>14337.7015</v>
      </c>
      <c r="DD17" s="33">
        <f t="shared" si="38"/>
        <v>659.5502175</v>
      </c>
      <c r="DE17" s="33">
        <f t="shared" si="39"/>
        <v>14997.2517175</v>
      </c>
      <c r="DF17" s="20">
        <f>DD$6*'2008A'!$F17</f>
        <v>160.47061730000001</v>
      </c>
      <c r="DH17" s="33">
        <f t="shared" si="61"/>
        <v>12587.3485</v>
      </c>
      <c r="DI17" s="33">
        <f t="shared" si="40"/>
        <v>579.0320325</v>
      </c>
      <c r="DJ17" s="33">
        <f t="shared" si="41"/>
        <v>13166.3805325</v>
      </c>
      <c r="DK17" s="20">
        <f>DI$6*'2008A'!$F17</f>
        <v>140.88029269999998</v>
      </c>
    </row>
    <row r="18" spans="1:115" ht="12">
      <c r="A18" s="19">
        <v>43739</v>
      </c>
      <c r="D18" s="35">
        <v>94400</v>
      </c>
      <c r="E18" s="35">
        <f t="shared" si="0"/>
        <v>94400</v>
      </c>
      <c r="G18" s="71"/>
      <c r="H18" s="51">
        <f t="shared" si="1"/>
        <v>9564.47584</v>
      </c>
      <c r="I18" s="51">
        <f t="shared" si="2"/>
        <v>9564.47584</v>
      </c>
      <c r="J18" s="51">
        <f t="shared" si="3"/>
        <v>5097.237447400002</v>
      </c>
      <c r="M18" s="33">
        <f t="shared" si="4"/>
        <v>955.8</v>
      </c>
      <c r="N18" s="33">
        <f t="shared" si="5"/>
        <v>955.8</v>
      </c>
      <c r="O18" s="20">
        <f>M$6*'2008A'!$F18</f>
        <v>509.378625</v>
      </c>
      <c r="P18" s="20"/>
      <c r="Q18" s="20">
        <f t="shared" si="62"/>
        <v>0</v>
      </c>
      <c r="R18" s="20">
        <f t="shared" si="63"/>
        <v>122.96073671782766</v>
      </c>
      <c r="S18" s="20">
        <f t="shared" si="64"/>
        <v>122.96073671782766</v>
      </c>
      <c r="T18" s="20">
        <f>$R$6*'2008A'!F18</f>
        <v>65.52999685950415</v>
      </c>
      <c r="W18" s="51">
        <f t="shared" si="6"/>
        <v>2243.3593600000004</v>
      </c>
      <c r="X18" s="51">
        <f t="shared" si="7"/>
        <v>2243.3593600000004</v>
      </c>
      <c r="Y18" s="20">
        <f>W$6*'2008A'!$F18</f>
        <v>1195.5631996</v>
      </c>
      <c r="AB18" s="33">
        <f t="shared" si="8"/>
        <v>64.90944</v>
      </c>
      <c r="AC18" s="33">
        <f t="shared" si="9"/>
        <v>64.90944</v>
      </c>
      <c r="AD18" s="20">
        <f>AB$6*'2008A'!$F18</f>
        <v>34.5924684</v>
      </c>
      <c r="AG18" s="33">
        <f t="shared" si="10"/>
        <v>47.351040000000005</v>
      </c>
      <c r="AH18" s="33">
        <f t="shared" si="11"/>
        <v>47.351040000000005</v>
      </c>
      <c r="AI18" s="20">
        <f>AG$6*'2008A'!$F18</f>
        <v>25.2349944</v>
      </c>
      <c r="AL18" s="33">
        <f t="shared" si="12"/>
        <v>660.8</v>
      </c>
      <c r="AM18" s="33">
        <f t="shared" si="13"/>
        <v>660.8</v>
      </c>
      <c r="AN18" s="20">
        <f>AL$6*'2008A'!$F18</f>
        <v>352.163</v>
      </c>
      <c r="AQ18" s="33">
        <f t="shared" si="14"/>
        <v>488.77488</v>
      </c>
      <c r="AR18" s="33">
        <f t="shared" si="15"/>
        <v>488.77488</v>
      </c>
      <c r="AS18" s="20">
        <f>AQ$6*'2008A'!$F18</f>
        <v>260.4849093</v>
      </c>
      <c r="AT18" s="20"/>
      <c r="AU18" s="20">
        <f t="shared" si="65"/>
        <v>0</v>
      </c>
      <c r="AV18" s="20">
        <f t="shared" si="66"/>
        <v>169.66982328217236</v>
      </c>
      <c r="AW18" s="20">
        <f t="shared" si="67"/>
        <v>169.66982328217236</v>
      </c>
      <c r="AX18" s="20">
        <f>$AV$6*'2008A'!F18</f>
        <v>90.42287224049585</v>
      </c>
      <c r="AZ18" s="51"/>
      <c r="BA18" s="51">
        <f t="shared" si="16"/>
        <v>258.52384</v>
      </c>
      <c r="BB18" s="33">
        <f t="shared" si="17"/>
        <v>258.52384</v>
      </c>
      <c r="BC18" s="20">
        <f>BA$6*'2008A'!$F18</f>
        <v>137.77622739999998</v>
      </c>
      <c r="BE18" s="51"/>
      <c r="BF18" s="51">
        <f t="shared" si="18"/>
        <v>737.11296</v>
      </c>
      <c r="BG18" s="33">
        <f t="shared" si="19"/>
        <v>737.11296</v>
      </c>
      <c r="BH18" s="20">
        <f>BF$6*'2008A'!$F18</f>
        <v>392.8327956</v>
      </c>
      <c r="BK18" s="33">
        <f t="shared" si="20"/>
        <v>346.34416</v>
      </c>
      <c r="BL18" s="33">
        <f t="shared" si="21"/>
        <v>346.34416</v>
      </c>
      <c r="BM18" s="20">
        <f>BK$6*'2008A'!$F18</f>
        <v>184.57869010000002</v>
      </c>
      <c r="BP18" s="33">
        <f t="shared" si="22"/>
        <v>250.66031999999998</v>
      </c>
      <c r="BQ18" s="33">
        <f t="shared" si="23"/>
        <v>250.66031999999998</v>
      </c>
      <c r="BR18" s="20">
        <f>BP$6*'2008A'!$F18</f>
        <v>133.58548770000002</v>
      </c>
      <c r="BU18" s="33">
        <f t="shared" si="24"/>
        <v>360.78736</v>
      </c>
      <c r="BV18" s="33">
        <f t="shared" si="25"/>
        <v>360.78736</v>
      </c>
      <c r="BW18" s="20">
        <f>BU$6*'2008A'!$F18</f>
        <v>192.2759671</v>
      </c>
      <c r="BZ18" s="33">
        <f t="shared" si="26"/>
        <v>74.20783999999999</v>
      </c>
      <c r="CA18" s="33">
        <f t="shared" si="27"/>
        <v>74.20783999999999</v>
      </c>
      <c r="CB18" s="20">
        <f>BZ$6*'2008A'!$F18</f>
        <v>39.5479049</v>
      </c>
      <c r="CE18" s="33">
        <f t="shared" si="28"/>
        <v>281.52912</v>
      </c>
      <c r="CF18" s="33">
        <f t="shared" si="29"/>
        <v>281.52912</v>
      </c>
      <c r="CG18" s="20">
        <f>CE$6*'2008A'!$F18</f>
        <v>150.0365307</v>
      </c>
      <c r="CJ18" s="33">
        <f t="shared" si="30"/>
        <v>70.22416</v>
      </c>
      <c r="CK18" s="33">
        <f t="shared" si="31"/>
        <v>70.22416</v>
      </c>
      <c r="CL18" s="20">
        <f>CJ$6*'2008A'!$F18</f>
        <v>37.4248651</v>
      </c>
      <c r="CO18" s="33">
        <f t="shared" si="32"/>
        <v>282.17104</v>
      </c>
      <c r="CP18" s="33">
        <f t="shared" si="33"/>
        <v>282.17104</v>
      </c>
      <c r="CQ18" s="20">
        <f>CO$6*'2008A'!$F18</f>
        <v>150.37863190000002</v>
      </c>
      <c r="CT18" s="33">
        <f t="shared" si="34"/>
        <v>1579.24592</v>
      </c>
      <c r="CU18" s="33">
        <f t="shared" si="35"/>
        <v>1579.24592</v>
      </c>
      <c r="CV18" s="20">
        <f>CT$6*'2008A'!$F18</f>
        <v>841.6343536999999</v>
      </c>
      <c r="CY18" s="33">
        <f t="shared" si="36"/>
        <v>4.58784</v>
      </c>
      <c r="CZ18" s="33">
        <f t="shared" si="37"/>
        <v>4.58784</v>
      </c>
      <c r="DA18" s="20">
        <f>CY$6*'2008A'!$F18</f>
        <v>2.4450174000000002</v>
      </c>
      <c r="DD18" s="33">
        <f t="shared" si="38"/>
        <v>301.10767999999996</v>
      </c>
      <c r="DE18" s="33">
        <f t="shared" si="39"/>
        <v>301.10767999999996</v>
      </c>
      <c r="DF18" s="20">
        <f>DD$6*'2008A'!$F18</f>
        <v>160.47061730000001</v>
      </c>
      <c r="DI18" s="33">
        <f t="shared" si="40"/>
        <v>264.34832</v>
      </c>
      <c r="DJ18" s="33">
        <f t="shared" si="41"/>
        <v>264.34832</v>
      </c>
      <c r="DK18" s="20">
        <f>DI$6*'2008A'!$F18</f>
        <v>140.88029269999998</v>
      </c>
    </row>
    <row r="19" spans="1:115" ht="12">
      <c r="A19" s="52">
        <v>43922</v>
      </c>
      <c r="C19" s="35">
        <v>4720000</v>
      </c>
      <c r="D19" s="35">
        <v>94400</v>
      </c>
      <c r="E19" s="35">
        <f t="shared" si="0"/>
        <v>4814400</v>
      </c>
      <c r="G19" s="71">
        <f t="shared" si="42"/>
        <v>478223.7920000001</v>
      </c>
      <c r="H19" s="51">
        <f t="shared" si="1"/>
        <v>9564.47584</v>
      </c>
      <c r="I19" s="51">
        <f t="shared" si="2"/>
        <v>487788.2678400001</v>
      </c>
      <c r="J19" s="51">
        <f t="shared" si="3"/>
        <v>5097.237447400002</v>
      </c>
      <c r="L19" s="33">
        <f t="shared" si="43"/>
        <v>47790</v>
      </c>
      <c r="M19" s="33">
        <f t="shared" si="4"/>
        <v>955.8</v>
      </c>
      <c r="N19" s="33">
        <f t="shared" si="5"/>
        <v>48745.8</v>
      </c>
      <c r="O19" s="20">
        <f>M$6*'2008A'!$F19</f>
        <v>509.378625</v>
      </c>
      <c r="P19" s="20"/>
      <c r="Q19" s="20">
        <f t="shared" si="62"/>
        <v>6148.036835891383</v>
      </c>
      <c r="R19" s="20">
        <f t="shared" si="63"/>
        <v>122.96073671782766</v>
      </c>
      <c r="S19" s="20">
        <f t="shared" si="64"/>
        <v>6270.997572609211</v>
      </c>
      <c r="T19" s="20">
        <f>$R$6*'2008A'!F19</f>
        <v>65.52999685950415</v>
      </c>
      <c r="V19" s="33">
        <f t="shared" si="44"/>
        <v>112167.96800000001</v>
      </c>
      <c r="W19" s="51">
        <f t="shared" si="6"/>
        <v>2243.3593600000004</v>
      </c>
      <c r="X19" s="51">
        <f t="shared" si="7"/>
        <v>114411.32736000001</v>
      </c>
      <c r="Y19" s="20">
        <f>W$6*'2008A'!$F19</f>
        <v>1195.5631996</v>
      </c>
      <c r="AA19" s="33">
        <f t="shared" si="45"/>
        <v>3245.472</v>
      </c>
      <c r="AB19" s="33">
        <f t="shared" si="8"/>
        <v>64.90944</v>
      </c>
      <c r="AC19" s="33">
        <f t="shared" si="9"/>
        <v>3310.38144</v>
      </c>
      <c r="AD19" s="20">
        <f>AB$6*'2008A'!$F19</f>
        <v>34.5924684</v>
      </c>
      <c r="AF19" s="33">
        <f t="shared" si="46"/>
        <v>2367.552</v>
      </c>
      <c r="AG19" s="33">
        <f t="shared" si="10"/>
        <v>47.351040000000005</v>
      </c>
      <c r="AH19" s="33">
        <f t="shared" si="11"/>
        <v>2414.90304</v>
      </c>
      <c r="AI19" s="20">
        <f>AG$6*'2008A'!$F19</f>
        <v>25.2349944</v>
      </c>
      <c r="AK19" s="33">
        <f t="shared" si="47"/>
        <v>33040</v>
      </c>
      <c r="AL19" s="33">
        <f t="shared" si="12"/>
        <v>660.8</v>
      </c>
      <c r="AM19" s="33">
        <f t="shared" si="13"/>
        <v>33700.8</v>
      </c>
      <c r="AN19" s="20">
        <f>AL$6*'2008A'!$F19</f>
        <v>352.163</v>
      </c>
      <c r="AP19" s="33">
        <f t="shared" si="48"/>
        <v>24438.744</v>
      </c>
      <c r="AQ19" s="33">
        <f t="shared" si="14"/>
        <v>488.77488</v>
      </c>
      <c r="AR19" s="33">
        <f t="shared" si="15"/>
        <v>24927.51888</v>
      </c>
      <c r="AS19" s="20">
        <f>AQ$6*'2008A'!$F19</f>
        <v>260.4849093</v>
      </c>
      <c r="AT19" s="20"/>
      <c r="AU19" s="20">
        <f t="shared" si="65"/>
        <v>8483.491164108616</v>
      </c>
      <c r="AV19" s="20">
        <f t="shared" si="66"/>
        <v>169.66982328217236</v>
      </c>
      <c r="AW19" s="20">
        <f t="shared" si="67"/>
        <v>8653.16098739079</v>
      </c>
      <c r="AX19" s="20">
        <f>$AV$6*'2008A'!F19</f>
        <v>90.42287224049585</v>
      </c>
      <c r="AZ19" s="51">
        <f t="shared" si="49"/>
        <v>12926.192</v>
      </c>
      <c r="BA19" s="51">
        <f t="shared" si="16"/>
        <v>258.52384</v>
      </c>
      <c r="BB19" s="33">
        <f t="shared" si="17"/>
        <v>13184.715839999999</v>
      </c>
      <c r="BC19" s="20">
        <f>BA$6*'2008A'!$F19</f>
        <v>137.77622739999998</v>
      </c>
      <c r="BE19" s="51">
        <f t="shared" si="50"/>
        <v>36855.648</v>
      </c>
      <c r="BF19" s="51">
        <f t="shared" si="18"/>
        <v>737.11296</v>
      </c>
      <c r="BG19" s="33">
        <f t="shared" si="19"/>
        <v>37592.76096</v>
      </c>
      <c r="BH19" s="20">
        <f>BF$6*'2008A'!$F19</f>
        <v>392.8327956</v>
      </c>
      <c r="BJ19" s="33">
        <f t="shared" si="51"/>
        <v>17317.208</v>
      </c>
      <c r="BK19" s="33">
        <f t="shared" si="20"/>
        <v>346.34416</v>
      </c>
      <c r="BL19" s="33">
        <f t="shared" si="21"/>
        <v>17663.55216</v>
      </c>
      <c r="BM19" s="20">
        <f>BK$6*'2008A'!$F19</f>
        <v>184.57869010000002</v>
      </c>
      <c r="BO19" s="33">
        <f t="shared" si="52"/>
        <v>12533.015999999998</v>
      </c>
      <c r="BP19" s="33">
        <f t="shared" si="22"/>
        <v>250.66031999999998</v>
      </c>
      <c r="BQ19" s="33">
        <f t="shared" si="23"/>
        <v>12783.676319999999</v>
      </c>
      <c r="BR19" s="20">
        <f>BP$6*'2008A'!$F19</f>
        <v>133.58548770000002</v>
      </c>
      <c r="BT19" s="33">
        <f t="shared" si="53"/>
        <v>18039.368</v>
      </c>
      <c r="BU19" s="33">
        <f t="shared" si="24"/>
        <v>360.78736</v>
      </c>
      <c r="BV19" s="33">
        <f t="shared" si="25"/>
        <v>18400.155359999997</v>
      </c>
      <c r="BW19" s="20">
        <f>BU$6*'2008A'!$F19</f>
        <v>192.2759671</v>
      </c>
      <c r="BY19" s="33">
        <f t="shared" si="54"/>
        <v>3710.3920000000003</v>
      </c>
      <c r="BZ19" s="33">
        <f t="shared" si="26"/>
        <v>74.20783999999999</v>
      </c>
      <c r="CA19" s="33">
        <f t="shared" si="27"/>
        <v>3784.5998400000003</v>
      </c>
      <c r="CB19" s="20">
        <f>BZ$6*'2008A'!$F19</f>
        <v>39.5479049</v>
      </c>
      <c r="CD19" s="33">
        <f t="shared" si="55"/>
        <v>14076.456</v>
      </c>
      <c r="CE19" s="33">
        <f t="shared" si="28"/>
        <v>281.52912</v>
      </c>
      <c r="CF19" s="33">
        <f t="shared" si="29"/>
        <v>14357.98512</v>
      </c>
      <c r="CG19" s="20">
        <f>CE$6*'2008A'!$F19</f>
        <v>150.0365307</v>
      </c>
      <c r="CI19" s="33">
        <f t="shared" si="56"/>
        <v>3511.208</v>
      </c>
      <c r="CJ19" s="33">
        <f t="shared" si="30"/>
        <v>70.22416</v>
      </c>
      <c r="CK19" s="33">
        <f t="shared" si="31"/>
        <v>3581.4321600000003</v>
      </c>
      <c r="CL19" s="20">
        <f>CJ$6*'2008A'!$F19</f>
        <v>37.4248651</v>
      </c>
      <c r="CN19" s="33">
        <f t="shared" si="57"/>
        <v>14108.552</v>
      </c>
      <c r="CO19" s="33">
        <f t="shared" si="32"/>
        <v>282.17104</v>
      </c>
      <c r="CP19" s="33">
        <f t="shared" si="33"/>
        <v>14390.723039999999</v>
      </c>
      <c r="CQ19" s="20">
        <f>CO$6*'2008A'!$F19</f>
        <v>150.37863190000002</v>
      </c>
      <c r="CS19" s="33">
        <f t="shared" si="58"/>
        <v>78962.296</v>
      </c>
      <c r="CT19" s="33">
        <f t="shared" si="34"/>
        <v>1579.24592</v>
      </c>
      <c r="CU19" s="33">
        <f t="shared" si="35"/>
        <v>80541.54192</v>
      </c>
      <c r="CV19" s="20">
        <f>CT$6*'2008A'!$F19</f>
        <v>841.6343536999999</v>
      </c>
      <c r="CX19" s="33">
        <f t="shared" si="59"/>
        <v>229.39199999999997</v>
      </c>
      <c r="CY19" s="33">
        <f t="shared" si="36"/>
        <v>4.58784</v>
      </c>
      <c r="CZ19" s="33">
        <f t="shared" si="37"/>
        <v>233.97983999999997</v>
      </c>
      <c r="DA19" s="20">
        <f>CY$6*'2008A'!$F19</f>
        <v>2.4450174000000002</v>
      </c>
      <c r="DC19" s="33">
        <f t="shared" si="60"/>
        <v>15055.383999999998</v>
      </c>
      <c r="DD19" s="33">
        <f t="shared" si="38"/>
        <v>301.10767999999996</v>
      </c>
      <c r="DE19" s="33">
        <f t="shared" si="39"/>
        <v>15356.491679999997</v>
      </c>
      <c r="DF19" s="20">
        <f>DD$6*'2008A'!$F19</f>
        <v>160.47061730000001</v>
      </c>
      <c r="DH19" s="33">
        <f t="shared" si="61"/>
        <v>13217.416000000001</v>
      </c>
      <c r="DI19" s="33">
        <f t="shared" si="40"/>
        <v>264.34832</v>
      </c>
      <c r="DJ19" s="33">
        <f t="shared" si="41"/>
        <v>13481.76432</v>
      </c>
      <c r="DK19" s="20">
        <f>DI$6*'2008A'!$F19</f>
        <v>140.88029269999998</v>
      </c>
    </row>
    <row r="20" spans="1:115" ht="12">
      <c r="A20" s="52">
        <v>44105</v>
      </c>
      <c r="E20" s="35">
        <f t="shared" si="0"/>
        <v>0</v>
      </c>
      <c r="G20" s="71"/>
      <c r="H20" s="51">
        <f t="shared" si="1"/>
        <v>0</v>
      </c>
      <c r="I20" s="51">
        <f t="shared" si="2"/>
        <v>0</v>
      </c>
      <c r="J20" s="51">
        <f t="shared" si="3"/>
        <v>0</v>
      </c>
      <c r="M20" s="33">
        <f t="shared" si="4"/>
        <v>0</v>
      </c>
      <c r="N20" s="33">
        <f t="shared" si="5"/>
        <v>0</v>
      </c>
      <c r="O20" s="20">
        <f>M$6*'2008A'!$F20</f>
        <v>0</v>
      </c>
      <c r="P20" s="20"/>
      <c r="Q20" s="20">
        <f t="shared" si="62"/>
        <v>0</v>
      </c>
      <c r="R20" s="20">
        <f t="shared" si="63"/>
        <v>0</v>
      </c>
      <c r="S20" s="20">
        <f t="shared" si="64"/>
        <v>0</v>
      </c>
      <c r="T20" s="20">
        <f>$R$6*'2008A'!F20</f>
        <v>0</v>
      </c>
      <c r="W20" s="51">
        <f t="shared" si="6"/>
        <v>0</v>
      </c>
      <c r="X20" s="51">
        <f t="shared" si="7"/>
        <v>0</v>
      </c>
      <c r="Y20" s="20">
        <f>W$6*'2008A'!$F20</f>
        <v>0</v>
      </c>
      <c r="AB20" s="33">
        <f t="shared" si="8"/>
        <v>0</v>
      </c>
      <c r="AC20" s="33">
        <f t="shared" si="9"/>
        <v>0</v>
      </c>
      <c r="AD20" s="20">
        <f>AB$6*'2008A'!$F20</f>
        <v>0</v>
      </c>
      <c r="AG20" s="33">
        <f t="shared" si="10"/>
        <v>0</v>
      </c>
      <c r="AH20" s="33">
        <f t="shared" si="11"/>
        <v>0</v>
      </c>
      <c r="AI20" s="20">
        <f>AG$6*'2008A'!$F20</f>
        <v>0</v>
      </c>
      <c r="AL20" s="33">
        <f t="shared" si="12"/>
        <v>0</v>
      </c>
      <c r="AM20" s="33">
        <f t="shared" si="13"/>
        <v>0</v>
      </c>
      <c r="AN20" s="20">
        <f>AL$6*'2008A'!$F20</f>
        <v>0</v>
      </c>
      <c r="AQ20" s="33">
        <f t="shared" si="14"/>
        <v>0</v>
      </c>
      <c r="AR20" s="33">
        <f t="shared" si="15"/>
        <v>0</v>
      </c>
      <c r="AS20" s="20">
        <f>AQ$6*'2008A'!$F20</f>
        <v>0</v>
      </c>
      <c r="AT20" s="20"/>
      <c r="AU20" s="20">
        <f t="shared" si="65"/>
        <v>0</v>
      </c>
      <c r="AV20" s="20">
        <f t="shared" si="66"/>
        <v>0</v>
      </c>
      <c r="AW20" s="20">
        <f t="shared" si="67"/>
        <v>0</v>
      </c>
      <c r="AX20" s="20">
        <f>$AV$6*'2008A'!F20</f>
        <v>0</v>
      </c>
      <c r="AZ20" s="51"/>
      <c r="BA20" s="51">
        <f t="shared" si="16"/>
        <v>0</v>
      </c>
      <c r="BB20" s="33">
        <f t="shared" si="17"/>
        <v>0</v>
      </c>
      <c r="BC20" s="20">
        <f>BA$6*'2008A'!$F20</f>
        <v>0</v>
      </c>
      <c r="BE20" s="51"/>
      <c r="BF20" s="51">
        <f t="shared" si="18"/>
        <v>0</v>
      </c>
      <c r="BG20" s="33">
        <f t="shared" si="19"/>
        <v>0</v>
      </c>
      <c r="BH20" s="20">
        <f>BF$6*'2008A'!$F20</f>
        <v>0</v>
      </c>
      <c r="BK20" s="33">
        <f t="shared" si="20"/>
        <v>0</v>
      </c>
      <c r="BL20" s="33">
        <f t="shared" si="21"/>
        <v>0</v>
      </c>
      <c r="BM20" s="20">
        <f>BK$6*'2008A'!$F20</f>
        <v>0</v>
      </c>
      <c r="BP20" s="33">
        <f t="shared" si="22"/>
        <v>0</v>
      </c>
      <c r="BQ20" s="33">
        <f t="shared" si="23"/>
        <v>0</v>
      </c>
      <c r="BR20" s="20">
        <f>BP$6*'2008A'!$F20</f>
        <v>0</v>
      </c>
      <c r="BU20" s="33">
        <f t="shared" si="24"/>
        <v>0</v>
      </c>
      <c r="BV20" s="33">
        <f t="shared" si="25"/>
        <v>0</v>
      </c>
      <c r="BW20" s="20">
        <f>BU$6*'2008A'!$F20</f>
        <v>0</v>
      </c>
      <c r="BZ20" s="33">
        <f t="shared" si="26"/>
        <v>0</v>
      </c>
      <c r="CA20" s="33">
        <f t="shared" si="27"/>
        <v>0</v>
      </c>
      <c r="CB20" s="20">
        <f>BZ$6*'2008A'!$F20</f>
        <v>0</v>
      </c>
      <c r="CE20" s="33">
        <f t="shared" si="28"/>
        <v>0</v>
      </c>
      <c r="CF20" s="33">
        <f t="shared" si="29"/>
        <v>0</v>
      </c>
      <c r="CG20" s="20">
        <f>CE$6*'2008A'!$F20</f>
        <v>0</v>
      </c>
      <c r="CJ20" s="33">
        <f t="shared" si="30"/>
        <v>0</v>
      </c>
      <c r="CK20" s="33">
        <f t="shared" si="31"/>
        <v>0</v>
      </c>
      <c r="CL20" s="20">
        <f>CJ$6*'2008A'!$F20</f>
        <v>0</v>
      </c>
      <c r="CO20" s="33">
        <f t="shared" si="32"/>
        <v>0</v>
      </c>
      <c r="CP20" s="33">
        <f t="shared" si="33"/>
        <v>0</v>
      </c>
      <c r="CQ20" s="20">
        <f>CO$6*'2008A'!$F20</f>
        <v>0</v>
      </c>
      <c r="CT20" s="33">
        <f t="shared" si="34"/>
        <v>0</v>
      </c>
      <c r="CU20" s="33">
        <f t="shared" si="35"/>
        <v>0</v>
      </c>
      <c r="CV20" s="20">
        <f>CT$6*'2008A'!$F20</f>
        <v>0</v>
      </c>
      <c r="CY20" s="33">
        <f t="shared" si="36"/>
        <v>0</v>
      </c>
      <c r="CZ20" s="33">
        <f t="shared" si="37"/>
        <v>0</v>
      </c>
      <c r="DA20" s="20">
        <f>CY$6*'2008A'!$F20</f>
        <v>0</v>
      </c>
      <c r="DD20" s="33">
        <f t="shared" si="38"/>
        <v>0</v>
      </c>
      <c r="DE20" s="33">
        <f t="shared" si="39"/>
        <v>0</v>
      </c>
      <c r="DF20" s="20">
        <f>DD$6*'2008A'!$F20</f>
        <v>0</v>
      </c>
      <c r="DI20" s="33">
        <f t="shared" si="40"/>
        <v>0</v>
      </c>
      <c r="DJ20" s="33">
        <f t="shared" si="41"/>
        <v>0</v>
      </c>
      <c r="DK20" s="20">
        <f>DI$6*'2008A'!$F20</f>
        <v>0</v>
      </c>
    </row>
    <row r="21" spans="1:115" ht="12">
      <c r="A21" s="52">
        <v>44287</v>
      </c>
      <c r="E21" s="35">
        <f t="shared" si="0"/>
        <v>0</v>
      </c>
      <c r="G21" s="71">
        <f t="shared" si="42"/>
        <v>0</v>
      </c>
      <c r="H21" s="51">
        <f t="shared" si="1"/>
        <v>0</v>
      </c>
      <c r="I21" s="51">
        <f t="shared" si="2"/>
        <v>0</v>
      </c>
      <c r="J21" s="51">
        <f t="shared" si="3"/>
        <v>0</v>
      </c>
      <c r="L21" s="33">
        <f t="shared" si="43"/>
        <v>0</v>
      </c>
      <c r="M21" s="33">
        <f t="shared" si="4"/>
        <v>0</v>
      </c>
      <c r="N21" s="33">
        <f t="shared" si="5"/>
        <v>0</v>
      </c>
      <c r="O21" s="20">
        <f>M$6*'2008A'!$F21</f>
        <v>0</v>
      </c>
      <c r="P21" s="20"/>
      <c r="Q21" s="20">
        <f t="shared" si="62"/>
        <v>0</v>
      </c>
      <c r="R21" s="20">
        <f t="shared" si="63"/>
        <v>0</v>
      </c>
      <c r="S21" s="20">
        <f t="shared" si="64"/>
        <v>0</v>
      </c>
      <c r="T21" s="20">
        <f>$R$6*'2008A'!F21</f>
        <v>0</v>
      </c>
      <c r="V21" s="33">
        <f t="shared" si="44"/>
        <v>0</v>
      </c>
      <c r="W21" s="51">
        <f t="shared" si="6"/>
        <v>0</v>
      </c>
      <c r="X21" s="51">
        <f t="shared" si="7"/>
        <v>0</v>
      </c>
      <c r="Y21" s="20">
        <f>W$6*'2008A'!$F21</f>
        <v>0</v>
      </c>
      <c r="AA21" s="33">
        <f t="shared" si="45"/>
        <v>0</v>
      </c>
      <c r="AB21" s="33">
        <f t="shared" si="8"/>
        <v>0</v>
      </c>
      <c r="AC21" s="33">
        <f t="shared" si="9"/>
        <v>0</v>
      </c>
      <c r="AD21" s="20">
        <f>AB$6*'2008A'!$F21</f>
        <v>0</v>
      </c>
      <c r="AF21" s="33">
        <f t="shared" si="46"/>
        <v>0</v>
      </c>
      <c r="AG21" s="33">
        <f t="shared" si="10"/>
        <v>0</v>
      </c>
      <c r="AH21" s="33">
        <f t="shared" si="11"/>
        <v>0</v>
      </c>
      <c r="AI21" s="20">
        <f>AG$6*'2008A'!$F21</f>
        <v>0</v>
      </c>
      <c r="AK21" s="33">
        <f t="shared" si="47"/>
        <v>0</v>
      </c>
      <c r="AL21" s="33">
        <f t="shared" si="12"/>
        <v>0</v>
      </c>
      <c r="AM21" s="33">
        <f t="shared" si="13"/>
        <v>0</v>
      </c>
      <c r="AN21" s="20">
        <f>AL$6*'2008A'!$F21</f>
        <v>0</v>
      </c>
      <c r="AP21" s="33">
        <f t="shared" si="48"/>
        <v>0</v>
      </c>
      <c r="AQ21" s="33">
        <f t="shared" si="14"/>
        <v>0</v>
      </c>
      <c r="AR21" s="33">
        <f t="shared" si="15"/>
        <v>0</v>
      </c>
      <c r="AS21" s="20">
        <f>AQ$6*'2008A'!$F21</f>
        <v>0</v>
      </c>
      <c r="AT21" s="20"/>
      <c r="AU21" s="20">
        <f t="shared" si="65"/>
        <v>0</v>
      </c>
      <c r="AV21" s="20">
        <f t="shared" si="66"/>
        <v>0</v>
      </c>
      <c r="AW21" s="20">
        <f t="shared" si="67"/>
        <v>0</v>
      </c>
      <c r="AX21" s="20">
        <f>$AV$6*'2008A'!F21</f>
        <v>0</v>
      </c>
      <c r="AZ21" s="51">
        <f t="shared" si="49"/>
        <v>0</v>
      </c>
      <c r="BA21" s="51">
        <f t="shared" si="16"/>
        <v>0</v>
      </c>
      <c r="BB21" s="33">
        <f t="shared" si="17"/>
        <v>0</v>
      </c>
      <c r="BC21" s="20">
        <f>BA$6*'2008A'!$F21</f>
        <v>0</v>
      </c>
      <c r="BE21" s="51">
        <f t="shared" si="50"/>
        <v>0</v>
      </c>
      <c r="BF21" s="51">
        <f t="shared" si="18"/>
        <v>0</v>
      </c>
      <c r="BG21" s="33">
        <f t="shared" si="19"/>
        <v>0</v>
      </c>
      <c r="BH21" s="20">
        <f>BF$6*'2008A'!$F21</f>
        <v>0</v>
      </c>
      <c r="BJ21" s="33">
        <f t="shared" si="51"/>
        <v>0</v>
      </c>
      <c r="BK21" s="33">
        <f t="shared" si="20"/>
        <v>0</v>
      </c>
      <c r="BL21" s="33">
        <f t="shared" si="21"/>
        <v>0</v>
      </c>
      <c r="BM21" s="20">
        <f>BK$6*'2008A'!$F21</f>
        <v>0</v>
      </c>
      <c r="BO21" s="33">
        <f t="shared" si="52"/>
        <v>0</v>
      </c>
      <c r="BP21" s="33">
        <f t="shared" si="22"/>
        <v>0</v>
      </c>
      <c r="BQ21" s="33">
        <f t="shared" si="23"/>
        <v>0</v>
      </c>
      <c r="BR21" s="20">
        <f>BP$6*'2008A'!$F21</f>
        <v>0</v>
      </c>
      <c r="BT21" s="33">
        <f t="shared" si="53"/>
        <v>0</v>
      </c>
      <c r="BU21" s="33">
        <f t="shared" si="24"/>
        <v>0</v>
      </c>
      <c r="BV21" s="33">
        <f t="shared" si="25"/>
        <v>0</v>
      </c>
      <c r="BW21" s="20">
        <f>BU$6*'2008A'!$F21</f>
        <v>0</v>
      </c>
      <c r="BY21" s="33">
        <f t="shared" si="54"/>
        <v>0</v>
      </c>
      <c r="BZ21" s="33">
        <f t="shared" si="26"/>
        <v>0</v>
      </c>
      <c r="CA21" s="33">
        <f t="shared" si="27"/>
        <v>0</v>
      </c>
      <c r="CB21" s="20">
        <f>BZ$6*'2008A'!$F21</f>
        <v>0</v>
      </c>
      <c r="CD21" s="33">
        <f t="shared" si="55"/>
        <v>0</v>
      </c>
      <c r="CE21" s="33">
        <f t="shared" si="28"/>
        <v>0</v>
      </c>
      <c r="CF21" s="33">
        <f t="shared" si="29"/>
        <v>0</v>
      </c>
      <c r="CG21" s="20">
        <f>CE$6*'2008A'!$F21</f>
        <v>0</v>
      </c>
      <c r="CI21" s="33">
        <f t="shared" si="56"/>
        <v>0</v>
      </c>
      <c r="CJ21" s="33">
        <f t="shared" si="30"/>
        <v>0</v>
      </c>
      <c r="CK21" s="33">
        <f t="shared" si="31"/>
        <v>0</v>
      </c>
      <c r="CL21" s="20">
        <f>CJ$6*'2008A'!$F21</f>
        <v>0</v>
      </c>
      <c r="CN21" s="33">
        <f t="shared" si="57"/>
        <v>0</v>
      </c>
      <c r="CO21" s="33">
        <f t="shared" si="32"/>
        <v>0</v>
      </c>
      <c r="CP21" s="33">
        <f t="shared" si="33"/>
        <v>0</v>
      </c>
      <c r="CQ21" s="20">
        <f>CO$6*'2008A'!$F21</f>
        <v>0</v>
      </c>
      <c r="CS21" s="33">
        <f t="shared" si="58"/>
        <v>0</v>
      </c>
      <c r="CT21" s="33">
        <f t="shared" si="34"/>
        <v>0</v>
      </c>
      <c r="CU21" s="33">
        <f t="shared" si="35"/>
        <v>0</v>
      </c>
      <c r="CV21" s="20">
        <f>CT$6*'2008A'!$F21</f>
        <v>0</v>
      </c>
      <c r="CX21" s="33">
        <f t="shared" si="59"/>
        <v>0</v>
      </c>
      <c r="CY21" s="33">
        <f t="shared" si="36"/>
        <v>0</v>
      </c>
      <c r="CZ21" s="33">
        <f t="shared" si="37"/>
        <v>0</v>
      </c>
      <c r="DA21" s="20">
        <f>CY$6*'2008A'!$F21</f>
        <v>0</v>
      </c>
      <c r="DC21" s="33">
        <f t="shared" si="60"/>
        <v>0</v>
      </c>
      <c r="DD21" s="33">
        <f t="shared" si="38"/>
        <v>0</v>
      </c>
      <c r="DE21" s="33">
        <f t="shared" si="39"/>
        <v>0</v>
      </c>
      <c r="DF21" s="20">
        <f>DD$6*'2008A'!$F21</f>
        <v>0</v>
      </c>
      <c r="DH21" s="33">
        <f t="shared" si="61"/>
        <v>0</v>
      </c>
      <c r="DI21" s="33">
        <f t="shared" si="40"/>
        <v>0</v>
      </c>
      <c r="DJ21" s="33">
        <f t="shared" si="41"/>
        <v>0</v>
      </c>
      <c r="DK21" s="20">
        <f>DI$6*'2008A'!$F21</f>
        <v>0</v>
      </c>
    </row>
    <row r="22" spans="1:115" ht="12">
      <c r="A22" s="52">
        <v>44470</v>
      </c>
      <c r="E22" s="35">
        <f t="shared" si="0"/>
        <v>0</v>
      </c>
      <c r="G22" s="71"/>
      <c r="H22" s="51">
        <f t="shared" si="1"/>
        <v>0</v>
      </c>
      <c r="I22" s="51">
        <f t="shared" si="2"/>
        <v>0</v>
      </c>
      <c r="J22" s="51">
        <f t="shared" si="3"/>
        <v>0</v>
      </c>
      <c r="M22" s="33">
        <f t="shared" si="4"/>
        <v>0</v>
      </c>
      <c r="N22" s="33">
        <f t="shared" si="5"/>
        <v>0</v>
      </c>
      <c r="O22" s="20">
        <f>M$6*'2008A'!$F22</f>
        <v>0</v>
      </c>
      <c r="P22" s="20"/>
      <c r="Q22" s="20">
        <f t="shared" si="62"/>
        <v>0</v>
      </c>
      <c r="R22" s="20">
        <f t="shared" si="63"/>
        <v>0</v>
      </c>
      <c r="S22" s="20">
        <f t="shared" si="64"/>
        <v>0</v>
      </c>
      <c r="T22" s="20">
        <f>$R$6*'2008A'!F22</f>
        <v>0</v>
      </c>
      <c r="W22" s="51">
        <f t="shared" si="6"/>
        <v>0</v>
      </c>
      <c r="X22" s="51">
        <f t="shared" si="7"/>
        <v>0</v>
      </c>
      <c r="Y22" s="20">
        <f>W$6*'2008A'!$F22</f>
        <v>0</v>
      </c>
      <c r="AB22" s="33">
        <f t="shared" si="8"/>
        <v>0</v>
      </c>
      <c r="AC22" s="33">
        <f t="shared" si="9"/>
        <v>0</v>
      </c>
      <c r="AD22" s="20">
        <f>AB$6*'2008A'!$F22</f>
        <v>0</v>
      </c>
      <c r="AG22" s="33">
        <f t="shared" si="10"/>
        <v>0</v>
      </c>
      <c r="AH22" s="33">
        <f t="shared" si="11"/>
        <v>0</v>
      </c>
      <c r="AI22" s="20">
        <f>AG$6*'2008A'!$F22</f>
        <v>0</v>
      </c>
      <c r="AL22" s="33">
        <f t="shared" si="12"/>
        <v>0</v>
      </c>
      <c r="AM22" s="33">
        <f t="shared" si="13"/>
        <v>0</v>
      </c>
      <c r="AN22" s="20">
        <f>AL$6*'2008A'!$F22</f>
        <v>0</v>
      </c>
      <c r="AQ22" s="33">
        <f t="shared" si="14"/>
        <v>0</v>
      </c>
      <c r="AR22" s="33">
        <f t="shared" si="15"/>
        <v>0</v>
      </c>
      <c r="AS22" s="20">
        <f>AQ$6*'2008A'!$F22</f>
        <v>0</v>
      </c>
      <c r="AT22" s="20"/>
      <c r="AU22" s="20">
        <f t="shared" si="65"/>
        <v>0</v>
      </c>
      <c r="AV22" s="20">
        <f t="shared" si="66"/>
        <v>0</v>
      </c>
      <c r="AW22" s="20">
        <f t="shared" si="67"/>
        <v>0</v>
      </c>
      <c r="AX22" s="20">
        <f>$AV$6*'2008A'!F22</f>
        <v>0</v>
      </c>
      <c r="AZ22" s="51"/>
      <c r="BA22" s="51">
        <f t="shared" si="16"/>
        <v>0</v>
      </c>
      <c r="BB22" s="33">
        <f t="shared" si="17"/>
        <v>0</v>
      </c>
      <c r="BC22" s="20">
        <f>BA$6*'2008A'!$F22</f>
        <v>0</v>
      </c>
      <c r="BE22" s="51"/>
      <c r="BF22" s="51">
        <f t="shared" si="18"/>
        <v>0</v>
      </c>
      <c r="BG22" s="33">
        <f t="shared" si="19"/>
        <v>0</v>
      </c>
      <c r="BH22" s="20">
        <f>BF$6*'2008A'!$F22</f>
        <v>0</v>
      </c>
      <c r="BK22" s="33">
        <f t="shared" si="20"/>
        <v>0</v>
      </c>
      <c r="BL22" s="33">
        <f t="shared" si="21"/>
        <v>0</v>
      </c>
      <c r="BM22" s="20">
        <f>BK$6*'2008A'!$F22</f>
        <v>0</v>
      </c>
      <c r="BP22" s="33">
        <f t="shared" si="22"/>
        <v>0</v>
      </c>
      <c r="BQ22" s="33">
        <f t="shared" si="23"/>
        <v>0</v>
      </c>
      <c r="BR22" s="20">
        <f>BP$6*'2008A'!$F22</f>
        <v>0</v>
      </c>
      <c r="BU22" s="33">
        <f t="shared" si="24"/>
        <v>0</v>
      </c>
      <c r="BV22" s="33">
        <f t="shared" si="25"/>
        <v>0</v>
      </c>
      <c r="BW22" s="20">
        <f>BU$6*'2008A'!$F22</f>
        <v>0</v>
      </c>
      <c r="BZ22" s="33">
        <f t="shared" si="26"/>
        <v>0</v>
      </c>
      <c r="CA22" s="33">
        <f t="shared" si="27"/>
        <v>0</v>
      </c>
      <c r="CB22" s="20">
        <f>BZ$6*'2008A'!$F22</f>
        <v>0</v>
      </c>
      <c r="CE22" s="33">
        <f t="shared" si="28"/>
        <v>0</v>
      </c>
      <c r="CF22" s="33">
        <f t="shared" si="29"/>
        <v>0</v>
      </c>
      <c r="CG22" s="20">
        <f>CE$6*'2008A'!$F22</f>
        <v>0</v>
      </c>
      <c r="CJ22" s="33">
        <f t="shared" si="30"/>
        <v>0</v>
      </c>
      <c r="CK22" s="33">
        <f t="shared" si="31"/>
        <v>0</v>
      </c>
      <c r="CL22" s="20">
        <f>CJ$6*'2008A'!$F22</f>
        <v>0</v>
      </c>
      <c r="CO22" s="33">
        <f t="shared" si="32"/>
        <v>0</v>
      </c>
      <c r="CP22" s="33">
        <f t="shared" si="33"/>
        <v>0</v>
      </c>
      <c r="CQ22" s="20">
        <f>CO$6*'2008A'!$F22</f>
        <v>0</v>
      </c>
      <c r="CT22" s="33">
        <f t="shared" si="34"/>
        <v>0</v>
      </c>
      <c r="CU22" s="33">
        <f t="shared" si="35"/>
        <v>0</v>
      </c>
      <c r="CV22" s="20">
        <f>CT$6*'2008A'!$F22</f>
        <v>0</v>
      </c>
      <c r="CY22" s="33">
        <f t="shared" si="36"/>
        <v>0</v>
      </c>
      <c r="CZ22" s="33">
        <f t="shared" si="37"/>
        <v>0</v>
      </c>
      <c r="DA22" s="20">
        <f>CY$6*'2008A'!$F22</f>
        <v>0</v>
      </c>
      <c r="DD22" s="33">
        <f t="shared" si="38"/>
        <v>0</v>
      </c>
      <c r="DE22" s="33">
        <f t="shared" si="39"/>
        <v>0</v>
      </c>
      <c r="DF22" s="20">
        <f>DD$6*'2008A'!$F22</f>
        <v>0</v>
      </c>
      <c r="DI22" s="33">
        <f t="shared" si="40"/>
        <v>0</v>
      </c>
      <c r="DJ22" s="33">
        <f t="shared" si="41"/>
        <v>0</v>
      </c>
      <c r="DK22" s="20">
        <f>DI$6*'2008A'!$F22</f>
        <v>0</v>
      </c>
    </row>
    <row r="23" spans="1:115" ht="12">
      <c r="A23" s="52">
        <v>44652</v>
      </c>
      <c r="B23" s="53"/>
      <c r="C23" s="41"/>
      <c r="D23" s="41"/>
      <c r="E23" s="35">
        <f t="shared" si="0"/>
        <v>0</v>
      </c>
      <c r="G23" s="71">
        <f t="shared" si="42"/>
        <v>0</v>
      </c>
      <c r="H23" s="51">
        <f t="shared" si="1"/>
        <v>0</v>
      </c>
      <c r="I23" s="51">
        <f t="shared" si="2"/>
        <v>0</v>
      </c>
      <c r="J23" s="51">
        <f t="shared" si="3"/>
        <v>0</v>
      </c>
      <c r="L23" s="33">
        <f t="shared" si="43"/>
        <v>0</v>
      </c>
      <c r="M23" s="33">
        <f t="shared" si="4"/>
        <v>0</v>
      </c>
      <c r="N23" s="33">
        <f t="shared" si="5"/>
        <v>0</v>
      </c>
      <c r="O23" s="20">
        <f>M$6*'2008A'!$F23</f>
        <v>0</v>
      </c>
      <c r="P23" s="20"/>
      <c r="Q23" s="20">
        <f t="shared" si="62"/>
        <v>0</v>
      </c>
      <c r="R23" s="20">
        <f t="shared" si="63"/>
        <v>0</v>
      </c>
      <c r="S23" s="20">
        <f t="shared" si="64"/>
        <v>0</v>
      </c>
      <c r="T23" s="20">
        <f>$R$6*'2008A'!F23</f>
        <v>0</v>
      </c>
      <c r="V23" s="33">
        <f t="shared" si="44"/>
        <v>0</v>
      </c>
      <c r="W23" s="51">
        <f t="shared" si="6"/>
        <v>0</v>
      </c>
      <c r="X23" s="51">
        <f t="shared" si="7"/>
        <v>0</v>
      </c>
      <c r="Y23" s="20">
        <f>W$6*'2008A'!$F23</f>
        <v>0</v>
      </c>
      <c r="AA23" s="33">
        <f t="shared" si="45"/>
        <v>0</v>
      </c>
      <c r="AB23" s="33">
        <f t="shared" si="8"/>
        <v>0</v>
      </c>
      <c r="AC23" s="33">
        <f t="shared" si="9"/>
        <v>0</v>
      </c>
      <c r="AD23" s="20">
        <f>AB$6*'2008A'!$F23</f>
        <v>0</v>
      </c>
      <c r="AF23" s="33">
        <f t="shared" si="46"/>
        <v>0</v>
      </c>
      <c r="AG23" s="33">
        <f t="shared" si="10"/>
        <v>0</v>
      </c>
      <c r="AH23" s="33">
        <f t="shared" si="11"/>
        <v>0</v>
      </c>
      <c r="AI23" s="20">
        <f>AG$6*'2008A'!$F23</f>
        <v>0</v>
      </c>
      <c r="AK23" s="33">
        <f t="shared" si="47"/>
        <v>0</v>
      </c>
      <c r="AL23" s="33">
        <f t="shared" si="12"/>
        <v>0</v>
      </c>
      <c r="AM23" s="33">
        <f t="shared" si="13"/>
        <v>0</v>
      </c>
      <c r="AN23" s="20">
        <f>AL$6*'2008A'!$F23</f>
        <v>0</v>
      </c>
      <c r="AP23" s="33">
        <f t="shared" si="48"/>
        <v>0</v>
      </c>
      <c r="AQ23" s="33">
        <f t="shared" si="14"/>
        <v>0</v>
      </c>
      <c r="AR23" s="33">
        <f t="shared" si="15"/>
        <v>0</v>
      </c>
      <c r="AS23" s="20">
        <f>AQ$6*'2008A'!$F23</f>
        <v>0</v>
      </c>
      <c r="AT23" s="20"/>
      <c r="AU23" s="20">
        <f t="shared" si="65"/>
        <v>0</v>
      </c>
      <c r="AV23" s="20">
        <f t="shared" si="66"/>
        <v>0</v>
      </c>
      <c r="AW23" s="20">
        <f t="shared" si="67"/>
        <v>0</v>
      </c>
      <c r="AX23" s="20">
        <f>$AV$6*'2008A'!F23</f>
        <v>0</v>
      </c>
      <c r="AZ23" s="51">
        <f t="shared" si="49"/>
        <v>0</v>
      </c>
      <c r="BA23" s="51">
        <f t="shared" si="16"/>
        <v>0</v>
      </c>
      <c r="BB23" s="33">
        <f t="shared" si="17"/>
        <v>0</v>
      </c>
      <c r="BC23" s="20">
        <f>BA$6*'2008A'!$F23</f>
        <v>0</v>
      </c>
      <c r="BE23" s="51">
        <f t="shared" si="50"/>
        <v>0</v>
      </c>
      <c r="BF23" s="51">
        <f t="shared" si="18"/>
        <v>0</v>
      </c>
      <c r="BG23" s="33">
        <f t="shared" si="19"/>
        <v>0</v>
      </c>
      <c r="BH23" s="20">
        <f>BF$6*'2008A'!$F23</f>
        <v>0</v>
      </c>
      <c r="BJ23" s="33">
        <f t="shared" si="51"/>
        <v>0</v>
      </c>
      <c r="BK23" s="33">
        <f t="shared" si="20"/>
        <v>0</v>
      </c>
      <c r="BL23" s="33">
        <f t="shared" si="21"/>
        <v>0</v>
      </c>
      <c r="BM23" s="20">
        <f>BK$6*'2008A'!$F23</f>
        <v>0</v>
      </c>
      <c r="BO23" s="33">
        <f t="shared" si="52"/>
        <v>0</v>
      </c>
      <c r="BP23" s="33">
        <f t="shared" si="22"/>
        <v>0</v>
      </c>
      <c r="BQ23" s="33">
        <f t="shared" si="23"/>
        <v>0</v>
      </c>
      <c r="BR23" s="20">
        <f>BP$6*'2008A'!$F23</f>
        <v>0</v>
      </c>
      <c r="BT23" s="33">
        <f t="shared" si="53"/>
        <v>0</v>
      </c>
      <c r="BU23" s="33">
        <f t="shared" si="24"/>
        <v>0</v>
      </c>
      <c r="BV23" s="33">
        <f t="shared" si="25"/>
        <v>0</v>
      </c>
      <c r="BW23" s="20">
        <f>BU$6*'2008A'!$F23</f>
        <v>0</v>
      </c>
      <c r="BY23" s="33">
        <f t="shared" si="54"/>
        <v>0</v>
      </c>
      <c r="BZ23" s="33">
        <f t="shared" si="26"/>
        <v>0</v>
      </c>
      <c r="CA23" s="33">
        <f t="shared" si="27"/>
        <v>0</v>
      </c>
      <c r="CB23" s="20">
        <f>BZ$6*'2008A'!$F23</f>
        <v>0</v>
      </c>
      <c r="CD23" s="33">
        <f t="shared" si="55"/>
        <v>0</v>
      </c>
      <c r="CE23" s="33">
        <f t="shared" si="28"/>
        <v>0</v>
      </c>
      <c r="CF23" s="33">
        <f t="shared" si="29"/>
        <v>0</v>
      </c>
      <c r="CG23" s="20">
        <f>CE$6*'2008A'!$F23</f>
        <v>0</v>
      </c>
      <c r="CI23" s="33">
        <f t="shared" si="56"/>
        <v>0</v>
      </c>
      <c r="CJ23" s="33">
        <f t="shared" si="30"/>
        <v>0</v>
      </c>
      <c r="CK23" s="33">
        <f t="shared" si="31"/>
        <v>0</v>
      </c>
      <c r="CL23" s="20">
        <f>CJ$6*'2008A'!$F23</f>
        <v>0</v>
      </c>
      <c r="CN23" s="33">
        <f t="shared" si="57"/>
        <v>0</v>
      </c>
      <c r="CO23" s="33">
        <f t="shared" si="32"/>
        <v>0</v>
      </c>
      <c r="CP23" s="33">
        <f t="shared" si="33"/>
        <v>0</v>
      </c>
      <c r="CQ23" s="20">
        <f>CO$6*'2008A'!$F23</f>
        <v>0</v>
      </c>
      <c r="CS23" s="33">
        <f t="shared" si="58"/>
        <v>0</v>
      </c>
      <c r="CT23" s="33">
        <f t="shared" si="34"/>
        <v>0</v>
      </c>
      <c r="CU23" s="33">
        <f t="shared" si="35"/>
        <v>0</v>
      </c>
      <c r="CV23" s="20">
        <f>CT$6*'2008A'!$F23</f>
        <v>0</v>
      </c>
      <c r="CX23" s="33">
        <f t="shared" si="59"/>
        <v>0</v>
      </c>
      <c r="CY23" s="33">
        <f t="shared" si="36"/>
        <v>0</v>
      </c>
      <c r="CZ23" s="33">
        <f t="shared" si="37"/>
        <v>0</v>
      </c>
      <c r="DA23" s="20">
        <f>CY$6*'2008A'!$F23</f>
        <v>0</v>
      </c>
      <c r="DC23" s="33">
        <f t="shared" si="60"/>
        <v>0</v>
      </c>
      <c r="DD23" s="33">
        <f t="shared" si="38"/>
        <v>0</v>
      </c>
      <c r="DE23" s="33">
        <f t="shared" si="39"/>
        <v>0</v>
      </c>
      <c r="DF23" s="20">
        <f>DD$6*'2008A'!$F23</f>
        <v>0</v>
      </c>
      <c r="DH23" s="33">
        <f t="shared" si="61"/>
        <v>0</v>
      </c>
      <c r="DI23" s="33">
        <f t="shared" si="40"/>
        <v>0</v>
      </c>
      <c r="DJ23" s="33">
        <f t="shared" si="41"/>
        <v>0</v>
      </c>
      <c r="DK23" s="20">
        <f>DI$6*'2008A'!$F23</f>
        <v>0</v>
      </c>
    </row>
    <row r="24" spans="1:115" ht="12">
      <c r="A24" s="52">
        <v>44835</v>
      </c>
      <c r="B24" s="53"/>
      <c r="C24" s="41"/>
      <c r="D24" s="41"/>
      <c r="E24" s="35">
        <f t="shared" si="0"/>
        <v>0</v>
      </c>
      <c r="G24" s="71"/>
      <c r="H24" s="51">
        <f t="shared" si="1"/>
        <v>0</v>
      </c>
      <c r="I24" s="51">
        <f t="shared" si="2"/>
        <v>0</v>
      </c>
      <c r="J24" s="51">
        <f t="shared" si="3"/>
        <v>0</v>
      </c>
      <c r="M24" s="33">
        <f t="shared" si="4"/>
        <v>0</v>
      </c>
      <c r="N24" s="33">
        <f t="shared" si="5"/>
        <v>0</v>
      </c>
      <c r="O24" s="20">
        <f>M$6*'2008A'!$F24</f>
        <v>0</v>
      </c>
      <c r="P24" s="20"/>
      <c r="Q24" s="20">
        <f t="shared" si="62"/>
        <v>0</v>
      </c>
      <c r="R24" s="20">
        <f t="shared" si="63"/>
        <v>0</v>
      </c>
      <c r="S24" s="20">
        <f t="shared" si="64"/>
        <v>0</v>
      </c>
      <c r="T24" s="20">
        <f>$R$6*'2008A'!F24</f>
        <v>0</v>
      </c>
      <c r="W24" s="51">
        <f t="shared" si="6"/>
        <v>0</v>
      </c>
      <c r="X24" s="51">
        <f t="shared" si="7"/>
        <v>0</v>
      </c>
      <c r="Y24" s="20">
        <f>W$6*'2008A'!$F24</f>
        <v>0</v>
      </c>
      <c r="AB24" s="33">
        <f t="shared" si="8"/>
        <v>0</v>
      </c>
      <c r="AC24" s="33">
        <f t="shared" si="9"/>
        <v>0</v>
      </c>
      <c r="AD24" s="20">
        <f>AB$6*'2008A'!$F24</f>
        <v>0</v>
      </c>
      <c r="AG24" s="33">
        <f t="shared" si="10"/>
        <v>0</v>
      </c>
      <c r="AH24" s="33">
        <f t="shared" si="11"/>
        <v>0</v>
      </c>
      <c r="AI24" s="20">
        <f>AG$6*'2008A'!$F24</f>
        <v>0</v>
      </c>
      <c r="AL24" s="33">
        <f t="shared" si="12"/>
        <v>0</v>
      </c>
      <c r="AM24" s="33">
        <f t="shared" si="13"/>
        <v>0</v>
      </c>
      <c r="AN24" s="20">
        <f>AL$6*'2008A'!$F24</f>
        <v>0</v>
      </c>
      <c r="AQ24" s="33">
        <f t="shared" si="14"/>
        <v>0</v>
      </c>
      <c r="AR24" s="33">
        <f t="shared" si="15"/>
        <v>0</v>
      </c>
      <c r="AS24" s="20">
        <f>AQ$6*'2008A'!$F24</f>
        <v>0</v>
      </c>
      <c r="AT24" s="20"/>
      <c r="AU24" s="20">
        <f t="shared" si="65"/>
        <v>0</v>
      </c>
      <c r="AV24" s="20">
        <f t="shared" si="66"/>
        <v>0</v>
      </c>
      <c r="AW24" s="20">
        <f t="shared" si="67"/>
        <v>0</v>
      </c>
      <c r="AX24" s="20">
        <f>$AV$6*'2008A'!F24</f>
        <v>0</v>
      </c>
      <c r="AZ24" s="51"/>
      <c r="BA24" s="51">
        <f t="shared" si="16"/>
        <v>0</v>
      </c>
      <c r="BB24" s="33">
        <f t="shared" si="17"/>
        <v>0</v>
      </c>
      <c r="BC24" s="20">
        <f>BA$6*'2008A'!$F24</f>
        <v>0</v>
      </c>
      <c r="BE24" s="51"/>
      <c r="BF24" s="51">
        <f t="shared" si="18"/>
        <v>0</v>
      </c>
      <c r="BG24" s="33">
        <f t="shared" si="19"/>
        <v>0</v>
      </c>
      <c r="BH24" s="20">
        <f>BF$6*'2008A'!$F24</f>
        <v>0</v>
      </c>
      <c r="BK24" s="33">
        <f t="shared" si="20"/>
        <v>0</v>
      </c>
      <c r="BL24" s="33">
        <f t="shared" si="21"/>
        <v>0</v>
      </c>
      <c r="BM24" s="20">
        <f>BK$6*'2008A'!$F24</f>
        <v>0</v>
      </c>
      <c r="BP24" s="33">
        <f t="shared" si="22"/>
        <v>0</v>
      </c>
      <c r="BQ24" s="33">
        <f t="shared" si="23"/>
        <v>0</v>
      </c>
      <c r="BR24" s="20">
        <f>BP$6*'2008A'!$F24</f>
        <v>0</v>
      </c>
      <c r="BU24" s="33">
        <f t="shared" si="24"/>
        <v>0</v>
      </c>
      <c r="BV24" s="33">
        <f t="shared" si="25"/>
        <v>0</v>
      </c>
      <c r="BW24" s="20">
        <f>BU$6*'2008A'!$F24</f>
        <v>0</v>
      </c>
      <c r="BZ24" s="33">
        <f t="shared" si="26"/>
        <v>0</v>
      </c>
      <c r="CA24" s="33">
        <f t="shared" si="27"/>
        <v>0</v>
      </c>
      <c r="CB24" s="20">
        <f>BZ$6*'2008A'!$F24</f>
        <v>0</v>
      </c>
      <c r="CE24" s="33">
        <f t="shared" si="28"/>
        <v>0</v>
      </c>
      <c r="CF24" s="33">
        <f t="shared" si="29"/>
        <v>0</v>
      </c>
      <c r="CG24" s="20">
        <f>CE$6*'2008A'!$F24</f>
        <v>0</v>
      </c>
      <c r="CJ24" s="33">
        <f t="shared" si="30"/>
        <v>0</v>
      </c>
      <c r="CK24" s="33">
        <f t="shared" si="31"/>
        <v>0</v>
      </c>
      <c r="CL24" s="20">
        <f>CJ$6*'2008A'!$F24</f>
        <v>0</v>
      </c>
      <c r="CO24" s="33">
        <f t="shared" si="32"/>
        <v>0</v>
      </c>
      <c r="CP24" s="33">
        <f t="shared" si="33"/>
        <v>0</v>
      </c>
      <c r="CQ24" s="20">
        <f>CO$6*'2008A'!$F24</f>
        <v>0</v>
      </c>
      <c r="CT24" s="33">
        <f t="shared" si="34"/>
        <v>0</v>
      </c>
      <c r="CU24" s="33">
        <f t="shared" si="35"/>
        <v>0</v>
      </c>
      <c r="CV24" s="20">
        <f>CT$6*'2008A'!$F24</f>
        <v>0</v>
      </c>
      <c r="CY24" s="33">
        <f t="shared" si="36"/>
        <v>0</v>
      </c>
      <c r="CZ24" s="33">
        <f t="shared" si="37"/>
        <v>0</v>
      </c>
      <c r="DA24" s="20">
        <f>CY$6*'2008A'!$F24</f>
        <v>0</v>
      </c>
      <c r="DD24" s="33">
        <f t="shared" si="38"/>
        <v>0</v>
      </c>
      <c r="DE24" s="33">
        <f t="shared" si="39"/>
        <v>0</v>
      </c>
      <c r="DF24" s="20">
        <f>DD$6*'2008A'!$F24</f>
        <v>0</v>
      </c>
      <c r="DI24" s="33">
        <f t="shared" si="40"/>
        <v>0</v>
      </c>
      <c r="DJ24" s="33">
        <f t="shared" si="41"/>
        <v>0</v>
      </c>
      <c r="DK24" s="20">
        <f>DI$6*'2008A'!$F24</f>
        <v>0</v>
      </c>
    </row>
    <row r="25" spans="1:116" s="53" customFormat="1" ht="12">
      <c r="A25" s="52">
        <v>45017</v>
      </c>
      <c r="C25" s="41"/>
      <c r="D25" s="41"/>
      <c r="E25" s="35">
        <f t="shared" si="0"/>
        <v>0</v>
      </c>
      <c r="F25" s="51"/>
      <c r="G25" s="71">
        <f t="shared" si="42"/>
        <v>0</v>
      </c>
      <c r="H25" s="51">
        <f t="shared" si="1"/>
        <v>0</v>
      </c>
      <c r="I25" s="51">
        <f t="shared" si="2"/>
        <v>0</v>
      </c>
      <c r="J25" s="51">
        <f t="shared" si="3"/>
        <v>0</v>
      </c>
      <c r="K25" s="51"/>
      <c r="L25" s="33">
        <f t="shared" si="43"/>
        <v>0</v>
      </c>
      <c r="M25" s="33">
        <f t="shared" si="4"/>
        <v>0</v>
      </c>
      <c r="N25" s="33">
        <f t="shared" si="5"/>
        <v>0</v>
      </c>
      <c r="O25" s="20">
        <f>M$6*'2008A'!$F25</f>
        <v>0</v>
      </c>
      <c r="P25" s="20"/>
      <c r="Q25" s="20">
        <f t="shared" si="62"/>
        <v>0</v>
      </c>
      <c r="R25" s="20">
        <f t="shared" si="63"/>
        <v>0</v>
      </c>
      <c r="S25" s="20">
        <f t="shared" si="64"/>
        <v>0</v>
      </c>
      <c r="T25" s="20">
        <f>$R$6*'2008A'!F25</f>
        <v>0</v>
      </c>
      <c r="U25" s="51"/>
      <c r="V25" s="33">
        <f t="shared" si="44"/>
        <v>0</v>
      </c>
      <c r="W25" s="51">
        <f t="shared" si="6"/>
        <v>0</v>
      </c>
      <c r="X25" s="51">
        <f t="shared" si="7"/>
        <v>0</v>
      </c>
      <c r="Y25" s="20">
        <f>W$6*'2008A'!$F25</f>
        <v>0</v>
      </c>
      <c r="Z25" s="51"/>
      <c r="AA25" s="33">
        <f t="shared" si="45"/>
        <v>0</v>
      </c>
      <c r="AB25" s="33">
        <f t="shared" si="8"/>
        <v>0</v>
      </c>
      <c r="AC25" s="33">
        <f t="shared" si="9"/>
        <v>0</v>
      </c>
      <c r="AD25" s="20">
        <f>AB$6*'2008A'!$F25</f>
        <v>0</v>
      </c>
      <c r="AE25" s="51"/>
      <c r="AF25" s="33">
        <f t="shared" si="46"/>
        <v>0</v>
      </c>
      <c r="AG25" s="33">
        <f t="shared" si="10"/>
        <v>0</v>
      </c>
      <c r="AH25" s="33">
        <f t="shared" si="11"/>
        <v>0</v>
      </c>
      <c r="AI25" s="20">
        <f>AG$6*'2008A'!$F25</f>
        <v>0</v>
      </c>
      <c r="AJ25" s="51"/>
      <c r="AK25" s="33">
        <f t="shared" si="47"/>
        <v>0</v>
      </c>
      <c r="AL25" s="33">
        <f t="shared" si="12"/>
        <v>0</v>
      </c>
      <c r="AM25" s="33">
        <f t="shared" si="13"/>
        <v>0</v>
      </c>
      <c r="AN25" s="20">
        <f>AL$6*'2008A'!$F25</f>
        <v>0</v>
      </c>
      <c r="AO25" s="51"/>
      <c r="AP25" s="33">
        <f t="shared" si="48"/>
        <v>0</v>
      </c>
      <c r="AQ25" s="33">
        <f t="shared" si="14"/>
        <v>0</v>
      </c>
      <c r="AR25" s="33">
        <f t="shared" si="15"/>
        <v>0</v>
      </c>
      <c r="AS25" s="20">
        <f>AQ$6*'2008A'!$F25</f>
        <v>0</v>
      </c>
      <c r="AT25" s="20"/>
      <c r="AU25" s="20">
        <f t="shared" si="65"/>
        <v>0</v>
      </c>
      <c r="AV25" s="20">
        <f t="shared" si="66"/>
        <v>0</v>
      </c>
      <c r="AW25" s="20">
        <f t="shared" si="67"/>
        <v>0</v>
      </c>
      <c r="AX25" s="20">
        <f>$AV$6*'2008A'!F25</f>
        <v>0</v>
      </c>
      <c r="AY25" s="33"/>
      <c r="AZ25" s="51">
        <f t="shared" si="49"/>
        <v>0</v>
      </c>
      <c r="BA25" s="51">
        <f t="shared" si="16"/>
        <v>0</v>
      </c>
      <c r="BB25" s="33">
        <f t="shared" si="17"/>
        <v>0</v>
      </c>
      <c r="BC25" s="20">
        <f>BA$6*'2008A'!$F25</f>
        <v>0</v>
      </c>
      <c r="BD25" s="33"/>
      <c r="BE25" s="51">
        <f t="shared" si="50"/>
        <v>0</v>
      </c>
      <c r="BF25" s="51">
        <f t="shared" si="18"/>
        <v>0</v>
      </c>
      <c r="BG25" s="33">
        <f t="shared" si="19"/>
        <v>0</v>
      </c>
      <c r="BH25" s="20">
        <f>BF$6*'2008A'!$F25</f>
        <v>0</v>
      </c>
      <c r="BI25" s="33"/>
      <c r="BJ25" s="33">
        <f t="shared" si="51"/>
        <v>0</v>
      </c>
      <c r="BK25" s="33">
        <f t="shared" si="20"/>
        <v>0</v>
      </c>
      <c r="BL25" s="33">
        <f t="shared" si="21"/>
        <v>0</v>
      </c>
      <c r="BM25" s="20">
        <f>BK$6*'2008A'!$F25</f>
        <v>0</v>
      </c>
      <c r="BN25" s="51"/>
      <c r="BO25" s="33">
        <f t="shared" si="52"/>
        <v>0</v>
      </c>
      <c r="BP25" s="33">
        <f t="shared" si="22"/>
        <v>0</v>
      </c>
      <c r="BQ25" s="33">
        <f t="shared" si="23"/>
        <v>0</v>
      </c>
      <c r="BR25" s="20">
        <f>BP$6*'2008A'!$F25</f>
        <v>0</v>
      </c>
      <c r="BS25" s="51"/>
      <c r="BT25" s="33">
        <f t="shared" si="53"/>
        <v>0</v>
      </c>
      <c r="BU25" s="33">
        <f t="shared" si="24"/>
        <v>0</v>
      </c>
      <c r="BV25" s="33">
        <f t="shared" si="25"/>
        <v>0</v>
      </c>
      <c r="BW25" s="20">
        <f>BU$6*'2008A'!$F25</f>
        <v>0</v>
      </c>
      <c r="BX25" s="51"/>
      <c r="BY25" s="33">
        <f t="shared" si="54"/>
        <v>0</v>
      </c>
      <c r="BZ25" s="33">
        <f t="shared" si="26"/>
        <v>0</v>
      </c>
      <c r="CA25" s="33">
        <f t="shared" si="27"/>
        <v>0</v>
      </c>
      <c r="CB25" s="20">
        <f>BZ$6*'2008A'!$F25</f>
        <v>0</v>
      </c>
      <c r="CC25" s="33"/>
      <c r="CD25" s="33">
        <f t="shared" si="55"/>
        <v>0</v>
      </c>
      <c r="CE25" s="33">
        <f t="shared" si="28"/>
        <v>0</v>
      </c>
      <c r="CF25" s="33">
        <f t="shared" si="29"/>
        <v>0</v>
      </c>
      <c r="CG25" s="20">
        <f>CE$6*'2008A'!$F25</f>
        <v>0</v>
      </c>
      <c r="CH25" s="51"/>
      <c r="CI25" s="33">
        <f t="shared" si="56"/>
        <v>0</v>
      </c>
      <c r="CJ25" s="33">
        <f t="shared" si="30"/>
        <v>0</v>
      </c>
      <c r="CK25" s="33">
        <f t="shared" si="31"/>
        <v>0</v>
      </c>
      <c r="CL25" s="20">
        <f>CJ$6*'2008A'!$F25</f>
        <v>0</v>
      </c>
      <c r="CM25" s="51"/>
      <c r="CN25" s="33">
        <f t="shared" si="57"/>
        <v>0</v>
      </c>
      <c r="CO25" s="33">
        <f t="shared" si="32"/>
        <v>0</v>
      </c>
      <c r="CP25" s="33">
        <f t="shared" si="33"/>
        <v>0</v>
      </c>
      <c r="CQ25" s="20">
        <f>CO$6*'2008A'!$F25</f>
        <v>0</v>
      </c>
      <c r="CR25" s="51"/>
      <c r="CS25" s="33">
        <f t="shared" si="58"/>
        <v>0</v>
      </c>
      <c r="CT25" s="33">
        <f t="shared" si="34"/>
        <v>0</v>
      </c>
      <c r="CU25" s="33">
        <f t="shared" si="35"/>
        <v>0</v>
      </c>
      <c r="CV25" s="20">
        <f>CT$6*'2008A'!$F25</f>
        <v>0</v>
      </c>
      <c r="CW25" s="51"/>
      <c r="CX25" s="33">
        <f t="shared" si="59"/>
        <v>0</v>
      </c>
      <c r="CY25" s="33">
        <f t="shared" si="36"/>
        <v>0</v>
      </c>
      <c r="CZ25" s="33">
        <f t="shared" si="37"/>
        <v>0</v>
      </c>
      <c r="DA25" s="20">
        <f>CY$6*'2008A'!$F25</f>
        <v>0</v>
      </c>
      <c r="DB25" s="51"/>
      <c r="DC25" s="33">
        <f t="shared" si="60"/>
        <v>0</v>
      </c>
      <c r="DD25" s="33">
        <f t="shared" si="38"/>
        <v>0</v>
      </c>
      <c r="DE25" s="33">
        <f t="shared" si="39"/>
        <v>0</v>
      </c>
      <c r="DF25" s="20">
        <f>DD$6*'2008A'!$F25</f>
        <v>0</v>
      </c>
      <c r="DG25" s="51"/>
      <c r="DH25" s="33">
        <f t="shared" si="61"/>
        <v>0</v>
      </c>
      <c r="DI25" s="33">
        <f t="shared" si="40"/>
        <v>0</v>
      </c>
      <c r="DJ25" s="33">
        <f t="shared" si="41"/>
        <v>0</v>
      </c>
      <c r="DK25" s="20">
        <f>DI$6*'2008A'!$F25</f>
        <v>0</v>
      </c>
      <c r="DL25" s="51"/>
    </row>
    <row r="26" spans="1:116" s="53" customFormat="1" ht="12">
      <c r="A26" s="52">
        <v>45200</v>
      </c>
      <c r="C26" s="41"/>
      <c r="D26" s="41"/>
      <c r="E26" s="35">
        <f t="shared" si="0"/>
        <v>0</v>
      </c>
      <c r="F26" s="51"/>
      <c r="G26" s="71"/>
      <c r="H26" s="51">
        <f t="shared" si="1"/>
        <v>0</v>
      </c>
      <c r="I26" s="51">
        <f t="shared" si="2"/>
        <v>0</v>
      </c>
      <c r="J26" s="51">
        <f t="shared" si="3"/>
        <v>0</v>
      </c>
      <c r="K26" s="51"/>
      <c r="L26" s="33"/>
      <c r="M26" s="33">
        <f t="shared" si="4"/>
        <v>0</v>
      </c>
      <c r="N26" s="33">
        <f t="shared" si="5"/>
        <v>0</v>
      </c>
      <c r="O26" s="20">
        <f>M$6*'2008A'!$F26</f>
        <v>0</v>
      </c>
      <c r="P26" s="20"/>
      <c r="Q26" s="20">
        <f t="shared" si="62"/>
        <v>0</v>
      </c>
      <c r="R26" s="20">
        <f t="shared" si="63"/>
        <v>0</v>
      </c>
      <c r="S26" s="20">
        <f t="shared" si="64"/>
        <v>0</v>
      </c>
      <c r="T26" s="20">
        <f>$R$6*'2008A'!F26</f>
        <v>0</v>
      </c>
      <c r="U26" s="51"/>
      <c r="V26" s="33"/>
      <c r="W26" s="51">
        <f t="shared" si="6"/>
        <v>0</v>
      </c>
      <c r="X26" s="51">
        <f t="shared" si="7"/>
        <v>0</v>
      </c>
      <c r="Y26" s="20">
        <f>W$6*'2008A'!$F26</f>
        <v>0</v>
      </c>
      <c r="Z26" s="51"/>
      <c r="AA26" s="33"/>
      <c r="AB26" s="33">
        <f t="shared" si="8"/>
        <v>0</v>
      </c>
      <c r="AC26" s="33">
        <f t="shared" si="9"/>
        <v>0</v>
      </c>
      <c r="AD26" s="20">
        <f>AB$6*'2008A'!$F26</f>
        <v>0</v>
      </c>
      <c r="AE26" s="51"/>
      <c r="AF26" s="33"/>
      <c r="AG26" s="33">
        <f t="shared" si="10"/>
        <v>0</v>
      </c>
      <c r="AH26" s="33">
        <f t="shared" si="11"/>
        <v>0</v>
      </c>
      <c r="AI26" s="20">
        <f>AG$6*'2008A'!$F26</f>
        <v>0</v>
      </c>
      <c r="AJ26" s="51"/>
      <c r="AK26" s="33"/>
      <c r="AL26" s="33">
        <f t="shared" si="12"/>
        <v>0</v>
      </c>
      <c r="AM26" s="33">
        <f t="shared" si="13"/>
        <v>0</v>
      </c>
      <c r="AN26" s="20">
        <f>AL$6*'2008A'!$F26</f>
        <v>0</v>
      </c>
      <c r="AO26" s="51"/>
      <c r="AP26" s="33"/>
      <c r="AQ26" s="33">
        <f t="shared" si="14"/>
        <v>0</v>
      </c>
      <c r="AR26" s="33">
        <f t="shared" si="15"/>
        <v>0</v>
      </c>
      <c r="AS26" s="20">
        <f>AQ$6*'2008A'!$F26</f>
        <v>0</v>
      </c>
      <c r="AT26" s="20"/>
      <c r="AU26" s="20">
        <f t="shared" si="65"/>
        <v>0</v>
      </c>
      <c r="AV26" s="20">
        <f t="shared" si="66"/>
        <v>0</v>
      </c>
      <c r="AW26" s="20">
        <f t="shared" si="67"/>
        <v>0</v>
      </c>
      <c r="AX26" s="20">
        <f>$AV$6*'2008A'!F26</f>
        <v>0</v>
      </c>
      <c r="AY26" s="33"/>
      <c r="AZ26" s="51"/>
      <c r="BA26" s="51">
        <f t="shared" si="16"/>
        <v>0</v>
      </c>
      <c r="BB26" s="33">
        <f t="shared" si="17"/>
        <v>0</v>
      </c>
      <c r="BC26" s="20">
        <f>BA$6*'2008A'!$F26</f>
        <v>0</v>
      </c>
      <c r="BD26" s="33"/>
      <c r="BE26" s="51"/>
      <c r="BF26" s="51">
        <f t="shared" si="18"/>
        <v>0</v>
      </c>
      <c r="BG26" s="33">
        <f t="shared" si="19"/>
        <v>0</v>
      </c>
      <c r="BH26" s="20">
        <f>BF$6*'2008A'!$F26</f>
        <v>0</v>
      </c>
      <c r="BI26" s="33"/>
      <c r="BJ26" s="33"/>
      <c r="BK26" s="33">
        <f t="shared" si="20"/>
        <v>0</v>
      </c>
      <c r="BL26" s="33">
        <f t="shared" si="21"/>
        <v>0</v>
      </c>
      <c r="BM26" s="20">
        <f>BK$6*'2008A'!$F26</f>
        <v>0</v>
      </c>
      <c r="BN26" s="51"/>
      <c r="BO26" s="33"/>
      <c r="BP26" s="33">
        <f t="shared" si="22"/>
        <v>0</v>
      </c>
      <c r="BQ26" s="33">
        <f t="shared" si="23"/>
        <v>0</v>
      </c>
      <c r="BR26" s="20">
        <f>BP$6*'2008A'!$F26</f>
        <v>0</v>
      </c>
      <c r="BS26" s="51"/>
      <c r="BT26" s="33"/>
      <c r="BU26" s="33">
        <f t="shared" si="24"/>
        <v>0</v>
      </c>
      <c r="BV26" s="33">
        <f t="shared" si="25"/>
        <v>0</v>
      </c>
      <c r="BW26" s="20">
        <f>BU$6*'2008A'!$F26</f>
        <v>0</v>
      </c>
      <c r="BX26" s="51"/>
      <c r="BY26" s="33"/>
      <c r="BZ26" s="33">
        <f t="shared" si="26"/>
        <v>0</v>
      </c>
      <c r="CA26" s="33">
        <f t="shared" si="27"/>
        <v>0</v>
      </c>
      <c r="CB26" s="20">
        <f>BZ$6*'2008A'!$F26</f>
        <v>0</v>
      </c>
      <c r="CC26" s="33"/>
      <c r="CD26" s="33"/>
      <c r="CE26" s="33">
        <f t="shared" si="28"/>
        <v>0</v>
      </c>
      <c r="CF26" s="33">
        <f t="shared" si="29"/>
        <v>0</v>
      </c>
      <c r="CG26" s="20">
        <f>CE$6*'2008A'!$F26</f>
        <v>0</v>
      </c>
      <c r="CH26" s="51"/>
      <c r="CI26" s="33"/>
      <c r="CJ26" s="33">
        <f t="shared" si="30"/>
        <v>0</v>
      </c>
      <c r="CK26" s="33">
        <f t="shared" si="31"/>
        <v>0</v>
      </c>
      <c r="CL26" s="20">
        <f>CJ$6*'2008A'!$F26</f>
        <v>0</v>
      </c>
      <c r="CM26" s="51"/>
      <c r="CN26" s="33"/>
      <c r="CO26" s="33">
        <f t="shared" si="32"/>
        <v>0</v>
      </c>
      <c r="CP26" s="33">
        <f t="shared" si="33"/>
        <v>0</v>
      </c>
      <c r="CQ26" s="20">
        <f>CO$6*'2008A'!$F26</f>
        <v>0</v>
      </c>
      <c r="CR26" s="51"/>
      <c r="CS26" s="33"/>
      <c r="CT26" s="33">
        <f t="shared" si="34"/>
        <v>0</v>
      </c>
      <c r="CU26" s="33">
        <f t="shared" si="35"/>
        <v>0</v>
      </c>
      <c r="CV26" s="20">
        <f>CT$6*'2008A'!$F26</f>
        <v>0</v>
      </c>
      <c r="CW26" s="51"/>
      <c r="CX26" s="33"/>
      <c r="CY26" s="33">
        <f t="shared" si="36"/>
        <v>0</v>
      </c>
      <c r="CZ26" s="33">
        <f t="shared" si="37"/>
        <v>0</v>
      </c>
      <c r="DA26" s="20">
        <f>CY$6*'2008A'!$F26</f>
        <v>0</v>
      </c>
      <c r="DB26" s="51"/>
      <c r="DC26" s="33"/>
      <c r="DD26" s="33">
        <f t="shared" si="38"/>
        <v>0</v>
      </c>
      <c r="DE26" s="33">
        <f t="shared" si="39"/>
        <v>0</v>
      </c>
      <c r="DF26" s="20">
        <f>DD$6*'2008A'!$F26</f>
        <v>0</v>
      </c>
      <c r="DG26" s="51"/>
      <c r="DH26" s="33"/>
      <c r="DI26" s="33">
        <f t="shared" si="40"/>
        <v>0</v>
      </c>
      <c r="DJ26" s="33">
        <f t="shared" si="41"/>
        <v>0</v>
      </c>
      <c r="DK26" s="20">
        <f>DI$6*'2008A'!$F26</f>
        <v>0</v>
      </c>
      <c r="DL26" s="51"/>
    </row>
    <row r="27" spans="1:116" s="53" customFormat="1" ht="12">
      <c r="A27" s="52">
        <v>45383</v>
      </c>
      <c r="C27" s="41"/>
      <c r="D27" s="41"/>
      <c r="E27" s="35">
        <f t="shared" si="0"/>
        <v>0</v>
      </c>
      <c r="F27" s="51"/>
      <c r="G27" s="71">
        <f t="shared" si="42"/>
        <v>0</v>
      </c>
      <c r="H27" s="51">
        <f t="shared" si="1"/>
        <v>0</v>
      </c>
      <c r="I27" s="51">
        <f t="shared" si="2"/>
        <v>0</v>
      </c>
      <c r="J27" s="51">
        <f t="shared" si="3"/>
        <v>0</v>
      </c>
      <c r="K27" s="51"/>
      <c r="L27" s="33">
        <f t="shared" si="43"/>
        <v>0</v>
      </c>
      <c r="M27" s="33">
        <f t="shared" si="4"/>
        <v>0</v>
      </c>
      <c r="N27" s="33">
        <f t="shared" si="5"/>
        <v>0</v>
      </c>
      <c r="O27" s="20">
        <f>M$6*'2008A'!$F27</f>
        <v>0</v>
      </c>
      <c r="P27" s="20"/>
      <c r="Q27" s="20">
        <f t="shared" si="62"/>
        <v>0</v>
      </c>
      <c r="R27" s="20">
        <f t="shared" si="63"/>
        <v>0</v>
      </c>
      <c r="S27" s="20">
        <f t="shared" si="64"/>
        <v>0</v>
      </c>
      <c r="T27" s="20">
        <f>$R$6*'2008A'!F27</f>
        <v>0</v>
      </c>
      <c r="U27" s="51"/>
      <c r="V27" s="33">
        <f t="shared" si="44"/>
        <v>0</v>
      </c>
      <c r="W27" s="51">
        <f t="shared" si="6"/>
        <v>0</v>
      </c>
      <c r="X27" s="51">
        <f t="shared" si="7"/>
        <v>0</v>
      </c>
      <c r="Y27" s="20">
        <f>W$6*'2008A'!$F27</f>
        <v>0</v>
      </c>
      <c r="Z27" s="51"/>
      <c r="AA27" s="33">
        <f t="shared" si="45"/>
        <v>0</v>
      </c>
      <c r="AB27" s="33">
        <f t="shared" si="8"/>
        <v>0</v>
      </c>
      <c r="AC27" s="33">
        <f t="shared" si="9"/>
        <v>0</v>
      </c>
      <c r="AD27" s="20">
        <f>AB$6*'2008A'!$F27</f>
        <v>0</v>
      </c>
      <c r="AE27" s="51"/>
      <c r="AF27" s="33">
        <f t="shared" si="46"/>
        <v>0</v>
      </c>
      <c r="AG27" s="33">
        <f t="shared" si="10"/>
        <v>0</v>
      </c>
      <c r="AH27" s="33">
        <f t="shared" si="11"/>
        <v>0</v>
      </c>
      <c r="AI27" s="20">
        <f>AG$6*'2008A'!$F27</f>
        <v>0</v>
      </c>
      <c r="AJ27" s="51"/>
      <c r="AK27" s="33">
        <f t="shared" si="47"/>
        <v>0</v>
      </c>
      <c r="AL27" s="33">
        <f t="shared" si="12"/>
        <v>0</v>
      </c>
      <c r="AM27" s="33">
        <f t="shared" si="13"/>
        <v>0</v>
      </c>
      <c r="AN27" s="20">
        <f>AL$6*'2008A'!$F27</f>
        <v>0</v>
      </c>
      <c r="AO27" s="51"/>
      <c r="AP27" s="33">
        <f t="shared" si="48"/>
        <v>0</v>
      </c>
      <c r="AQ27" s="33">
        <f t="shared" si="14"/>
        <v>0</v>
      </c>
      <c r="AR27" s="33">
        <f t="shared" si="15"/>
        <v>0</v>
      </c>
      <c r="AS27" s="20">
        <f>AQ$6*'2008A'!$F27</f>
        <v>0</v>
      </c>
      <c r="AT27" s="20"/>
      <c r="AU27" s="20">
        <f t="shared" si="65"/>
        <v>0</v>
      </c>
      <c r="AV27" s="20">
        <f t="shared" si="66"/>
        <v>0</v>
      </c>
      <c r="AW27" s="20">
        <f t="shared" si="67"/>
        <v>0</v>
      </c>
      <c r="AX27" s="20">
        <f>$AV$6*'2008A'!F27</f>
        <v>0</v>
      </c>
      <c r="AY27" s="33"/>
      <c r="AZ27" s="51">
        <f t="shared" si="49"/>
        <v>0</v>
      </c>
      <c r="BA27" s="51">
        <f t="shared" si="16"/>
        <v>0</v>
      </c>
      <c r="BB27" s="33">
        <f t="shared" si="17"/>
        <v>0</v>
      </c>
      <c r="BC27" s="20">
        <f>BA$6*'2008A'!$F27</f>
        <v>0</v>
      </c>
      <c r="BD27" s="33"/>
      <c r="BE27" s="51">
        <f t="shared" si="50"/>
        <v>0</v>
      </c>
      <c r="BF27" s="51">
        <f t="shared" si="18"/>
        <v>0</v>
      </c>
      <c r="BG27" s="33">
        <f t="shared" si="19"/>
        <v>0</v>
      </c>
      <c r="BH27" s="20">
        <f>BF$6*'2008A'!$F27</f>
        <v>0</v>
      </c>
      <c r="BI27" s="33"/>
      <c r="BJ27" s="33">
        <f t="shared" si="51"/>
        <v>0</v>
      </c>
      <c r="BK27" s="33">
        <f t="shared" si="20"/>
        <v>0</v>
      </c>
      <c r="BL27" s="33">
        <f t="shared" si="21"/>
        <v>0</v>
      </c>
      <c r="BM27" s="20">
        <f>BK$6*'2008A'!$F27</f>
        <v>0</v>
      </c>
      <c r="BN27" s="51"/>
      <c r="BO27" s="33">
        <f t="shared" si="52"/>
        <v>0</v>
      </c>
      <c r="BP27" s="33">
        <f t="shared" si="22"/>
        <v>0</v>
      </c>
      <c r="BQ27" s="33">
        <f t="shared" si="23"/>
        <v>0</v>
      </c>
      <c r="BR27" s="20">
        <f>BP$6*'2008A'!$F27</f>
        <v>0</v>
      </c>
      <c r="BS27" s="51"/>
      <c r="BT27" s="33">
        <f t="shared" si="53"/>
        <v>0</v>
      </c>
      <c r="BU27" s="33">
        <f t="shared" si="24"/>
        <v>0</v>
      </c>
      <c r="BV27" s="33">
        <f t="shared" si="25"/>
        <v>0</v>
      </c>
      <c r="BW27" s="20">
        <f>BU$6*'2008A'!$F27</f>
        <v>0</v>
      </c>
      <c r="BX27" s="51"/>
      <c r="BY27" s="33">
        <f t="shared" si="54"/>
        <v>0</v>
      </c>
      <c r="BZ27" s="33">
        <f t="shared" si="26"/>
        <v>0</v>
      </c>
      <c r="CA27" s="33">
        <f t="shared" si="27"/>
        <v>0</v>
      </c>
      <c r="CB27" s="20">
        <f>BZ$6*'2008A'!$F27</f>
        <v>0</v>
      </c>
      <c r="CC27" s="33"/>
      <c r="CD27" s="33">
        <f t="shared" si="55"/>
        <v>0</v>
      </c>
      <c r="CE27" s="33">
        <f t="shared" si="28"/>
        <v>0</v>
      </c>
      <c r="CF27" s="33">
        <f t="shared" si="29"/>
        <v>0</v>
      </c>
      <c r="CG27" s="20">
        <f>CE$6*'2008A'!$F27</f>
        <v>0</v>
      </c>
      <c r="CH27" s="51"/>
      <c r="CI27" s="33">
        <f t="shared" si="56"/>
        <v>0</v>
      </c>
      <c r="CJ27" s="33">
        <f t="shared" si="30"/>
        <v>0</v>
      </c>
      <c r="CK27" s="33">
        <f t="shared" si="31"/>
        <v>0</v>
      </c>
      <c r="CL27" s="20">
        <f>CJ$6*'2008A'!$F27</f>
        <v>0</v>
      </c>
      <c r="CM27" s="51"/>
      <c r="CN27" s="33">
        <f t="shared" si="57"/>
        <v>0</v>
      </c>
      <c r="CO27" s="33">
        <f t="shared" si="32"/>
        <v>0</v>
      </c>
      <c r="CP27" s="33">
        <f t="shared" si="33"/>
        <v>0</v>
      </c>
      <c r="CQ27" s="20">
        <f>CO$6*'2008A'!$F27</f>
        <v>0</v>
      </c>
      <c r="CR27" s="51"/>
      <c r="CS27" s="33">
        <f t="shared" si="58"/>
        <v>0</v>
      </c>
      <c r="CT27" s="33">
        <f t="shared" si="34"/>
        <v>0</v>
      </c>
      <c r="CU27" s="33">
        <f t="shared" si="35"/>
        <v>0</v>
      </c>
      <c r="CV27" s="20">
        <f>CT$6*'2008A'!$F27</f>
        <v>0</v>
      </c>
      <c r="CW27" s="51"/>
      <c r="CX27" s="33">
        <f t="shared" si="59"/>
        <v>0</v>
      </c>
      <c r="CY27" s="33">
        <f t="shared" si="36"/>
        <v>0</v>
      </c>
      <c r="CZ27" s="33">
        <f t="shared" si="37"/>
        <v>0</v>
      </c>
      <c r="DA27" s="20">
        <f>CY$6*'2008A'!$F27</f>
        <v>0</v>
      </c>
      <c r="DB27" s="51"/>
      <c r="DC27" s="33">
        <f t="shared" si="60"/>
        <v>0</v>
      </c>
      <c r="DD27" s="33">
        <f t="shared" si="38"/>
        <v>0</v>
      </c>
      <c r="DE27" s="33">
        <f t="shared" si="39"/>
        <v>0</v>
      </c>
      <c r="DF27" s="20">
        <f>DD$6*'2008A'!$F27</f>
        <v>0</v>
      </c>
      <c r="DG27" s="51"/>
      <c r="DH27" s="33">
        <f t="shared" si="61"/>
        <v>0</v>
      </c>
      <c r="DI27" s="33">
        <f t="shared" si="40"/>
        <v>0</v>
      </c>
      <c r="DJ27" s="33">
        <f t="shared" si="41"/>
        <v>0</v>
      </c>
      <c r="DK27" s="20">
        <f>DI$6*'2008A'!$F27</f>
        <v>0</v>
      </c>
      <c r="DL27" s="51"/>
    </row>
    <row r="28" spans="1:116" s="53" customFormat="1" ht="12">
      <c r="A28" s="52">
        <v>45566</v>
      </c>
      <c r="C28" s="41"/>
      <c r="D28" s="41"/>
      <c r="E28" s="35">
        <f t="shared" si="0"/>
        <v>0</v>
      </c>
      <c r="F28" s="51"/>
      <c r="G28" s="71"/>
      <c r="H28" s="51">
        <f t="shared" si="1"/>
        <v>0</v>
      </c>
      <c r="I28" s="51">
        <f t="shared" si="2"/>
        <v>0</v>
      </c>
      <c r="J28" s="51">
        <f t="shared" si="3"/>
        <v>0</v>
      </c>
      <c r="K28" s="51"/>
      <c r="L28" s="33"/>
      <c r="M28" s="33">
        <f t="shared" si="4"/>
        <v>0</v>
      </c>
      <c r="N28" s="33">
        <f t="shared" si="5"/>
        <v>0</v>
      </c>
      <c r="O28" s="20">
        <f>M$6*'2008A'!$F28</f>
        <v>0</v>
      </c>
      <c r="P28" s="20"/>
      <c r="Q28" s="20">
        <f t="shared" si="62"/>
        <v>0</v>
      </c>
      <c r="R28" s="20">
        <f t="shared" si="63"/>
        <v>0</v>
      </c>
      <c r="S28" s="20">
        <f t="shared" si="64"/>
        <v>0</v>
      </c>
      <c r="T28" s="20">
        <f>$R$6*'2008A'!F28</f>
        <v>0</v>
      </c>
      <c r="U28" s="51"/>
      <c r="V28" s="33"/>
      <c r="W28" s="51">
        <f t="shared" si="6"/>
        <v>0</v>
      </c>
      <c r="X28" s="51">
        <f t="shared" si="7"/>
        <v>0</v>
      </c>
      <c r="Y28" s="20">
        <f>W$6*'2008A'!$F28</f>
        <v>0</v>
      </c>
      <c r="Z28" s="51"/>
      <c r="AA28" s="33"/>
      <c r="AB28" s="33">
        <f t="shared" si="8"/>
        <v>0</v>
      </c>
      <c r="AC28" s="33">
        <f t="shared" si="9"/>
        <v>0</v>
      </c>
      <c r="AD28" s="20">
        <f>AB$6*'2008A'!$F28</f>
        <v>0</v>
      </c>
      <c r="AE28" s="51"/>
      <c r="AF28" s="33"/>
      <c r="AG28" s="33">
        <f t="shared" si="10"/>
        <v>0</v>
      </c>
      <c r="AH28" s="33">
        <f t="shared" si="11"/>
        <v>0</v>
      </c>
      <c r="AI28" s="20">
        <f>AG$6*'2008A'!$F28</f>
        <v>0</v>
      </c>
      <c r="AJ28" s="51"/>
      <c r="AK28" s="33"/>
      <c r="AL28" s="33">
        <f t="shared" si="12"/>
        <v>0</v>
      </c>
      <c r="AM28" s="33">
        <f t="shared" si="13"/>
        <v>0</v>
      </c>
      <c r="AN28" s="20">
        <f>AL$6*'2008A'!$F28</f>
        <v>0</v>
      </c>
      <c r="AO28" s="51"/>
      <c r="AP28" s="33"/>
      <c r="AQ28" s="33">
        <f t="shared" si="14"/>
        <v>0</v>
      </c>
      <c r="AR28" s="33">
        <f t="shared" si="15"/>
        <v>0</v>
      </c>
      <c r="AS28" s="20">
        <f>AQ$6*'2008A'!$F28</f>
        <v>0</v>
      </c>
      <c r="AT28" s="20"/>
      <c r="AU28" s="20">
        <f t="shared" si="65"/>
        <v>0</v>
      </c>
      <c r="AV28" s="20">
        <f t="shared" si="66"/>
        <v>0</v>
      </c>
      <c r="AW28" s="20">
        <f t="shared" si="67"/>
        <v>0</v>
      </c>
      <c r="AX28" s="20">
        <f>$AV$6*'2008A'!F28</f>
        <v>0</v>
      </c>
      <c r="AY28" s="33"/>
      <c r="AZ28" s="51"/>
      <c r="BA28" s="51">
        <f t="shared" si="16"/>
        <v>0</v>
      </c>
      <c r="BB28" s="33">
        <f t="shared" si="17"/>
        <v>0</v>
      </c>
      <c r="BC28" s="20">
        <f>BA$6*'2008A'!$F28</f>
        <v>0</v>
      </c>
      <c r="BD28" s="33"/>
      <c r="BE28" s="51"/>
      <c r="BF28" s="51">
        <f t="shared" si="18"/>
        <v>0</v>
      </c>
      <c r="BG28" s="33">
        <f t="shared" si="19"/>
        <v>0</v>
      </c>
      <c r="BH28" s="20">
        <f>BF$6*'2008A'!$F28</f>
        <v>0</v>
      </c>
      <c r="BI28" s="33"/>
      <c r="BJ28" s="33"/>
      <c r="BK28" s="33">
        <f t="shared" si="20"/>
        <v>0</v>
      </c>
      <c r="BL28" s="33">
        <f t="shared" si="21"/>
        <v>0</v>
      </c>
      <c r="BM28" s="20">
        <f>BK$6*'2008A'!$F28</f>
        <v>0</v>
      </c>
      <c r="BN28" s="51"/>
      <c r="BO28" s="33"/>
      <c r="BP28" s="33">
        <f t="shared" si="22"/>
        <v>0</v>
      </c>
      <c r="BQ28" s="33">
        <f t="shared" si="23"/>
        <v>0</v>
      </c>
      <c r="BR28" s="20">
        <f>BP$6*'2008A'!$F28</f>
        <v>0</v>
      </c>
      <c r="BS28" s="51"/>
      <c r="BT28" s="33"/>
      <c r="BU28" s="33">
        <f t="shared" si="24"/>
        <v>0</v>
      </c>
      <c r="BV28" s="33">
        <f t="shared" si="25"/>
        <v>0</v>
      </c>
      <c r="BW28" s="20">
        <f>BU$6*'2008A'!$F28</f>
        <v>0</v>
      </c>
      <c r="BX28" s="51"/>
      <c r="BY28" s="33"/>
      <c r="BZ28" s="33">
        <f t="shared" si="26"/>
        <v>0</v>
      </c>
      <c r="CA28" s="33">
        <f t="shared" si="27"/>
        <v>0</v>
      </c>
      <c r="CB28" s="20">
        <f>BZ$6*'2008A'!$F28</f>
        <v>0</v>
      </c>
      <c r="CC28" s="33"/>
      <c r="CD28" s="33"/>
      <c r="CE28" s="33">
        <f t="shared" si="28"/>
        <v>0</v>
      </c>
      <c r="CF28" s="33">
        <f t="shared" si="29"/>
        <v>0</v>
      </c>
      <c r="CG28" s="20">
        <f>CE$6*'2008A'!$F28</f>
        <v>0</v>
      </c>
      <c r="CH28" s="51"/>
      <c r="CI28" s="33"/>
      <c r="CJ28" s="33">
        <f t="shared" si="30"/>
        <v>0</v>
      </c>
      <c r="CK28" s="33">
        <f t="shared" si="31"/>
        <v>0</v>
      </c>
      <c r="CL28" s="20">
        <f>CJ$6*'2008A'!$F28</f>
        <v>0</v>
      </c>
      <c r="CM28" s="51"/>
      <c r="CN28" s="33"/>
      <c r="CO28" s="33">
        <f t="shared" si="32"/>
        <v>0</v>
      </c>
      <c r="CP28" s="33">
        <f t="shared" si="33"/>
        <v>0</v>
      </c>
      <c r="CQ28" s="20">
        <f>CO$6*'2008A'!$F28</f>
        <v>0</v>
      </c>
      <c r="CR28" s="51"/>
      <c r="CS28" s="33"/>
      <c r="CT28" s="33">
        <f t="shared" si="34"/>
        <v>0</v>
      </c>
      <c r="CU28" s="33">
        <f t="shared" si="35"/>
        <v>0</v>
      </c>
      <c r="CV28" s="20">
        <f>CT$6*'2008A'!$F28</f>
        <v>0</v>
      </c>
      <c r="CW28" s="51"/>
      <c r="CX28" s="33"/>
      <c r="CY28" s="33">
        <f t="shared" si="36"/>
        <v>0</v>
      </c>
      <c r="CZ28" s="33">
        <f t="shared" si="37"/>
        <v>0</v>
      </c>
      <c r="DA28" s="20">
        <f>CY$6*'2008A'!$F28</f>
        <v>0</v>
      </c>
      <c r="DB28" s="51"/>
      <c r="DC28" s="33"/>
      <c r="DD28" s="33">
        <f t="shared" si="38"/>
        <v>0</v>
      </c>
      <c r="DE28" s="33">
        <f t="shared" si="39"/>
        <v>0</v>
      </c>
      <c r="DF28" s="20">
        <f>DD$6*'2008A'!$F28</f>
        <v>0</v>
      </c>
      <c r="DG28" s="51"/>
      <c r="DH28" s="33"/>
      <c r="DI28" s="33">
        <f t="shared" si="40"/>
        <v>0</v>
      </c>
      <c r="DJ28" s="33">
        <f t="shared" si="41"/>
        <v>0</v>
      </c>
      <c r="DK28" s="20">
        <f>DI$6*'2008A'!$F28</f>
        <v>0</v>
      </c>
      <c r="DL28" s="51"/>
    </row>
    <row r="29" spans="1:116" s="53" customFormat="1" ht="12">
      <c r="A29" s="52">
        <v>45748</v>
      </c>
      <c r="C29" s="41"/>
      <c r="D29" s="41"/>
      <c r="E29" s="35">
        <f t="shared" si="0"/>
        <v>0</v>
      </c>
      <c r="F29" s="51"/>
      <c r="G29" s="71">
        <f t="shared" si="42"/>
        <v>0</v>
      </c>
      <c r="H29" s="51">
        <f t="shared" si="1"/>
        <v>0</v>
      </c>
      <c r="I29" s="51">
        <f t="shared" si="2"/>
        <v>0</v>
      </c>
      <c r="J29" s="51">
        <f t="shared" si="3"/>
        <v>0</v>
      </c>
      <c r="K29" s="51"/>
      <c r="L29" s="33">
        <f t="shared" si="43"/>
        <v>0</v>
      </c>
      <c r="M29" s="33">
        <f t="shared" si="4"/>
        <v>0</v>
      </c>
      <c r="N29" s="33">
        <f t="shared" si="5"/>
        <v>0</v>
      </c>
      <c r="O29" s="20">
        <f>M$6*'2008A'!$F29</f>
        <v>0</v>
      </c>
      <c r="P29" s="20"/>
      <c r="Q29" s="20">
        <f t="shared" si="62"/>
        <v>0</v>
      </c>
      <c r="R29" s="20">
        <f t="shared" si="63"/>
        <v>0</v>
      </c>
      <c r="S29" s="20">
        <f t="shared" si="64"/>
        <v>0</v>
      </c>
      <c r="T29" s="20">
        <f>$R$6*'2008A'!F29</f>
        <v>0</v>
      </c>
      <c r="U29" s="51"/>
      <c r="V29" s="33">
        <f t="shared" si="44"/>
        <v>0</v>
      </c>
      <c r="W29" s="51">
        <f t="shared" si="6"/>
        <v>0</v>
      </c>
      <c r="X29" s="51">
        <f t="shared" si="7"/>
        <v>0</v>
      </c>
      <c r="Y29" s="20">
        <f>W$6*'2008A'!$F29</f>
        <v>0</v>
      </c>
      <c r="Z29" s="51"/>
      <c r="AA29" s="33">
        <f t="shared" si="45"/>
        <v>0</v>
      </c>
      <c r="AB29" s="33">
        <f t="shared" si="8"/>
        <v>0</v>
      </c>
      <c r="AC29" s="33">
        <f t="shared" si="9"/>
        <v>0</v>
      </c>
      <c r="AD29" s="20">
        <f>AB$6*'2008A'!$F29</f>
        <v>0</v>
      </c>
      <c r="AE29" s="51"/>
      <c r="AF29" s="33">
        <f t="shared" si="46"/>
        <v>0</v>
      </c>
      <c r="AG29" s="33">
        <f t="shared" si="10"/>
        <v>0</v>
      </c>
      <c r="AH29" s="33">
        <f t="shared" si="11"/>
        <v>0</v>
      </c>
      <c r="AI29" s="20">
        <f>AG$6*'2008A'!$F29</f>
        <v>0</v>
      </c>
      <c r="AJ29" s="51"/>
      <c r="AK29" s="33">
        <f t="shared" si="47"/>
        <v>0</v>
      </c>
      <c r="AL29" s="33">
        <f t="shared" si="12"/>
        <v>0</v>
      </c>
      <c r="AM29" s="33">
        <f t="shared" si="13"/>
        <v>0</v>
      </c>
      <c r="AN29" s="20">
        <f>AL$6*'2008A'!$F29</f>
        <v>0</v>
      </c>
      <c r="AO29" s="51"/>
      <c r="AP29" s="33">
        <f t="shared" si="48"/>
        <v>0</v>
      </c>
      <c r="AQ29" s="33">
        <f t="shared" si="14"/>
        <v>0</v>
      </c>
      <c r="AR29" s="33">
        <f t="shared" si="15"/>
        <v>0</v>
      </c>
      <c r="AS29" s="20">
        <f>AQ$6*'2008A'!$F29</f>
        <v>0</v>
      </c>
      <c r="AT29" s="20"/>
      <c r="AU29" s="20">
        <f t="shared" si="65"/>
        <v>0</v>
      </c>
      <c r="AV29" s="20">
        <f t="shared" si="66"/>
        <v>0</v>
      </c>
      <c r="AW29" s="20">
        <f t="shared" si="67"/>
        <v>0</v>
      </c>
      <c r="AX29" s="20">
        <f>$AV$6*'2008A'!F29</f>
        <v>0</v>
      </c>
      <c r="AY29" s="33"/>
      <c r="AZ29" s="51">
        <f t="shared" si="49"/>
        <v>0</v>
      </c>
      <c r="BA29" s="51">
        <f t="shared" si="16"/>
        <v>0</v>
      </c>
      <c r="BB29" s="33">
        <f t="shared" si="17"/>
        <v>0</v>
      </c>
      <c r="BC29" s="20">
        <f>BA$6*'2008A'!$F29</f>
        <v>0</v>
      </c>
      <c r="BD29" s="33"/>
      <c r="BE29" s="51">
        <f t="shared" si="50"/>
        <v>0</v>
      </c>
      <c r="BF29" s="51">
        <f t="shared" si="18"/>
        <v>0</v>
      </c>
      <c r="BG29" s="33">
        <f t="shared" si="19"/>
        <v>0</v>
      </c>
      <c r="BH29" s="20">
        <f>BF$6*'2008A'!$F29</f>
        <v>0</v>
      </c>
      <c r="BI29" s="33"/>
      <c r="BJ29" s="33">
        <f t="shared" si="51"/>
        <v>0</v>
      </c>
      <c r="BK29" s="33">
        <f t="shared" si="20"/>
        <v>0</v>
      </c>
      <c r="BL29" s="33">
        <f t="shared" si="21"/>
        <v>0</v>
      </c>
      <c r="BM29" s="20">
        <f>BK$6*'2008A'!$F29</f>
        <v>0</v>
      </c>
      <c r="BN29" s="51"/>
      <c r="BO29" s="33">
        <f t="shared" si="52"/>
        <v>0</v>
      </c>
      <c r="BP29" s="33">
        <f t="shared" si="22"/>
        <v>0</v>
      </c>
      <c r="BQ29" s="33">
        <f t="shared" si="23"/>
        <v>0</v>
      </c>
      <c r="BR29" s="20">
        <f>BP$6*'2008A'!$F29</f>
        <v>0</v>
      </c>
      <c r="BS29" s="51"/>
      <c r="BT29" s="33">
        <f t="shared" si="53"/>
        <v>0</v>
      </c>
      <c r="BU29" s="33">
        <f t="shared" si="24"/>
        <v>0</v>
      </c>
      <c r="BV29" s="33">
        <f t="shared" si="25"/>
        <v>0</v>
      </c>
      <c r="BW29" s="20">
        <f>BU$6*'2008A'!$F29</f>
        <v>0</v>
      </c>
      <c r="BX29" s="51"/>
      <c r="BY29" s="33">
        <f t="shared" si="54"/>
        <v>0</v>
      </c>
      <c r="BZ29" s="33">
        <f t="shared" si="26"/>
        <v>0</v>
      </c>
      <c r="CA29" s="33">
        <f t="shared" si="27"/>
        <v>0</v>
      </c>
      <c r="CB29" s="20">
        <f>BZ$6*'2008A'!$F29</f>
        <v>0</v>
      </c>
      <c r="CC29" s="33"/>
      <c r="CD29" s="33">
        <f t="shared" si="55"/>
        <v>0</v>
      </c>
      <c r="CE29" s="33">
        <f t="shared" si="28"/>
        <v>0</v>
      </c>
      <c r="CF29" s="33">
        <f t="shared" si="29"/>
        <v>0</v>
      </c>
      <c r="CG29" s="20">
        <f>CE$6*'2008A'!$F29</f>
        <v>0</v>
      </c>
      <c r="CH29" s="51"/>
      <c r="CI29" s="33">
        <f t="shared" si="56"/>
        <v>0</v>
      </c>
      <c r="CJ29" s="33">
        <f t="shared" si="30"/>
        <v>0</v>
      </c>
      <c r="CK29" s="33">
        <f t="shared" si="31"/>
        <v>0</v>
      </c>
      <c r="CL29" s="20">
        <f>CJ$6*'2008A'!$F29</f>
        <v>0</v>
      </c>
      <c r="CM29" s="51"/>
      <c r="CN29" s="33">
        <f t="shared" si="57"/>
        <v>0</v>
      </c>
      <c r="CO29" s="33">
        <f t="shared" si="32"/>
        <v>0</v>
      </c>
      <c r="CP29" s="33">
        <f t="shared" si="33"/>
        <v>0</v>
      </c>
      <c r="CQ29" s="20">
        <f>CO$6*'2008A'!$F29</f>
        <v>0</v>
      </c>
      <c r="CR29" s="51"/>
      <c r="CS29" s="33">
        <f t="shared" si="58"/>
        <v>0</v>
      </c>
      <c r="CT29" s="33">
        <f t="shared" si="34"/>
        <v>0</v>
      </c>
      <c r="CU29" s="33">
        <f t="shared" si="35"/>
        <v>0</v>
      </c>
      <c r="CV29" s="20">
        <f>CT$6*'2008A'!$F29</f>
        <v>0</v>
      </c>
      <c r="CW29" s="51"/>
      <c r="CX29" s="33">
        <f t="shared" si="59"/>
        <v>0</v>
      </c>
      <c r="CY29" s="33">
        <f t="shared" si="36"/>
        <v>0</v>
      </c>
      <c r="CZ29" s="33">
        <f t="shared" si="37"/>
        <v>0</v>
      </c>
      <c r="DA29" s="20">
        <f>CY$6*'2008A'!$F29</f>
        <v>0</v>
      </c>
      <c r="DB29" s="51"/>
      <c r="DC29" s="33">
        <f t="shared" si="60"/>
        <v>0</v>
      </c>
      <c r="DD29" s="33">
        <f t="shared" si="38"/>
        <v>0</v>
      </c>
      <c r="DE29" s="33">
        <f t="shared" si="39"/>
        <v>0</v>
      </c>
      <c r="DF29" s="20">
        <f>DD$6*'2008A'!$F29</f>
        <v>0</v>
      </c>
      <c r="DG29" s="51"/>
      <c r="DH29" s="33">
        <f t="shared" si="61"/>
        <v>0</v>
      </c>
      <c r="DI29" s="33">
        <f t="shared" si="40"/>
        <v>0</v>
      </c>
      <c r="DJ29" s="33">
        <f t="shared" si="41"/>
        <v>0</v>
      </c>
      <c r="DK29" s="20">
        <f>DI$6*'2008A'!$F29</f>
        <v>0</v>
      </c>
      <c r="DL29" s="51"/>
    </row>
    <row r="30" spans="1:116" s="53" customFormat="1" ht="12">
      <c r="A30" s="52">
        <v>45931</v>
      </c>
      <c r="C30" s="41"/>
      <c r="D30" s="41"/>
      <c r="E30" s="35">
        <f t="shared" si="0"/>
        <v>0</v>
      </c>
      <c r="F30" s="51"/>
      <c r="G30" s="71"/>
      <c r="H30" s="51">
        <f t="shared" si="1"/>
        <v>0</v>
      </c>
      <c r="I30" s="51">
        <f t="shared" si="2"/>
        <v>0</v>
      </c>
      <c r="J30" s="51">
        <f t="shared" si="3"/>
        <v>0</v>
      </c>
      <c r="K30" s="51"/>
      <c r="L30" s="33"/>
      <c r="M30" s="33">
        <f t="shared" si="4"/>
        <v>0</v>
      </c>
      <c r="N30" s="33">
        <f t="shared" si="5"/>
        <v>0</v>
      </c>
      <c r="O30" s="20">
        <f>M$6*'2008A'!$F30</f>
        <v>0</v>
      </c>
      <c r="P30" s="20"/>
      <c r="Q30" s="20">
        <f t="shared" si="62"/>
        <v>0</v>
      </c>
      <c r="R30" s="20">
        <f t="shared" si="63"/>
        <v>0</v>
      </c>
      <c r="S30" s="20">
        <f t="shared" si="64"/>
        <v>0</v>
      </c>
      <c r="T30" s="20">
        <f>$R$6*'2008A'!F30</f>
        <v>0</v>
      </c>
      <c r="U30" s="51"/>
      <c r="V30" s="33"/>
      <c r="W30" s="51">
        <f t="shared" si="6"/>
        <v>0</v>
      </c>
      <c r="X30" s="51">
        <f t="shared" si="7"/>
        <v>0</v>
      </c>
      <c r="Y30" s="20">
        <f>W$6*'2008A'!$F30</f>
        <v>0</v>
      </c>
      <c r="Z30" s="51"/>
      <c r="AA30" s="33"/>
      <c r="AB30" s="33">
        <f t="shared" si="8"/>
        <v>0</v>
      </c>
      <c r="AC30" s="33">
        <f t="shared" si="9"/>
        <v>0</v>
      </c>
      <c r="AD30" s="20">
        <f>AB$6*'2008A'!$F30</f>
        <v>0</v>
      </c>
      <c r="AE30" s="51"/>
      <c r="AF30" s="33"/>
      <c r="AG30" s="33">
        <f t="shared" si="10"/>
        <v>0</v>
      </c>
      <c r="AH30" s="33">
        <f t="shared" si="11"/>
        <v>0</v>
      </c>
      <c r="AI30" s="20">
        <f>AG$6*'2008A'!$F30</f>
        <v>0</v>
      </c>
      <c r="AJ30" s="51"/>
      <c r="AK30" s="33"/>
      <c r="AL30" s="33">
        <f t="shared" si="12"/>
        <v>0</v>
      </c>
      <c r="AM30" s="33">
        <f t="shared" si="13"/>
        <v>0</v>
      </c>
      <c r="AN30" s="20">
        <f>AL$6*'2008A'!$F30</f>
        <v>0</v>
      </c>
      <c r="AO30" s="51"/>
      <c r="AP30" s="33"/>
      <c r="AQ30" s="33">
        <f t="shared" si="14"/>
        <v>0</v>
      </c>
      <c r="AR30" s="33">
        <f t="shared" si="15"/>
        <v>0</v>
      </c>
      <c r="AS30" s="20">
        <f>AQ$6*'2008A'!$F30</f>
        <v>0</v>
      </c>
      <c r="AT30" s="20"/>
      <c r="AU30" s="20">
        <f t="shared" si="65"/>
        <v>0</v>
      </c>
      <c r="AV30" s="20">
        <f t="shared" si="66"/>
        <v>0</v>
      </c>
      <c r="AW30" s="20">
        <f t="shared" si="67"/>
        <v>0</v>
      </c>
      <c r="AX30" s="20">
        <f>$AV$6*'2008A'!F30</f>
        <v>0</v>
      </c>
      <c r="AY30" s="33"/>
      <c r="AZ30" s="51"/>
      <c r="BA30" s="51">
        <f t="shared" si="16"/>
        <v>0</v>
      </c>
      <c r="BB30" s="33">
        <f t="shared" si="17"/>
        <v>0</v>
      </c>
      <c r="BC30" s="20">
        <f>BA$6*'2008A'!$F30</f>
        <v>0</v>
      </c>
      <c r="BD30" s="33"/>
      <c r="BE30" s="51"/>
      <c r="BF30" s="51">
        <f t="shared" si="18"/>
        <v>0</v>
      </c>
      <c r="BG30" s="33">
        <f t="shared" si="19"/>
        <v>0</v>
      </c>
      <c r="BH30" s="20">
        <f>BF$6*'2008A'!$F30</f>
        <v>0</v>
      </c>
      <c r="BI30" s="33"/>
      <c r="BJ30" s="33"/>
      <c r="BK30" s="33">
        <f t="shared" si="20"/>
        <v>0</v>
      </c>
      <c r="BL30" s="33">
        <f t="shared" si="21"/>
        <v>0</v>
      </c>
      <c r="BM30" s="20">
        <f>BK$6*'2008A'!$F30</f>
        <v>0</v>
      </c>
      <c r="BN30" s="51"/>
      <c r="BO30" s="33"/>
      <c r="BP30" s="33">
        <f t="shared" si="22"/>
        <v>0</v>
      </c>
      <c r="BQ30" s="33">
        <f t="shared" si="23"/>
        <v>0</v>
      </c>
      <c r="BR30" s="20">
        <f>BP$6*'2008A'!$F30</f>
        <v>0</v>
      </c>
      <c r="BS30" s="51"/>
      <c r="BT30" s="33"/>
      <c r="BU30" s="33">
        <f t="shared" si="24"/>
        <v>0</v>
      </c>
      <c r="BV30" s="33">
        <f t="shared" si="25"/>
        <v>0</v>
      </c>
      <c r="BW30" s="20">
        <f>BU$6*'2008A'!$F30</f>
        <v>0</v>
      </c>
      <c r="BX30" s="51"/>
      <c r="BY30" s="33"/>
      <c r="BZ30" s="33">
        <f t="shared" si="26"/>
        <v>0</v>
      </c>
      <c r="CA30" s="33">
        <f t="shared" si="27"/>
        <v>0</v>
      </c>
      <c r="CB30" s="20">
        <f>BZ$6*'2008A'!$F30</f>
        <v>0</v>
      </c>
      <c r="CC30" s="33"/>
      <c r="CD30" s="33"/>
      <c r="CE30" s="33">
        <f t="shared" si="28"/>
        <v>0</v>
      </c>
      <c r="CF30" s="33">
        <f t="shared" si="29"/>
        <v>0</v>
      </c>
      <c r="CG30" s="20">
        <f>CE$6*'2008A'!$F30</f>
        <v>0</v>
      </c>
      <c r="CH30" s="51"/>
      <c r="CI30" s="33"/>
      <c r="CJ30" s="33">
        <f t="shared" si="30"/>
        <v>0</v>
      </c>
      <c r="CK30" s="33">
        <f t="shared" si="31"/>
        <v>0</v>
      </c>
      <c r="CL30" s="20">
        <f>CJ$6*'2008A'!$F30</f>
        <v>0</v>
      </c>
      <c r="CM30" s="51"/>
      <c r="CN30" s="33"/>
      <c r="CO30" s="33">
        <f t="shared" si="32"/>
        <v>0</v>
      </c>
      <c r="CP30" s="33">
        <f t="shared" si="33"/>
        <v>0</v>
      </c>
      <c r="CQ30" s="20">
        <f>CO$6*'2008A'!$F30</f>
        <v>0</v>
      </c>
      <c r="CR30" s="51"/>
      <c r="CS30" s="33"/>
      <c r="CT30" s="33">
        <f t="shared" si="34"/>
        <v>0</v>
      </c>
      <c r="CU30" s="33">
        <f t="shared" si="35"/>
        <v>0</v>
      </c>
      <c r="CV30" s="20">
        <f>CT$6*'2008A'!$F30</f>
        <v>0</v>
      </c>
      <c r="CW30" s="51"/>
      <c r="CX30" s="33"/>
      <c r="CY30" s="33">
        <f t="shared" si="36"/>
        <v>0</v>
      </c>
      <c r="CZ30" s="33">
        <f t="shared" si="37"/>
        <v>0</v>
      </c>
      <c r="DA30" s="20">
        <f>CY$6*'2008A'!$F30</f>
        <v>0</v>
      </c>
      <c r="DB30" s="51"/>
      <c r="DC30" s="33"/>
      <c r="DD30" s="33">
        <f t="shared" si="38"/>
        <v>0</v>
      </c>
      <c r="DE30" s="33">
        <f t="shared" si="39"/>
        <v>0</v>
      </c>
      <c r="DF30" s="20">
        <f>DD$6*'2008A'!$F30</f>
        <v>0</v>
      </c>
      <c r="DG30" s="51"/>
      <c r="DH30" s="33"/>
      <c r="DI30" s="33">
        <f t="shared" si="40"/>
        <v>0</v>
      </c>
      <c r="DJ30" s="33">
        <f t="shared" si="41"/>
        <v>0</v>
      </c>
      <c r="DK30" s="20">
        <f>DI$6*'2008A'!$F30</f>
        <v>0</v>
      </c>
      <c r="DL30" s="51"/>
    </row>
    <row r="31" spans="1:116" s="53" customFormat="1" ht="12">
      <c r="A31" s="52">
        <v>46113</v>
      </c>
      <c r="C31" s="41"/>
      <c r="D31" s="41"/>
      <c r="E31" s="35">
        <f t="shared" si="0"/>
        <v>0</v>
      </c>
      <c r="F31" s="51"/>
      <c r="G31" s="71">
        <f t="shared" si="42"/>
        <v>0</v>
      </c>
      <c r="H31" s="51">
        <f t="shared" si="1"/>
        <v>0</v>
      </c>
      <c r="I31" s="51">
        <f t="shared" si="2"/>
        <v>0</v>
      </c>
      <c r="J31" s="51">
        <f t="shared" si="3"/>
        <v>0</v>
      </c>
      <c r="K31" s="51"/>
      <c r="L31" s="33">
        <f t="shared" si="43"/>
        <v>0</v>
      </c>
      <c r="M31" s="33">
        <f t="shared" si="4"/>
        <v>0</v>
      </c>
      <c r="N31" s="33">
        <f t="shared" si="5"/>
        <v>0</v>
      </c>
      <c r="O31" s="20">
        <f>M$6*'2008A'!$F31</f>
        <v>0</v>
      </c>
      <c r="P31" s="20"/>
      <c r="Q31" s="20">
        <f t="shared" si="62"/>
        <v>0</v>
      </c>
      <c r="R31" s="20">
        <f t="shared" si="63"/>
        <v>0</v>
      </c>
      <c r="S31" s="20">
        <f t="shared" si="64"/>
        <v>0</v>
      </c>
      <c r="T31" s="20">
        <f>$R$6*'2008A'!F31</f>
        <v>0</v>
      </c>
      <c r="U31" s="51"/>
      <c r="V31" s="33">
        <f t="shared" si="44"/>
        <v>0</v>
      </c>
      <c r="W31" s="51">
        <f t="shared" si="6"/>
        <v>0</v>
      </c>
      <c r="X31" s="51">
        <f t="shared" si="7"/>
        <v>0</v>
      </c>
      <c r="Y31" s="20">
        <f>W$6*'2008A'!$F31</f>
        <v>0</v>
      </c>
      <c r="Z31" s="51"/>
      <c r="AA31" s="33">
        <f t="shared" si="45"/>
        <v>0</v>
      </c>
      <c r="AB31" s="33">
        <f t="shared" si="8"/>
        <v>0</v>
      </c>
      <c r="AC31" s="33">
        <f t="shared" si="9"/>
        <v>0</v>
      </c>
      <c r="AD31" s="20">
        <f>AB$6*'2008A'!$F31</f>
        <v>0</v>
      </c>
      <c r="AE31" s="51"/>
      <c r="AF31" s="33">
        <f t="shared" si="46"/>
        <v>0</v>
      </c>
      <c r="AG31" s="33">
        <f t="shared" si="10"/>
        <v>0</v>
      </c>
      <c r="AH31" s="33">
        <f t="shared" si="11"/>
        <v>0</v>
      </c>
      <c r="AI31" s="20">
        <f>AG$6*'2008A'!$F31</f>
        <v>0</v>
      </c>
      <c r="AJ31" s="51"/>
      <c r="AK31" s="33">
        <f t="shared" si="47"/>
        <v>0</v>
      </c>
      <c r="AL31" s="33">
        <f t="shared" si="12"/>
        <v>0</v>
      </c>
      <c r="AM31" s="33">
        <f t="shared" si="13"/>
        <v>0</v>
      </c>
      <c r="AN31" s="20">
        <f>AL$6*'2008A'!$F31</f>
        <v>0</v>
      </c>
      <c r="AO31" s="51"/>
      <c r="AP31" s="33">
        <f t="shared" si="48"/>
        <v>0</v>
      </c>
      <c r="AQ31" s="33">
        <f t="shared" si="14"/>
        <v>0</v>
      </c>
      <c r="AR31" s="33">
        <f t="shared" si="15"/>
        <v>0</v>
      </c>
      <c r="AS31" s="20">
        <f>AQ$6*'2008A'!$F31</f>
        <v>0</v>
      </c>
      <c r="AT31" s="20"/>
      <c r="AU31" s="20">
        <f t="shared" si="65"/>
        <v>0</v>
      </c>
      <c r="AV31" s="20">
        <f t="shared" si="66"/>
        <v>0</v>
      </c>
      <c r="AW31" s="20">
        <f t="shared" si="67"/>
        <v>0</v>
      </c>
      <c r="AX31" s="20">
        <f>$AV$6*'2008A'!F31</f>
        <v>0</v>
      </c>
      <c r="AY31" s="33"/>
      <c r="AZ31" s="51">
        <f t="shared" si="49"/>
        <v>0</v>
      </c>
      <c r="BA31" s="51">
        <f t="shared" si="16"/>
        <v>0</v>
      </c>
      <c r="BB31" s="33">
        <f t="shared" si="17"/>
        <v>0</v>
      </c>
      <c r="BC31" s="20">
        <f>BA$6*'2008A'!$F31</f>
        <v>0</v>
      </c>
      <c r="BD31" s="33"/>
      <c r="BE31" s="51">
        <f t="shared" si="50"/>
        <v>0</v>
      </c>
      <c r="BF31" s="51">
        <f t="shared" si="18"/>
        <v>0</v>
      </c>
      <c r="BG31" s="33">
        <f t="shared" si="19"/>
        <v>0</v>
      </c>
      <c r="BH31" s="20">
        <f>BF$6*'2008A'!$F31</f>
        <v>0</v>
      </c>
      <c r="BI31" s="33"/>
      <c r="BJ31" s="33">
        <f t="shared" si="51"/>
        <v>0</v>
      </c>
      <c r="BK31" s="33">
        <f t="shared" si="20"/>
        <v>0</v>
      </c>
      <c r="BL31" s="33">
        <f t="shared" si="21"/>
        <v>0</v>
      </c>
      <c r="BM31" s="20">
        <f>BK$6*'2008A'!$F31</f>
        <v>0</v>
      </c>
      <c r="BN31" s="51"/>
      <c r="BO31" s="33">
        <f t="shared" si="52"/>
        <v>0</v>
      </c>
      <c r="BP31" s="33">
        <f t="shared" si="22"/>
        <v>0</v>
      </c>
      <c r="BQ31" s="33">
        <f t="shared" si="23"/>
        <v>0</v>
      </c>
      <c r="BR31" s="20">
        <f>BP$6*'2008A'!$F31</f>
        <v>0</v>
      </c>
      <c r="BS31" s="51"/>
      <c r="BT31" s="33">
        <f t="shared" si="53"/>
        <v>0</v>
      </c>
      <c r="BU31" s="33">
        <f t="shared" si="24"/>
        <v>0</v>
      </c>
      <c r="BV31" s="33">
        <f t="shared" si="25"/>
        <v>0</v>
      </c>
      <c r="BW31" s="20">
        <f>BU$6*'2008A'!$F31</f>
        <v>0</v>
      </c>
      <c r="BX31" s="51"/>
      <c r="BY31" s="33">
        <f t="shared" si="54"/>
        <v>0</v>
      </c>
      <c r="BZ31" s="33">
        <f t="shared" si="26"/>
        <v>0</v>
      </c>
      <c r="CA31" s="33">
        <f t="shared" si="27"/>
        <v>0</v>
      </c>
      <c r="CB31" s="20">
        <f>BZ$6*'2008A'!$F31</f>
        <v>0</v>
      </c>
      <c r="CC31" s="33"/>
      <c r="CD31" s="33">
        <f t="shared" si="55"/>
        <v>0</v>
      </c>
      <c r="CE31" s="33">
        <f t="shared" si="28"/>
        <v>0</v>
      </c>
      <c r="CF31" s="33">
        <f t="shared" si="29"/>
        <v>0</v>
      </c>
      <c r="CG31" s="20">
        <f>CE$6*'2008A'!$F31</f>
        <v>0</v>
      </c>
      <c r="CH31" s="51"/>
      <c r="CI31" s="33">
        <f t="shared" si="56"/>
        <v>0</v>
      </c>
      <c r="CJ31" s="33">
        <f t="shared" si="30"/>
        <v>0</v>
      </c>
      <c r="CK31" s="33">
        <f t="shared" si="31"/>
        <v>0</v>
      </c>
      <c r="CL31" s="20">
        <f>CJ$6*'2008A'!$F31</f>
        <v>0</v>
      </c>
      <c r="CM31" s="51"/>
      <c r="CN31" s="33">
        <f t="shared" si="57"/>
        <v>0</v>
      </c>
      <c r="CO31" s="33">
        <f t="shared" si="32"/>
        <v>0</v>
      </c>
      <c r="CP31" s="33">
        <f t="shared" si="33"/>
        <v>0</v>
      </c>
      <c r="CQ31" s="20">
        <f>CO$6*'2008A'!$F31</f>
        <v>0</v>
      </c>
      <c r="CR31" s="51"/>
      <c r="CS31" s="33">
        <f t="shared" si="58"/>
        <v>0</v>
      </c>
      <c r="CT31" s="33">
        <f t="shared" si="34"/>
        <v>0</v>
      </c>
      <c r="CU31" s="33">
        <f t="shared" si="35"/>
        <v>0</v>
      </c>
      <c r="CV31" s="20">
        <f>CT$6*'2008A'!$F31</f>
        <v>0</v>
      </c>
      <c r="CW31" s="51"/>
      <c r="CX31" s="33">
        <f t="shared" si="59"/>
        <v>0</v>
      </c>
      <c r="CY31" s="33">
        <f t="shared" si="36"/>
        <v>0</v>
      </c>
      <c r="CZ31" s="33">
        <f t="shared" si="37"/>
        <v>0</v>
      </c>
      <c r="DA31" s="20">
        <f>CY$6*'2008A'!$F31</f>
        <v>0</v>
      </c>
      <c r="DB31" s="51"/>
      <c r="DC31" s="33">
        <f t="shared" si="60"/>
        <v>0</v>
      </c>
      <c r="DD31" s="33">
        <f t="shared" si="38"/>
        <v>0</v>
      </c>
      <c r="DE31" s="33">
        <f t="shared" si="39"/>
        <v>0</v>
      </c>
      <c r="DF31" s="20">
        <f>DD$6*'2008A'!$F31</f>
        <v>0</v>
      </c>
      <c r="DG31" s="51"/>
      <c r="DH31" s="33">
        <f t="shared" si="61"/>
        <v>0</v>
      </c>
      <c r="DI31" s="33">
        <f t="shared" si="40"/>
        <v>0</v>
      </c>
      <c r="DJ31" s="33">
        <f t="shared" si="41"/>
        <v>0</v>
      </c>
      <c r="DK31" s="20">
        <f>DI$6*'2008A'!$F31</f>
        <v>0</v>
      </c>
      <c r="DL31" s="51"/>
    </row>
    <row r="32" spans="1:116" s="53" customFormat="1" ht="12">
      <c r="A32" s="19">
        <v>46296</v>
      </c>
      <c r="C32" s="41"/>
      <c r="D32" s="41"/>
      <c r="E32" s="35">
        <f t="shared" si="0"/>
        <v>0</v>
      </c>
      <c r="F32" s="51"/>
      <c r="G32" s="71"/>
      <c r="H32" s="51">
        <f t="shared" si="1"/>
        <v>0</v>
      </c>
      <c r="I32" s="51">
        <f t="shared" si="2"/>
        <v>0</v>
      </c>
      <c r="J32" s="51">
        <f t="shared" si="3"/>
        <v>0</v>
      </c>
      <c r="K32" s="51"/>
      <c r="L32" s="33"/>
      <c r="M32" s="33">
        <f t="shared" si="4"/>
        <v>0</v>
      </c>
      <c r="N32" s="33">
        <f t="shared" si="5"/>
        <v>0</v>
      </c>
      <c r="O32" s="20">
        <f>M$6*'2008A'!$F32</f>
        <v>0</v>
      </c>
      <c r="P32" s="20"/>
      <c r="Q32" s="20">
        <f t="shared" si="62"/>
        <v>0</v>
      </c>
      <c r="R32" s="20">
        <f t="shared" si="63"/>
        <v>0</v>
      </c>
      <c r="S32" s="20">
        <f t="shared" si="64"/>
        <v>0</v>
      </c>
      <c r="T32" s="20">
        <f>$R$6*'2008A'!F32</f>
        <v>0</v>
      </c>
      <c r="U32" s="51"/>
      <c r="V32" s="33"/>
      <c r="W32" s="51">
        <f t="shared" si="6"/>
        <v>0</v>
      </c>
      <c r="X32" s="51">
        <f t="shared" si="7"/>
        <v>0</v>
      </c>
      <c r="Y32" s="20">
        <f>W$6*'2008A'!$F32</f>
        <v>0</v>
      </c>
      <c r="Z32" s="51"/>
      <c r="AA32" s="33"/>
      <c r="AB32" s="33">
        <f t="shared" si="8"/>
        <v>0</v>
      </c>
      <c r="AC32" s="33">
        <f t="shared" si="9"/>
        <v>0</v>
      </c>
      <c r="AD32" s="20">
        <f>AB$6*'2008A'!$F32</f>
        <v>0</v>
      </c>
      <c r="AE32" s="51"/>
      <c r="AF32" s="33"/>
      <c r="AG32" s="33">
        <f t="shared" si="10"/>
        <v>0</v>
      </c>
      <c r="AH32" s="33">
        <f t="shared" si="11"/>
        <v>0</v>
      </c>
      <c r="AI32" s="20">
        <f>AG$6*'2008A'!$F32</f>
        <v>0</v>
      </c>
      <c r="AJ32" s="51"/>
      <c r="AK32" s="33"/>
      <c r="AL32" s="33">
        <f t="shared" si="12"/>
        <v>0</v>
      </c>
      <c r="AM32" s="33">
        <f t="shared" si="13"/>
        <v>0</v>
      </c>
      <c r="AN32" s="20">
        <f>AL$6*'2008A'!$F32</f>
        <v>0</v>
      </c>
      <c r="AO32" s="51"/>
      <c r="AP32" s="33"/>
      <c r="AQ32" s="33">
        <f t="shared" si="14"/>
        <v>0</v>
      </c>
      <c r="AR32" s="33">
        <f t="shared" si="15"/>
        <v>0</v>
      </c>
      <c r="AS32" s="20">
        <f>AQ$6*'2008A'!$F32</f>
        <v>0</v>
      </c>
      <c r="AT32" s="20"/>
      <c r="AU32" s="20">
        <f t="shared" si="65"/>
        <v>0</v>
      </c>
      <c r="AV32" s="20">
        <f t="shared" si="66"/>
        <v>0</v>
      </c>
      <c r="AW32" s="20">
        <f t="shared" si="67"/>
        <v>0</v>
      </c>
      <c r="AX32" s="20">
        <f>$AV$6*'2008A'!F32</f>
        <v>0</v>
      </c>
      <c r="AY32" s="33"/>
      <c r="AZ32" s="51"/>
      <c r="BA32" s="51">
        <f t="shared" si="16"/>
        <v>0</v>
      </c>
      <c r="BB32" s="33">
        <f t="shared" si="17"/>
        <v>0</v>
      </c>
      <c r="BC32" s="20">
        <f>BA$6*'2008A'!$F32</f>
        <v>0</v>
      </c>
      <c r="BD32" s="33"/>
      <c r="BE32" s="51"/>
      <c r="BF32" s="51">
        <f t="shared" si="18"/>
        <v>0</v>
      </c>
      <c r="BG32" s="33">
        <f t="shared" si="19"/>
        <v>0</v>
      </c>
      <c r="BH32" s="20">
        <f>BF$6*'2008A'!$F32</f>
        <v>0</v>
      </c>
      <c r="BI32" s="33"/>
      <c r="BJ32" s="33"/>
      <c r="BK32" s="33">
        <f t="shared" si="20"/>
        <v>0</v>
      </c>
      <c r="BL32" s="33">
        <f t="shared" si="21"/>
        <v>0</v>
      </c>
      <c r="BM32" s="20">
        <f>BK$6*'2008A'!$F32</f>
        <v>0</v>
      </c>
      <c r="BN32" s="51"/>
      <c r="BO32" s="33"/>
      <c r="BP32" s="33">
        <f t="shared" si="22"/>
        <v>0</v>
      </c>
      <c r="BQ32" s="33">
        <f t="shared" si="23"/>
        <v>0</v>
      </c>
      <c r="BR32" s="20">
        <f>BP$6*'2008A'!$F32</f>
        <v>0</v>
      </c>
      <c r="BS32" s="51"/>
      <c r="BT32" s="33"/>
      <c r="BU32" s="33">
        <f t="shared" si="24"/>
        <v>0</v>
      </c>
      <c r="BV32" s="33">
        <f t="shared" si="25"/>
        <v>0</v>
      </c>
      <c r="BW32" s="20">
        <f>BU$6*'2008A'!$F32</f>
        <v>0</v>
      </c>
      <c r="BX32" s="51"/>
      <c r="BY32" s="33"/>
      <c r="BZ32" s="33">
        <f t="shared" si="26"/>
        <v>0</v>
      </c>
      <c r="CA32" s="33">
        <f t="shared" si="27"/>
        <v>0</v>
      </c>
      <c r="CB32" s="20">
        <f>BZ$6*'2008A'!$F32</f>
        <v>0</v>
      </c>
      <c r="CC32" s="33"/>
      <c r="CD32" s="33"/>
      <c r="CE32" s="33">
        <f t="shared" si="28"/>
        <v>0</v>
      </c>
      <c r="CF32" s="33">
        <f t="shared" si="29"/>
        <v>0</v>
      </c>
      <c r="CG32" s="20">
        <f>CE$6*'2008A'!$F32</f>
        <v>0</v>
      </c>
      <c r="CH32" s="51"/>
      <c r="CI32" s="33"/>
      <c r="CJ32" s="33">
        <f t="shared" si="30"/>
        <v>0</v>
      </c>
      <c r="CK32" s="33">
        <f t="shared" si="31"/>
        <v>0</v>
      </c>
      <c r="CL32" s="20">
        <f>CJ$6*'2008A'!$F32</f>
        <v>0</v>
      </c>
      <c r="CM32" s="51"/>
      <c r="CN32" s="33"/>
      <c r="CO32" s="33">
        <f t="shared" si="32"/>
        <v>0</v>
      </c>
      <c r="CP32" s="33">
        <f t="shared" si="33"/>
        <v>0</v>
      </c>
      <c r="CQ32" s="20">
        <f>CO$6*'2008A'!$F32</f>
        <v>0</v>
      </c>
      <c r="CR32" s="51"/>
      <c r="CS32" s="33"/>
      <c r="CT32" s="33">
        <f t="shared" si="34"/>
        <v>0</v>
      </c>
      <c r="CU32" s="33">
        <f t="shared" si="35"/>
        <v>0</v>
      </c>
      <c r="CV32" s="20">
        <f>CT$6*'2008A'!$F32</f>
        <v>0</v>
      </c>
      <c r="CW32" s="51"/>
      <c r="CX32" s="33"/>
      <c r="CY32" s="33">
        <f t="shared" si="36"/>
        <v>0</v>
      </c>
      <c r="CZ32" s="33">
        <f t="shared" si="37"/>
        <v>0</v>
      </c>
      <c r="DA32" s="20">
        <f>CY$6*'2008A'!$F32</f>
        <v>0</v>
      </c>
      <c r="DB32" s="51"/>
      <c r="DC32" s="33"/>
      <c r="DD32" s="33">
        <f t="shared" si="38"/>
        <v>0</v>
      </c>
      <c r="DE32" s="33">
        <f t="shared" si="39"/>
        <v>0</v>
      </c>
      <c r="DF32" s="20">
        <f>DD$6*'2008A'!$F32</f>
        <v>0</v>
      </c>
      <c r="DG32" s="51"/>
      <c r="DH32" s="33"/>
      <c r="DI32" s="33">
        <f t="shared" si="40"/>
        <v>0</v>
      </c>
      <c r="DJ32" s="33">
        <f t="shared" si="41"/>
        <v>0</v>
      </c>
      <c r="DK32" s="20">
        <f>DI$6*'2008A'!$F32</f>
        <v>0</v>
      </c>
      <c r="DL32" s="51"/>
    </row>
    <row r="33" spans="1:116" s="53" customFormat="1" ht="12">
      <c r="A33" s="19">
        <v>46478</v>
      </c>
      <c r="C33" s="41"/>
      <c r="D33" s="41"/>
      <c r="E33" s="35">
        <f t="shared" si="0"/>
        <v>0</v>
      </c>
      <c r="F33" s="51"/>
      <c r="G33" s="71">
        <f t="shared" si="42"/>
        <v>0</v>
      </c>
      <c r="H33" s="51">
        <f t="shared" si="1"/>
        <v>0</v>
      </c>
      <c r="I33" s="51">
        <f t="shared" si="2"/>
        <v>0</v>
      </c>
      <c r="J33" s="51">
        <f t="shared" si="3"/>
        <v>0</v>
      </c>
      <c r="K33" s="51"/>
      <c r="L33" s="33">
        <f t="shared" si="43"/>
        <v>0</v>
      </c>
      <c r="M33" s="33">
        <f t="shared" si="4"/>
        <v>0</v>
      </c>
      <c r="N33" s="33">
        <f t="shared" si="5"/>
        <v>0</v>
      </c>
      <c r="O33" s="20">
        <f>M$6*'2008A'!$F33</f>
        <v>0</v>
      </c>
      <c r="P33" s="20"/>
      <c r="Q33" s="20">
        <f t="shared" si="62"/>
        <v>0</v>
      </c>
      <c r="R33" s="20">
        <f t="shared" si="63"/>
        <v>0</v>
      </c>
      <c r="S33" s="20">
        <f t="shared" si="64"/>
        <v>0</v>
      </c>
      <c r="T33" s="20">
        <f>$R$6*'2008A'!F33</f>
        <v>0</v>
      </c>
      <c r="U33" s="51"/>
      <c r="V33" s="33">
        <f t="shared" si="44"/>
        <v>0</v>
      </c>
      <c r="W33" s="51">
        <f t="shared" si="6"/>
        <v>0</v>
      </c>
      <c r="X33" s="51">
        <f t="shared" si="7"/>
        <v>0</v>
      </c>
      <c r="Y33" s="20">
        <f>W$6*'2008A'!$F33</f>
        <v>0</v>
      </c>
      <c r="Z33" s="51"/>
      <c r="AA33" s="33">
        <f t="shared" si="45"/>
        <v>0</v>
      </c>
      <c r="AB33" s="33">
        <f t="shared" si="8"/>
        <v>0</v>
      </c>
      <c r="AC33" s="33">
        <f t="shared" si="9"/>
        <v>0</v>
      </c>
      <c r="AD33" s="20">
        <f>AB$6*'2008A'!$F33</f>
        <v>0</v>
      </c>
      <c r="AE33" s="51"/>
      <c r="AF33" s="33">
        <f t="shared" si="46"/>
        <v>0</v>
      </c>
      <c r="AG33" s="33">
        <f t="shared" si="10"/>
        <v>0</v>
      </c>
      <c r="AH33" s="33">
        <f t="shared" si="11"/>
        <v>0</v>
      </c>
      <c r="AI33" s="20">
        <f>AG$6*'2008A'!$F33</f>
        <v>0</v>
      </c>
      <c r="AJ33" s="51"/>
      <c r="AK33" s="33">
        <f t="shared" si="47"/>
        <v>0</v>
      </c>
      <c r="AL33" s="33">
        <f t="shared" si="12"/>
        <v>0</v>
      </c>
      <c r="AM33" s="33">
        <f t="shared" si="13"/>
        <v>0</v>
      </c>
      <c r="AN33" s="20">
        <f>AL$6*'2008A'!$F33</f>
        <v>0</v>
      </c>
      <c r="AO33" s="51"/>
      <c r="AP33" s="33">
        <f t="shared" si="48"/>
        <v>0</v>
      </c>
      <c r="AQ33" s="33">
        <f t="shared" si="14"/>
        <v>0</v>
      </c>
      <c r="AR33" s="33">
        <f t="shared" si="15"/>
        <v>0</v>
      </c>
      <c r="AS33" s="20">
        <f>AQ$6*'2008A'!$F33</f>
        <v>0</v>
      </c>
      <c r="AT33" s="20"/>
      <c r="AU33" s="20">
        <f t="shared" si="65"/>
        <v>0</v>
      </c>
      <c r="AV33" s="20">
        <f t="shared" si="66"/>
        <v>0</v>
      </c>
      <c r="AW33" s="20">
        <f t="shared" si="67"/>
        <v>0</v>
      </c>
      <c r="AX33" s="20">
        <f>$AV$6*'2008A'!F33</f>
        <v>0</v>
      </c>
      <c r="AY33" s="33"/>
      <c r="AZ33" s="51">
        <f t="shared" si="49"/>
        <v>0</v>
      </c>
      <c r="BA33" s="51">
        <f t="shared" si="16"/>
        <v>0</v>
      </c>
      <c r="BB33" s="33">
        <f t="shared" si="17"/>
        <v>0</v>
      </c>
      <c r="BC33" s="20">
        <f>BA$6*'2008A'!$F33</f>
        <v>0</v>
      </c>
      <c r="BD33" s="33"/>
      <c r="BE33" s="51">
        <f t="shared" si="50"/>
        <v>0</v>
      </c>
      <c r="BF33" s="51">
        <f t="shared" si="18"/>
        <v>0</v>
      </c>
      <c r="BG33" s="33">
        <f t="shared" si="19"/>
        <v>0</v>
      </c>
      <c r="BH33" s="20">
        <f>BF$6*'2008A'!$F33</f>
        <v>0</v>
      </c>
      <c r="BI33" s="33"/>
      <c r="BJ33" s="33">
        <f t="shared" si="51"/>
        <v>0</v>
      </c>
      <c r="BK33" s="33">
        <f t="shared" si="20"/>
        <v>0</v>
      </c>
      <c r="BL33" s="33">
        <f t="shared" si="21"/>
        <v>0</v>
      </c>
      <c r="BM33" s="20">
        <f>BK$6*'2008A'!$F33</f>
        <v>0</v>
      </c>
      <c r="BN33" s="51"/>
      <c r="BO33" s="33">
        <f t="shared" si="52"/>
        <v>0</v>
      </c>
      <c r="BP33" s="33">
        <f t="shared" si="22"/>
        <v>0</v>
      </c>
      <c r="BQ33" s="33">
        <f t="shared" si="23"/>
        <v>0</v>
      </c>
      <c r="BR33" s="20">
        <f>BP$6*'2008A'!$F33</f>
        <v>0</v>
      </c>
      <c r="BS33" s="51"/>
      <c r="BT33" s="33">
        <f t="shared" si="53"/>
        <v>0</v>
      </c>
      <c r="BU33" s="33">
        <f t="shared" si="24"/>
        <v>0</v>
      </c>
      <c r="BV33" s="33">
        <f t="shared" si="25"/>
        <v>0</v>
      </c>
      <c r="BW33" s="20">
        <f>BU$6*'2008A'!$F33</f>
        <v>0</v>
      </c>
      <c r="BX33" s="51"/>
      <c r="BY33" s="33">
        <f t="shared" si="54"/>
        <v>0</v>
      </c>
      <c r="BZ33" s="33">
        <f t="shared" si="26"/>
        <v>0</v>
      </c>
      <c r="CA33" s="33">
        <f t="shared" si="27"/>
        <v>0</v>
      </c>
      <c r="CB33" s="20">
        <f>BZ$6*'2008A'!$F33</f>
        <v>0</v>
      </c>
      <c r="CC33" s="33"/>
      <c r="CD33" s="33">
        <f t="shared" si="55"/>
        <v>0</v>
      </c>
      <c r="CE33" s="33">
        <f t="shared" si="28"/>
        <v>0</v>
      </c>
      <c r="CF33" s="33">
        <f t="shared" si="29"/>
        <v>0</v>
      </c>
      <c r="CG33" s="20">
        <f>CE$6*'2008A'!$F33</f>
        <v>0</v>
      </c>
      <c r="CH33" s="51"/>
      <c r="CI33" s="33">
        <f t="shared" si="56"/>
        <v>0</v>
      </c>
      <c r="CJ33" s="33">
        <f t="shared" si="30"/>
        <v>0</v>
      </c>
      <c r="CK33" s="33">
        <f t="shared" si="31"/>
        <v>0</v>
      </c>
      <c r="CL33" s="20">
        <f>CJ$6*'2008A'!$F33</f>
        <v>0</v>
      </c>
      <c r="CM33" s="51"/>
      <c r="CN33" s="33">
        <f t="shared" si="57"/>
        <v>0</v>
      </c>
      <c r="CO33" s="33">
        <f t="shared" si="32"/>
        <v>0</v>
      </c>
      <c r="CP33" s="33">
        <f t="shared" si="33"/>
        <v>0</v>
      </c>
      <c r="CQ33" s="20">
        <f>CO$6*'2008A'!$F33</f>
        <v>0</v>
      </c>
      <c r="CR33" s="51"/>
      <c r="CS33" s="33">
        <f t="shared" si="58"/>
        <v>0</v>
      </c>
      <c r="CT33" s="33">
        <f t="shared" si="34"/>
        <v>0</v>
      </c>
      <c r="CU33" s="33">
        <f t="shared" si="35"/>
        <v>0</v>
      </c>
      <c r="CV33" s="20">
        <f>CT$6*'2008A'!$F33</f>
        <v>0</v>
      </c>
      <c r="CW33" s="51"/>
      <c r="CX33" s="33">
        <f t="shared" si="59"/>
        <v>0</v>
      </c>
      <c r="CY33" s="33">
        <f t="shared" si="36"/>
        <v>0</v>
      </c>
      <c r="CZ33" s="33">
        <f t="shared" si="37"/>
        <v>0</v>
      </c>
      <c r="DA33" s="20">
        <f>CY$6*'2008A'!$F33</f>
        <v>0</v>
      </c>
      <c r="DB33" s="51"/>
      <c r="DC33" s="33">
        <f t="shared" si="60"/>
        <v>0</v>
      </c>
      <c r="DD33" s="33">
        <f t="shared" si="38"/>
        <v>0</v>
      </c>
      <c r="DE33" s="33">
        <f t="shared" si="39"/>
        <v>0</v>
      </c>
      <c r="DF33" s="20">
        <f>DD$6*'2008A'!$F33</f>
        <v>0</v>
      </c>
      <c r="DG33" s="51"/>
      <c r="DH33" s="33">
        <f t="shared" si="61"/>
        <v>0</v>
      </c>
      <c r="DI33" s="33">
        <f t="shared" si="40"/>
        <v>0</v>
      </c>
      <c r="DJ33" s="33">
        <f t="shared" si="41"/>
        <v>0</v>
      </c>
      <c r="DK33" s="20">
        <f>DI$6*'2008A'!$F33</f>
        <v>0</v>
      </c>
      <c r="DL33" s="51"/>
    </row>
    <row r="34" spans="1:116" s="53" customFormat="1" ht="12">
      <c r="A34" s="19">
        <v>46661</v>
      </c>
      <c r="B34"/>
      <c r="C34" s="41"/>
      <c r="D34" s="41"/>
      <c r="E34" s="35">
        <f t="shared" si="0"/>
        <v>0</v>
      </c>
      <c r="F34" s="51"/>
      <c r="G34" s="71"/>
      <c r="H34" s="51">
        <f t="shared" si="1"/>
        <v>0</v>
      </c>
      <c r="I34" s="51">
        <f t="shared" si="2"/>
        <v>0</v>
      </c>
      <c r="J34" s="51">
        <f t="shared" si="3"/>
        <v>0</v>
      </c>
      <c r="K34" s="51"/>
      <c r="L34" s="33"/>
      <c r="M34" s="33">
        <f t="shared" si="4"/>
        <v>0</v>
      </c>
      <c r="N34" s="33">
        <f t="shared" si="5"/>
        <v>0</v>
      </c>
      <c r="O34" s="20">
        <f>M$6*'2008A'!$F34</f>
        <v>0</v>
      </c>
      <c r="P34" s="20"/>
      <c r="Q34" s="20">
        <f t="shared" si="62"/>
        <v>0</v>
      </c>
      <c r="R34" s="20">
        <f t="shared" si="63"/>
        <v>0</v>
      </c>
      <c r="S34" s="20">
        <f t="shared" si="64"/>
        <v>0</v>
      </c>
      <c r="T34" s="20">
        <f>$R$6*'2008A'!F34</f>
        <v>0</v>
      </c>
      <c r="U34" s="51"/>
      <c r="V34" s="33"/>
      <c r="W34" s="51">
        <f t="shared" si="6"/>
        <v>0</v>
      </c>
      <c r="X34" s="51">
        <f t="shared" si="7"/>
        <v>0</v>
      </c>
      <c r="Y34" s="20">
        <f>W$6*'2008A'!$F34</f>
        <v>0</v>
      </c>
      <c r="Z34" s="51"/>
      <c r="AA34" s="33"/>
      <c r="AB34" s="33">
        <f t="shared" si="8"/>
        <v>0</v>
      </c>
      <c r="AC34" s="33">
        <f t="shared" si="9"/>
        <v>0</v>
      </c>
      <c r="AD34" s="20">
        <f>AB$6*'2008A'!$F34</f>
        <v>0</v>
      </c>
      <c r="AE34" s="51"/>
      <c r="AF34" s="33"/>
      <c r="AG34" s="33">
        <f t="shared" si="10"/>
        <v>0</v>
      </c>
      <c r="AH34" s="33">
        <f t="shared" si="11"/>
        <v>0</v>
      </c>
      <c r="AI34" s="20">
        <f>AG$6*'2008A'!$F34</f>
        <v>0</v>
      </c>
      <c r="AJ34" s="51"/>
      <c r="AK34" s="33"/>
      <c r="AL34" s="33">
        <f t="shared" si="12"/>
        <v>0</v>
      </c>
      <c r="AM34" s="33">
        <f t="shared" si="13"/>
        <v>0</v>
      </c>
      <c r="AN34" s="20">
        <f>AL$6*'2008A'!$F34</f>
        <v>0</v>
      </c>
      <c r="AO34" s="51"/>
      <c r="AP34" s="33"/>
      <c r="AQ34" s="33">
        <f t="shared" si="14"/>
        <v>0</v>
      </c>
      <c r="AR34" s="33">
        <f t="shared" si="15"/>
        <v>0</v>
      </c>
      <c r="AS34" s="20">
        <f>AQ$6*'2008A'!$F34</f>
        <v>0</v>
      </c>
      <c r="AT34" s="20"/>
      <c r="AU34" s="20">
        <f t="shared" si="65"/>
        <v>0</v>
      </c>
      <c r="AV34" s="20">
        <f t="shared" si="66"/>
        <v>0</v>
      </c>
      <c r="AW34" s="20">
        <f t="shared" si="67"/>
        <v>0</v>
      </c>
      <c r="AX34" s="20">
        <f>$AV$6*'2008A'!F34</f>
        <v>0</v>
      </c>
      <c r="AY34" s="33"/>
      <c r="AZ34" s="51"/>
      <c r="BA34" s="51">
        <f t="shared" si="16"/>
        <v>0</v>
      </c>
      <c r="BB34" s="33">
        <f t="shared" si="17"/>
        <v>0</v>
      </c>
      <c r="BC34" s="20">
        <f>BA$6*'2008A'!$F34</f>
        <v>0</v>
      </c>
      <c r="BD34" s="33"/>
      <c r="BE34" s="51"/>
      <c r="BF34" s="51">
        <f t="shared" si="18"/>
        <v>0</v>
      </c>
      <c r="BG34" s="33">
        <f t="shared" si="19"/>
        <v>0</v>
      </c>
      <c r="BH34" s="20">
        <f>BF$6*'2008A'!$F34</f>
        <v>0</v>
      </c>
      <c r="BI34" s="33"/>
      <c r="BJ34" s="33"/>
      <c r="BK34" s="33">
        <f t="shared" si="20"/>
        <v>0</v>
      </c>
      <c r="BL34" s="33">
        <f t="shared" si="21"/>
        <v>0</v>
      </c>
      <c r="BM34" s="20">
        <f>BK$6*'2008A'!$F34</f>
        <v>0</v>
      </c>
      <c r="BN34" s="51"/>
      <c r="BO34" s="33"/>
      <c r="BP34" s="33">
        <f t="shared" si="22"/>
        <v>0</v>
      </c>
      <c r="BQ34" s="33">
        <f t="shared" si="23"/>
        <v>0</v>
      </c>
      <c r="BR34" s="20">
        <f>BP$6*'2008A'!$F34</f>
        <v>0</v>
      </c>
      <c r="BS34" s="51"/>
      <c r="BT34" s="33"/>
      <c r="BU34" s="33">
        <f t="shared" si="24"/>
        <v>0</v>
      </c>
      <c r="BV34" s="33">
        <f t="shared" si="25"/>
        <v>0</v>
      </c>
      <c r="BW34" s="20">
        <f>BU$6*'2008A'!$F34</f>
        <v>0</v>
      </c>
      <c r="BX34" s="51"/>
      <c r="BY34" s="33"/>
      <c r="BZ34" s="33">
        <f t="shared" si="26"/>
        <v>0</v>
      </c>
      <c r="CA34" s="33">
        <f t="shared" si="27"/>
        <v>0</v>
      </c>
      <c r="CB34" s="20">
        <f>BZ$6*'2008A'!$F34</f>
        <v>0</v>
      </c>
      <c r="CC34" s="33"/>
      <c r="CD34" s="33"/>
      <c r="CE34" s="33">
        <f t="shared" si="28"/>
        <v>0</v>
      </c>
      <c r="CF34" s="33">
        <f t="shared" si="29"/>
        <v>0</v>
      </c>
      <c r="CG34" s="20">
        <f>CE$6*'2008A'!$F34</f>
        <v>0</v>
      </c>
      <c r="CH34" s="51"/>
      <c r="CI34" s="33"/>
      <c r="CJ34" s="33">
        <f t="shared" si="30"/>
        <v>0</v>
      </c>
      <c r="CK34" s="33">
        <f t="shared" si="31"/>
        <v>0</v>
      </c>
      <c r="CL34" s="20">
        <f>CJ$6*'2008A'!$F34</f>
        <v>0</v>
      </c>
      <c r="CM34" s="51"/>
      <c r="CN34" s="33"/>
      <c r="CO34" s="33">
        <f t="shared" si="32"/>
        <v>0</v>
      </c>
      <c r="CP34" s="33">
        <f t="shared" si="33"/>
        <v>0</v>
      </c>
      <c r="CQ34" s="20">
        <f>CO$6*'2008A'!$F34</f>
        <v>0</v>
      </c>
      <c r="CR34" s="51"/>
      <c r="CS34" s="33"/>
      <c r="CT34" s="33">
        <f t="shared" si="34"/>
        <v>0</v>
      </c>
      <c r="CU34" s="33">
        <f t="shared" si="35"/>
        <v>0</v>
      </c>
      <c r="CV34" s="20">
        <f>CT$6*'2008A'!$F34</f>
        <v>0</v>
      </c>
      <c r="CW34" s="51"/>
      <c r="CX34" s="33"/>
      <c r="CY34" s="33">
        <f t="shared" si="36"/>
        <v>0</v>
      </c>
      <c r="CZ34" s="33">
        <f t="shared" si="37"/>
        <v>0</v>
      </c>
      <c r="DA34" s="20">
        <f>CY$6*'2008A'!$F34</f>
        <v>0</v>
      </c>
      <c r="DB34" s="51"/>
      <c r="DC34" s="33"/>
      <c r="DD34" s="33">
        <f t="shared" si="38"/>
        <v>0</v>
      </c>
      <c r="DE34" s="33">
        <f t="shared" si="39"/>
        <v>0</v>
      </c>
      <c r="DF34" s="20">
        <f>DD$6*'2008A'!$F34</f>
        <v>0</v>
      </c>
      <c r="DG34" s="51"/>
      <c r="DH34" s="33"/>
      <c r="DI34" s="33">
        <f t="shared" si="40"/>
        <v>0</v>
      </c>
      <c r="DJ34" s="33">
        <f t="shared" si="41"/>
        <v>0</v>
      </c>
      <c r="DK34" s="20">
        <f>DI$6*'2008A'!$F34</f>
        <v>0</v>
      </c>
      <c r="DL34" s="51"/>
    </row>
    <row r="35" spans="1:116" s="53" customFormat="1" ht="12">
      <c r="A35" s="19">
        <v>46844</v>
      </c>
      <c r="B35"/>
      <c r="C35" s="41"/>
      <c r="D35" s="41"/>
      <c r="E35" s="35">
        <f t="shared" si="0"/>
        <v>0</v>
      </c>
      <c r="F35" s="51"/>
      <c r="G35" s="71">
        <f t="shared" si="42"/>
        <v>0</v>
      </c>
      <c r="H35" s="51">
        <f t="shared" si="1"/>
        <v>0</v>
      </c>
      <c r="I35" s="51">
        <f t="shared" si="2"/>
        <v>0</v>
      </c>
      <c r="J35" s="51">
        <f t="shared" si="3"/>
        <v>0</v>
      </c>
      <c r="K35" s="51"/>
      <c r="L35" s="33">
        <f t="shared" si="43"/>
        <v>0</v>
      </c>
      <c r="M35" s="33">
        <f t="shared" si="4"/>
        <v>0</v>
      </c>
      <c r="N35" s="33">
        <f t="shared" si="5"/>
        <v>0</v>
      </c>
      <c r="O35" s="20">
        <f>M$6*'2008A'!$F35</f>
        <v>0</v>
      </c>
      <c r="P35" s="20"/>
      <c r="Q35" s="20">
        <f t="shared" si="62"/>
        <v>0</v>
      </c>
      <c r="R35" s="20">
        <f t="shared" si="63"/>
        <v>0</v>
      </c>
      <c r="S35" s="20">
        <f t="shared" si="64"/>
        <v>0</v>
      </c>
      <c r="T35" s="20">
        <f>$R$6*'2008A'!F35</f>
        <v>0</v>
      </c>
      <c r="U35" s="51"/>
      <c r="V35" s="33">
        <f t="shared" si="44"/>
        <v>0</v>
      </c>
      <c r="W35" s="51">
        <f t="shared" si="6"/>
        <v>0</v>
      </c>
      <c r="X35" s="51">
        <f t="shared" si="7"/>
        <v>0</v>
      </c>
      <c r="Y35" s="20">
        <f>W$6*'2008A'!$F35</f>
        <v>0</v>
      </c>
      <c r="Z35" s="51"/>
      <c r="AA35" s="33">
        <f t="shared" si="45"/>
        <v>0</v>
      </c>
      <c r="AB35" s="33">
        <f t="shared" si="8"/>
        <v>0</v>
      </c>
      <c r="AC35" s="33">
        <f t="shared" si="9"/>
        <v>0</v>
      </c>
      <c r="AD35" s="20">
        <f>AB$6*'2008A'!$F35</f>
        <v>0</v>
      </c>
      <c r="AE35" s="51"/>
      <c r="AF35" s="33">
        <f t="shared" si="46"/>
        <v>0</v>
      </c>
      <c r="AG35" s="33">
        <f t="shared" si="10"/>
        <v>0</v>
      </c>
      <c r="AH35" s="33">
        <f t="shared" si="11"/>
        <v>0</v>
      </c>
      <c r="AI35" s="20">
        <f>AG$6*'2008A'!$F35</f>
        <v>0</v>
      </c>
      <c r="AJ35" s="51"/>
      <c r="AK35" s="33">
        <f t="shared" si="47"/>
        <v>0</v>
      </c>
      <c r="AL35" s="33">
        <f t="shared" si="12"/>
        <v>0</v>
      </c>
      <c r="AM35" s="33">
        <f t="shared" si="13"/>
        <v>0</v>
      </c>
      <c r="AN35" s="20">
        <f>AL$6*'2008A'!$F35</f>
        <v>0</v>
      </c>
      <c r="AO35" s="51"/>
      <c r="AP35" s="33">
        <f t="shared" si="48"/>
        <v>0</v>
      </c>
      <c r="AQ35" s="33">
        <f t="shared" si="14"/>
        <v>0</v>
      </c>
      <c r="AR35" s="33">
        <f t="shared" si="15"/>
        <v>0</v>
      </c>
      <c r="AS35" s="20">
        <f>AQ$6*'2008A'!$F35</f>
        <v>0</v>
      </c>
      <c r="AT35" s="20"/>
      <c r="AU35" s="20">
        <f t="shared" si="65"/>
        <v>0</v>
      </c>
      <c r="AV35" s="20">
        <f t="shared" si="66"/>
        <v>0</v>
      </c>
      <c r="AW35" s="20">
        <f t="shared" si="67"/>
        <v>0</v>
      </c>
      <c r="AX35" s="20">
        <f>$AV$6*'2008A'!F35</f>
        <v>0</v>
      </c>
      <c r="AY35" s="33"/>
      <c r="AZ35" s="51">
        <f t="shared" si="49"/>
        <v>0</v>
      </c>
      <c r="BA35" s="51">
        <f t="shared" si="16"/>
        <v>0</v>
      </c>
      <c r="BB35" s="33">
        <f t="shared" si="17"/>
        <v>0</v>
      </c>
      <c r="BC35" s="20">
        <f>BA$6*'2008A'!$F35</f>
        <v>0</v>
      </c>
      <c r="BD35" s="33"/>
      <c r="BE35" s="51">
        <f t="shared" si="50"/>
        <v>0</v>
      </c>
      <c r="BF35" s="51">
        <f t="shared" si="18"/>
        <v>0</v>
      </c>
      <c r="BG35" s="33">
        <f t="shared" si="19"/>
        <v>0</v>
      </c>
      <c r="BH35" s="20">
        <f>BF$6*'2008A'!$F35</f>
        <v>0</v>
      </c>
      <c r="BI35" s="33"/>
      <c r="BJ35" s="33">
        <f t="shared" si="51"/>
        <v>0</v>
      </c>
      <c r="BK35" s="33">
        <f t="shared" si="20"/>
        <v>0</v>
      </c>
      <c r="BL35" s="33">
        <f t="shared" si="21"/>
        <v>0</v>
      </c>
      <c r="BM35" s="20">
        <f>BK$6*'2008A'!$F35</f>
        <v>0</v>
      </c>
      <c r="BN35" s="51"/>
      <c r="BO35" s="33">
        <f t="shared" si="52"/>
        <v>0</v>
      </c>
      <c r="BP35" s="33">
        <f t="shared" si="22"/>
        <v>0</v>
      </c>
      <c r="BQ35" s="33">
        <f t="shared" si="23"/>
        <v>0</v>
      </c>
      <c r="BR35" s="20">
        <f>BP$6*'2008A'!$F35</f>
        <v>0</v>
      </c>
      <c r="BS35" s="51"/>
      <c r="BT35" s="33">
        <f t="shared" si="53"/>
        <v>0</v>
      </c>
      <c r="BU35" s="33">
        <f t="shared" si="24"/>
        <v>0</v>
      </c>
      <c r="BV35" s="33">
        <f t="shared" si="25"/>
        <v>0</v>
      </c>
      <c r="BW35" s="20">
        <f>BU$6*'2008A'!$F35</f>
        <v>0</v>
      </c>
      <c r="BX35" s="51"/>
      <c r="BY35" s="33">
        <f t="shared" si="54"/>
        <v>0</v>
      </c>
      <c r="BZ35" s="33">
        <f t="shared" si="26"/>
        <v>0</v>
      </c>
      <c r="CA35" s="33">
        <f t="shared" si="27"/>
        <v>0</v>
      </c>
      <c r="CB35" s="20">
        <f>BZ$6*'2008A'!$F35</f>
        <v>0</v>
      </c>
      <c r="CC35" s="33"/>
      <c r="CD35" s="33">
        <f t="shared" si="55"/>
        <v>0</v>
      </c>
      <c r="CE35" s="33">
        <f t="shared" si="28"/>
        <v>0</v>
      </c>
      <c r="CF35" s="33">
        <f t="shared" si="29"/>
        <v>0</v>
      </c>
      <c r="CG35" s="20">
        <f>CE$6*'2008A'!$F35</f>
        <v>0</v>
      </c>
      <c r="CH35" s="51"/>
      <c r="CI35" s="33">
        <f t="shared" si="56"/>
        <v>0</v>
      </c>
      <c r="CJ35" s="33">
        <f t="shared" si="30"/>
        <v>0</v>
      </c>
      <c r="CK35" s="33">
        <f t="shared" si="31"/>
        <v>0</v>
      </c>
      <c r="CL35" s="20">
        <f>CJ$6*'2008A'!$F35</f>
        <v>0</v>
      </c>
      <c r="CM35" s="51"/>
      <c r="CN35" s="33">
        <f t="shared" si="57"/>
        <v>0</v>
      </c>
      <c r="CO35" s="33">
        <f t="shared" si="32"/>
        <v>0</v>
      </c>
      <c r="CP35" s="33">
        <f t="shared" si="33"/>
        <v>0</v>
      </c>
      <c r="CQ35" s="20">
        <f>CO$6*'2008A'!$F35</f>
        <v>0</v>
      </c>
      <c r="CR35" s="51"/>
      <c r="CS35" s="33">
        <f t="shared" si="58"/>
        <v>0</v>
      </c>
      <c r="CT35" s="33">
        <f t="shared" si="34"/>
        <v>0</v>
      </c>
      <c r="CU35" s="33">
        <f t="shared" si="35"/>
        <v>0</v>
      </c>
      <c r="CV35" s="20">
        <f>CT$6*'2008A'!$F35</f>
        <v>0</v>
      </c>
      <c r="CW35" s="51"/>
      <c r="CX35" s="33">
        <f t="shared" si="59"/>
        <v>0</v>
      </c>
      <c r="CY35" s="33">
        <f t="shared" si="36"/>
        <v>0</v>
      </c>
      <c r="CZ35" s="33">
        <f t="shared" si="37"/>
        <v>0</v>
      </c>
      <c r="DA35" s="20">
        <f>CY$6*'2008A'!$F35</f>
        <v>0</v>
      </c>
      <c r="DB35" s="51"/>
      <c r="DC35" s="33">
        <f t="shared" si="60"/>
        <v>0</v>
      </c>
      <c r="DD35" s="33">
        <f t="shared" si="38"/>
        <v>0</v>
      </c>
      <c r="DE35" s="33">
        <f t="shared" si="39"/>
        <v>0</v>
      </c>
      <c r="DF35" s="20">
        <f>DD$6*'2008A'!$F35</f>
        <v>0</v>
      </c>
      <c r="DG35" s="51"/>
      <c r="DH35" s="33">
        <f t="shared" si="61"/>
        <v>0</v>
      </c>
      <c r="DI35" s="33">
        <f t="shared" si="40"/>
        <v>0</v>
      </c>
      <c r="DJ35" s="33">
        <f t="shared" si="41"/>
        <v>0</v>
      </c>
      <c r="DK35" s="20">
        <f>DI$6*'2008A'!$F35</f>
        <v>0</v>
      </c>
      <c r="DL35" s="51"/>
    </row>
    <row r="37" spans="1:115" ht="12.75" thickBot="1">
      <c r="A37" s="31" t="s">
        <v>4</v>
      </c>
      <c r="C37" s="50">
        <f>SUM(C8:C35)</f>
        <v>25165000</v>
      </c>
      <c r="D37" s="50">
        <f>SUM(D8:D35)</f>
        <v>6403486</v>
      </c>
      <c r="E37" s="50">
        <f>SUM(E8:E35)</f>
        <v>31568486</v>
      </c>
      <c r="G37" s="50">
        <f>SUM(G8:G35)</f>
        <v>2549682.5689999997</v>
      </c>
      <c r="H37" s="50">
        <f>SUM(H8:H35)</f>
        <v>648792.2366395999</v>
      </c>
      <c r="I37" s="50">
        <f>SUM(I8:I35)</f>
        <v>3198474.8056396004</v>
      </c>
      <c r="J37" s="50">
        <f>SUM(J8:J35)</f>
        <v>61953.486979200025</v>
      </c>
      <c r="L37" s="50">
        <f>SUM(L8:L35)</f>
        <v>254795.625</v>
      </c>
      <c r="M37" s="50">
        <f>SUM(M8:M35)</f>
        <v>64835.29575000003</v>
      </c>
      <c r="N37" s="50">
        <f>SUM(N8:N35)</f>
        <v>319630.92074999993</v>
      </c>
      <c r="O37" s="50">
        <f>SUM(O8:O35)</f>
        <v>6191.154</v>
      </c>
      <c r="P37" s="41"/>
      <c r="Q37" s="50">
        <f>SUM(Q8:Q35)</f>
        <v>32778.67520661158</v>
      </c>
      <c r="R37" s="50">
        <f>SUM(R8:R35)</f>
        <v>8340.8618233294</v>
      </c>
      <c r="S37" s="50">
        <f>SUM(S8:S35)</f>
        <v>41119.53702994098</v>
      </c>
      <c r="T37" s="50">
        <f>SUM(T8:T35)</f>
        <v>796.4729618890204</v>
      </c>
      <c r="V37" s="50">
        <f>SUM(V8:V35)</f>
        <v>598031.126</v>
      </c>
      <c r="W37" s="50">
        <f>SUM(W8:W35)</f>
        <v>152175.00269840003</v>
      </c>
      <c r="X37" s="50">
        <f>SUM(X8:X35)</f>
        <v>750206.1286984</v>
      </c>
      <c r="Y37" s="50">
        <f>SUM(Y8:Y35)</f>
        <v>14531.265196799997</v>
      </c>
      <c r="AA37" s="50">
        <f>SUM(AA8:AA35)</f>
        <v>17303.454</v>
      </c>
      <c r="AB37" s="50">
        <f>SUM(AB8:AB35)</f>
        <v>4403.036973600001</v>
      </c>
      <c r="AC37" s="50">
        <f>SUM(AC8:AC35)</f>
        <v>21706.4909736</v>
      </c>
      <c r="AD37" s="50">
        <f>SUM(AD8:AD35)</f>
        <v>420.4481472000001</v>
      </c>
      <c r="AF37" s="50">
        <f>SUM(AF8:AF35)</f>
        <v>12622.764</v>
      </c>
      <c r="AG37" s="50">
        <f>SUM(AG8:AG35)</f>
        <v>3211.9885776</v>
      </c>
      <c r="AH37" s="50">
        <f>SUM(AH8:AH35)</f>
        <v>15834.7525776</v>
      </c>
      <c r="AI37" s="50">
        <f>SUM(AI8:AI35)</f>
        <v>306.71435520000006</v>
      </c>
      <c r="AK37" s="50">
        <f>SUM(AK8:AK35)</f>
        <v>176155</v>
      </c>
      <c r="AL37" s="50">
        <f>SUM(AL8:AL35)</f>
        <v>44824.40200000002</v>
      </c>
      <c r="AM37" s="50">
        <f>SUM(AM8:AM35)</f>
        <v>220979.402</v>
      </c>
      <c r="AN37" s="50">
        <f>SUM(AN8:AN35)</f>
        <v>4280.304</v>
      </c>
      <c r="AP37" s="50">
        <f>SUM(AP8:AP35)</f>
        <v>130296.8205</v>
      </c>
      <c r="AQ37" s="50">
        <f>SUM(AQ8:AQ35)</f>
        <v>33155.329462199996</v>
      </c>
      <c r="AR37" s="50">
        <f>SUM(AR8:AR35)</f>
        <v>163452.1499622</v>
      </c>
      <c r="AS37" s="50">
        <f>SUM(AS8:AS35)</f>
        <v>3166.018574400001</v>
      </c>
      <c r="AT37" s="41"/>
      <c r="AU37" s="50">
        <f>SUM(AU8:AU35)</f>
        <v>45230.30829338842</v>
      </c>
      <c r="AV37" s="50">
        <f>SUM(AV8:AV35)</f>
        <v>11509.3044280706</v>
      </c>
      <c r="AW37" s="50">
        <f>SUM(AW8:AW35)</f>
        <v>56739.612721459016</v>
      </c>
      <c r="AX37" s="50">
        <f>SUM(AX8:AX35)</f>
        <v>1099.0290909109797</v>
      </c>
      <c r="AY37" s="41"/>
      <c r="AZ37" s="50">
        <f>SUM(AZ8:AZ35)</f>
        <v>68916.86899999999</v>
      </c>
      <c r="BA37" s="50">
        <f>SUM(BA8:BA35)</f>
        <v>17536.5867596</v>
      </c>
      <c r="BB37" s="50">
        <f>SUM(BB8:BB35)</f>
        <v>86453.45575960001</v>
      </c>
      <c r="BC37" s="50">
        <f>SUM(BC8:BC35)</f>
        <v>1674.5772191999995</v>
      </c>
      <c r="BD37" s="41"/>
      <c r="BE37" s="50">
        <f>SUM(BE8:BE35)</f>
        <v>196498.386</v>
      </c>
      <c r="BF37" s="50">
        <f>SUM(BF8:BF35)</f>
        <v>50000.9800824</v>
      </c>
      <c r="BG37" s="50">
        <f>SUM(BG8:BG35)</f>
        <v>246499.36608240003</v>
      </c>
      <c r="BH37" s="50">
        <f>SUM(BH8:BH35)</f>
        <v>4774.6179648</v>
      </c>
      <c r="BI37" s="41"/>
      <c r="BJ37" s="50">
        <f>SUM(BJ8:BJ35)</f>
        <v>92327.8685</v>
      </c>
      <c r="BK37" s="50">
        <f>SUM(BK8:BK35)</f>
        <v>23493.7497854</v>
      </c>
      <c r="BL37" s="50">
        <f>SUM(BL8:BL35)</f>
        <v>115821.6182854</v>
      </c>
      <c r="BM37" s="50">
        <f>SUM(BM8:BM35)</f>
        <v>2243.429620800001</v>
      </c>
      <c r="BO37" s="50">
        <f>SUM(BO8:BO35)</f>
        <v>66820.6245</v>
      </c>
      <c r="BP37" s="50">
        <f>SUM(BP8:BP35)</f>
        <v>17003.176375799998</v>
      </c>
      <c r="BQ37" s="50">
        <f>SUM(BQ8:BQ35)</f>
        <v>83823.80087579999</v>
      </c>
      <c r="BR37" s="50">
        <f>SUM(BR8:BR35)</f>
        <v>1623.6416015999998</v>
      </c>
      <c r="BT37" s="50">
        <f>SUM(BT8:BT35)</f>
        <v>96178.11349999999</v>
      </c>
      <c r="BU37" s="50">
        <f>SUM(BU8:BU35)</f>
        <v>24473.483143399997</v>
      </c>
      <c r="BV37" s="50">
        <f>SUM(BV8:BV35)</f>
        <v>120651.59664339997</v>
      </c>
      <c r="BW37" s="50">
        <f>SUM(BW8:BW35)</f>
        <v>2336.9848367999994</v>
      </c>
      <c r="BY37" s="50">
        <f>SUM(BY8:BY35)</f>
        <v>19782.2065</v>
      </c>
      <c r="BZ37" s="50">
        <f>SUM(BZ8:BZ35)</f>
        <v>5033.780344600001</v>
      </c>
      <c r="CA37" s="50">
        <f>SUM(CA8:CA35)</f>
        <v>24815.986844599996</v>
      </c>
      <c r="CB37" s="50">
        <f>SUM(CB8:CB35)</f>
        <v>480.6781391999999</v>
      </c>
      <c r="CC37" s="41"/>
      <c r="CD37" s="50">
        <f>SUM(CD8:CD35)</f>
        <v>75049.5795</v>
      </c>
      <c r="CE37" s="50">
        <f>SUM(CE8:CE35)</f>
        <v>19097.116297799996</v>
      </c>
      <c r="CF37" s="50">
        <f>SUM(CF8:CF35)</f>
        <v>94146.6957978</v>
      </c>
      <c r="CG37" s="50">
        <f>SUM(CG8:CG35)</f>
        <v>1823.5929455999997</v>
      </c>
      <c r="CI37" s="50">
        <f>SUM(CI8:CI35)</f>
        <v>18720.243499999997</v>
      </c>
      <c r="CJ37" s="50">
        <f>SUM(CJ8:CJ35)</f>
        <v>4763.5532354</v>
      </c>
      <c r="CK37" s="50">
        <f>SUM(CK8:CK35)</f>
        <v>23483.796735400003</v>
      </c>
      <c r="CL37" s="50">
        <f>SUM(CL8:CL35)</f>
        <v>454.87402079999987</v>
      </c>
      <c r="CN37" s="50">
        <f>SUM(CN8:CN35)</f>
        <v>75220.7015</v>
      </c>
      <c r="CO37" s="50">
        <f>SUM(CO8:CO35)</f>
        <v>19140.660002600005</v>
      </c>
      <c r="CP37" s="50">
        <f>SUM(CP8:CP35)</f>
        <v>94361.3615026</v>
      </c>
      <c r="CQ37" s="50">
        <f>SUM(CQ8:CQ35)</f>
        <v>1827.7509552000006</v>
      </c>
      <c r="CS37" s="50">
        <f>SUM(CS8:CS35)</f>
        <v>420992.8345</v>
      </c>
      <c r="CT37" s="50">
        <f>SUM(CT8:CT35)</f>
        <v>107125.83833979999</v>
      </c>
      <c r="CU37" s="50">
        <f>SUM(CU8:CU35)</f>
        <v>528118.6728398001</v>
      </c>
      <c r="CV37" s="50">
        <f>SUM(CV8:CV35)</f>
        <v>10229.4985296</v>
      </c>
      <c r="CX37" s="50">
        <f>SUM(CX8:CX35)</f>
        <v>1223.019</v>
      </c>
      <c r="CY37" s="50">
        <f>SUM(CY8:CY35)</f>
        <v>311.20941960000005</v>
      </c>
      <c r="CZ37" s="50">
        <f>SUM(CZ8:CZ35)</f>
        <v>1534.2284195999998</v>
      </c>
      <c r="DA37" s="50">
        <f>SUM(DA8:DA35)</f>
        <v>29.717539200000008</v>
      </c>
      <c r="DC37" s="50">
        <f>SUM(DC8:DC35)</f>
        <v>80268.80049999998</v>
      </c>
      <c r="DD37" s="50">
        <f>SUM(DD8:DD35)</f>
        <v>20425.1992942</v>
      </c>
      <c r="DE37" s="50">
        <f>SUM(DE8:DE35)</f>
        <v>100693.99979419998</v>
      </c>
      <c r="DF37" s="50">
        <f>SUM(DF8:DF35)</f>
        <v>1950.4122383999998</v>
      </c>
      <c r="DH37" s="50">
        <f>SUM(DH8:DH35)</f>
        <v>70469.54950000001</v>
      </c>
      <c r="DI37" s="50">
        <f>SUM(DI8:DI35)</f>
        <v>17931.681845799998</v>
      </c>
      <c r="DJ37" s="50">
        <f>SUM(DJ8:DJ35)</f>
        <v>88401.23134580001</v>
      </c>
      <c r="DK37" s="50">
        <f>SUM(DK8:DK35)</f>
        <v>1712.3050415999994</v>
      </c>
    </row>
    <row r="38" ht="12.75" thickTop="1"/>
    <row r="47" ht="12">
      <c r="F47"/>
    </row>
    <row r="48" ht="12">
      <c r="F48"/>
    </row>
    <row r="49" ht="12">
      <c r="A49" s="19"/>
    </row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>
      <c r="F74" s="33"/>
    </row>
    <row r="75" ht="12">
      <c r="F75" s="33"/>
    </row>
    <row r="76" ht="12"/>
  </sheetData>
  <sheetProtection/>
  <printOptions/>
  <pageMargins left="0.75" right="0.75" top="0.5" bottom="0.25" header="0.25" footer="0.25"/>
  <pageSetup horizontalDpi="600" verticalDpi="600" orientation="landscape" scale="85"/>
  <headerFooter alignWithMargins="0"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8000"/>
  </sheetPr>
  <dimension ref="A1:EU64"/>
  <sheetViews>
    <sheetView zoomScale="150" zoomScaleNormal="150" workbookViewId="0" topLeftCell="A1">
      <selection activeCell="D10" sqref="D10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5" customWidth="1"/>
    <col min="7" max="7" width="15.421875" style="35" customWidth="1"/>
    <col min="8" max="8" width="3.7109375" style="33" customWidth="1"/>
    <col min="9" max="13" width="13.7109375" style="33" customWidth="1"/>
    <col min="14" max="14" width="3.7109375" style="33" customWidth="1"/>
    <col min="15" max="18" width="13.7109375" style="0" customWidth="1"/>
    <col min="19" max="19" width="15.8515625" style="0" customWidth="1"/>
    <col min="20" max="20" width="3.7109375" style="33" customWidth="1"/>
    <col min="21" max="24" width="13.7109375" style="0" customWidth="1"/>
    <col min="25" max="25" width="14.421875" style="0" customWidth="1"/>
    <col min="26" max="26" width="3.7109375" style="33" customWidth="1"/>
    <col min="27" max="31" width="13.7109375" style="0" customWidth="1"/>
    <col min="32" max="32" width="3.7109375" style="33" customWidth="1"/>
    <col min="33" max="37" width="13.7109375" style="33" customWidth="1"/>
    <col min="38" max="38" width="3.7109375" style="33" customWidth="1"/>
    <col min="39" max="43" width="13.7109375" style="0" customWidth="1"/>
    <col min="44" max="44" width="3.7109375" style="33" customWidth="1"/>
    <col min="45" max="49" width="13.7109375" style="0" customWidth="1"/>
    <col min="50" max="50" width="3.7109375" style="20" customWidth="1"/>
    <col min="51" max="55" width="13.7109375" style="0" customWidth="1"/>
    <col min="56" max="56" width="3.7109375" style="20" customWidth="1"/>
    <col min="57" max="61" width="13.7109375" style="20" customWidth="1"/>
    <col min="62" max="62" width="3.7109375" style="20" customWidth="1"/>
    <col min="63" max="67" width="12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2.7109375" style="20" customWidth="1"/>
    <col min="98" max="98" width="3.7109375" style="20" customWidth="1"/>
    <col min="99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20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49" width="13.7109375" style="20" customWidth="1"/>
    <col min="150" max="150" width="3.7109375" style="0" customWidth="1"/>
  </cols>
  <sheetData>
    <row r="1" spans="1:151" ht="12">
      <c r="A1" s="43"/>
      <c r="B1" s="30"/>
      <c r="D1" s="44"/>
      <c r="I1" s="44" t="s">
        <v>14</v>
      </c>
      <c r="O1" s="44"/>
      <c r="U1" s="44"/>
      <c r="AA1" s="44" t="s">
        <v>14</v>
      </c>
      <c r="AM1" s="44"/>
      <c r="AS1" s="44" t="s">
        <v>14</v>
      </c>
      <c r="BK1" s="44" t="s">
        <v>14</v>
      </c>
      <c r="CC1" s="44" t="s">
        <v>14</v>
      </c>
      <c r="CU1" s="44" t="s">
        <v>14</v>
      </c>
      <c r="DM1" s="44" t="s">
        <v>14</v>
      </c>
      <c r="EE1" s="44" t="s">
        <v>14</v>
      </c>
      <c r="EK1" s="44"/>
      <c r="EU1" s="44" t="s">
        <v>14</v>
      </c>
    </row>
    <row r="2" spans="1:151" ht="12">
      <c r="A2" s="43"/>
      <c r="B2" s="30"/>
      <c r="D2" s="44"/>
      <c r="I2" s="44" t="s">
        <v>13</v>
      </c>
      <c r="O2" s="44"/>
      <c r="U2" s="44"/>
      <c r="AA2" s="44" t="s">
        <v>13</v>
      </c>
      <c r="AM2" s="44"/>
      <c r="AS2" s="44" t="s">
        <v>13</v>
      </c>
      <c r="BK2" s="44" t="s">
        <v>13</v>
      </c>
      <c r="CC2" s="44" t="s">
        <v>13</v>
      </c>
      <c r="CU2" s="44" t="s">
        <v>13</v>
      </c>
      <c r="DM2" s="44" t="s">
        <v>13</v>
      </c>
      <c r="EE2" s="44" t="s">
        <v>13</v>
      </c>
      <c r="EK2" s="44"/>
      <c r="EU2" s="44" t="s">
        <v>13</v>
      </c>
    </row>
    <row r="3" spans="1:151" ht="12">
      <c r="A3" s="43"/>
      <c r="B3" s="30"/>
      <c r="D3" s="42"/>
      <c r="I3" s="44" t="s">
        <v>131</v>
      </c>
      <c r="O3" s="44"/>
      <c r="P3" s="12"/>
      <c r="U3" s="44"/>
      <c r="AA3" s="44" t="str">
        <f>I3</f>
        <v>2008 Series A Bond refunded on 2015A</v>
      </c>
      <c r="AM3" s="44"/>
      <c r="AS3" s="44" t="str">
        <f>AA3</f>
        <v>2008 Series A Bond refunded on 2015A</v>
      </c>
      <c r="BK3" s="44" t="str">
        <f>AS3</f>
        <v>2008 Series A Bond refunded on 2015A</v>
      </c>
      <c r="CC3" s="44" t="str">
        <f>BK3</f>
        <v>2008 Series A Bond refunded on 2015A</v>
      </c>
      <c r="CU3" s="44" t="str">
        <f>CC3</f>
        <v>2008 Series A Bond refunded on 2015A</v>
      </c>
      <c r="DM3" s="44" t="str">
        <f>CU3</f>
        <v>2008 Series A Bond refunded on 2015A</v>
      </c>
      <c r="EE3" s="44" t="str">
        <f>DM3</f>
        <v>2008 Series A Bond refunded on 2015A</v>
      </c>
      <c r="EK3" s="44"/>
      <c r="EU3" s="44">
        <f>ED3</f>
        <v>0</v>
      </c>
    </row>
    <row r="4" spans="1:4" ht="12">
      <c r="A4" s="43"/>
      <c r="B4" s="30"/>
      <c r="C4" s="42"/>
      <c r="D4" s="44"/>
    </row>
    <row r="5" spans="1:149" ht="12">
      <c r="A5" s="21" t="s">
        <v>9</v>
      </c>
      <c r="C5" s="47" t="s">
        <v>135</v>
      </c>
      <c r="D5" s="48"/>
      <c r="E5" s="49"/>
      <c r="F5" s="49"/>
      <c r="G5" s="40"/>
      <c r="I5" s="36" t="s">
        <v>78</v>
      </c>
      <c r="J5" s="70"/>
      <c r="K5" s="38"/>
      <c r="L5" s="38"/>
      <c r="M5" s="40"/>
      <c r="O5" s="36" t="s">
        <v>79</v>
      </c>
      <c r="P5" s="37"/>
      <c r="Q5" s="38"/>
      <c r="R5" s="38"/>
      <c r="S5" s="40"/>
      <c r="U5" s="22" t="s">
        <v>98</v>
      </c>
      <c r="V5" s="23"/>
      <c r="W5" s="24"/>
      <c r="X5" s="38"/>
      <c r="Y5" s="40"/>
      <c r="AA5" s="22" t="s">
        <v>61</v>
      </c>
      <c r="AB5" s="23"/>
      <c r="AC5" s="24"/>
      <c r="AD5" s="38"/>
      <c r="AE5" s="40"/>
      <c r="AG5" s="22" t="s">
        <v>99</v>
      </c>
      <c r="AH5" s="23"/>
      <c r="AI5" s="24"/>
      <c r="AJ5" s="38"/>
      <c r="AK5" s="40"/>
      <c r="AM5" s="22" t="s">
        <v>66</v>
      </c>
      <c r="AN5" s="23"/>
      <c r="AO5" s="24"/>
      <c r="AP5" s="38"/>
      <c r="AQ5" s="40"/>
      <c r="AS5" s="22" t="s">
        <v>37</v>
      </c>
      <c r="AT5" s="23"/>
      <c r="AU5" s="24"/>
      <c r="AV5" s="38"/>
      <c r="AW5" s="40"/>
      <c r="AY5" s="22" t="s">
        <v>74</v>
      </c>
      <c r="AZ5" s="23"/>
      <c r="BA5" s="24"/>
      <c r="BB5" s="38"/>
      <c r="BC5" s="40"/>
      <c r="BE5" s="22" t="s">
        <v>100</v>
      </c>
      <c r="BF5" s="23"/>
      <c r="BG5" s="24"/>
      <c r="BH5" s="38"/>
      <c r="BI5" s="40"/>
      <c r="BK5" s="22" t="s">
        <v>123</v>
      </c>
      <c r="BL5" s="23"/>
      <c r="BM5" s="24"/>
      <c r="BN5" s="38"/>
      <c r="BO5" s="40"/>
      <c r="BQ5" s="22" t="s">
        <v>38</v>
      </c>
      <c r="BR5" s="23"/>
      <c r="BS5" s="24"/>
      <c r="BT5" s="38"/>
      <c r="BU5" s="40"/>
      <c r="BW5" s="22" t="s">
        <v>39</v>
      </c>
      <c r="BX5" s="23"/>
      <c r="BY5" s="24"/>
      <c r="BZ5" s="38"/>
      <c r="CA5" s="40"/>
      <c r="CC5" s="22" t="s">
        <v>40</v>
      </c>
      <c r="CD5" s="23"/>
      <c r="CE5" s="24"/>
      <c r="CF5" s="38"/>
      <c r="CG5" s="40"/>
      <c r="CI5" s="22" t="s">
        <v>62</v>
      </c>
      <c r="CJ5" s="23"/>
      <c r="CK5" s="24"/>
      <c r="CL5" s="38"/>
      <c r="CM5" s="40"/>
      <c r="CO5" s="22" t="s">
        <v>124</v>
      </c>
      <c r="CP5" s="23"/>
      <c r="CQ5" s="24"/>
      <c r="CR5" s="38"/>
      <c r="CS5" s="40"/>
      <c r="CU5" s="22" t="s">
        <v>63</v>
      </c>
      <c r="CV5" s="23"/>
      <c r="CW5" s="24"/>
      <c r="CX5" s="38"/>
      <c r="CY5" s="40"/>
      <c r="DA5" s="22" t="s">
        <v>64</v>
      </c>
      <c r="DB5" s="23"/>
      <c r="DC5" s="24"/>
      <c r="DD5" s="38"/>
      <c r="DE5" s="40"/>
      <c r="DG5" s="22" t="s">
        <v>101</v>
      </c>
      <c r="DH5" s="23"/>
      <c r="DI5" s="24"/>
      <c r="DJ5" s="38"/>
      <c r="DK5" s="40"/>
      <c r="DM5" s="22" t="s">
        <v>65</v>
      </c>
      <c r="DN5" s="23"/>
      <c r="DO5" s="24"/>
      <c r="DP5" s="38"/>
      <c r="DQ5" s="40"/>
      <c r="DS5" s="22" t="s">
        <v>43</v>
      </c>
      <c r="DT5" s="23"/>
      <c r="DU5" s="24"/>
      <c r="DV5" s="38"/>
      <c r="DW5" s="40"/>
      <c r="DY5" s="22" t="s">
        <v>44</v>
      </c>
      <c r="DZ5" s="23"/>
      <c r="EA5" s="24"/>
      <c r="EB5" s="38"/>
      <c r="EC5" s="40"/>
      <c r="ED5" s="65"/>
      <c r="EE5" s="22" t="s">
        <v>75</v>
      </c>
      <c r="EF5" s="23"/>
      <c r="EG5" s="24"/>
      <c r="EH5" s="38"/>
      <c r="EI5" s="40"/>
      <c r="EK5" s="22" t="s">
        <v>49</v>
      </c>
      <c r="EL5" s="23"/>
      <c r="EM5" s="24"/>
      <c r="EN5" s="38"/>
      <c r="EO5" s="40"/>
      <c r="EQ5" s="57" t="s">
        <v>15</v>
      </c>
      <c r="ER5" s="23"/>
      <c r="ES5" s="24"/>
    </row>
    <row r="6" spans="1:149" s="12" customFormat="1" ht="12">
      <c r="A6" s="45" t="s">
        <v>10</v>
      </c>
      <c r="C6" s="39"/>
      <c r="D6" s="37"/>
      <c r="E6" s="38"/>
      <c r="F6" s="40" t="s">
        <v>125</v>
      </c>
      <c r="G6" s="40" t="s">
        <v>125</v>
      </c>
      <c r="H6" s="33"/>
      <c r="I6" s="69">
        <v>0.0322383</v>
      </c>
      <c r="J6" s="64">
        <v>0.1013186</v>
      </c>
      <c r="K6" s="74"/>
      <c r="L6" s="40" t="s">
        <v>125</v>
      </c>
      <c r="M6" s="40" t="s">
        <v>125</v>
      </c>
      <c r="N6" s="33"/>
      <c r="O6" s="69">
        <v>0.9677615</v>
      </c>
      <c r="P6" s="73">
        <f>V6+AB6+AH6+AN6+AT6+AZ6+BF6+BL6+BR6+BX6+CD6+CJ6+CP6+CV6+DB6+DH6+DN6+DT6+DZ6+EF6+EL6+ER6</f>
        <v>0.8986814</v>
      </c>
      <c r="Q6" s="74"/>
      <c r="R6" s="40" t="s">
        <v>125</v>
      </c>
      <c r="S6" s="40" t="s">
        <v>125</v>
      </c>
      <c r="T6" s="33"/>
      <c r="U6" s="72">
        <v>0.1225135</v>
      </c>
      <c r="V6" s="32">
        <v>0.2503538</v>
      </c>
      <c r="W6" s="74"/>
      <c r="X6" s="40" t="s">
        <v>125</v>
      </c>
      <c r="Y6" s="40" t="s">
        <v>125</v>
      </c>
      <c r="Z6" s="33"/>
      <c r="AA6" s="72">
        <v>0.0064843</v>
      </c>
      <c r="AB6" s="32">
        <v>0.019316</v>
      </c>
      <c r="AC6" s="74"/>
      <c r="AD6" s="40" t="s">
        <v>125</v>
      </c>
      <c r="AE6" s="40" t="s">
        <v>125</v>
      </c>
      <c r="AF6" s="33"/>
      <c r="AG6" s="72">
        <v>0.0200271</v>
      </c>
      <c r="AH6" s="32">
        <v>0.023925</v>
      </c>
      <c r="AI6" s="74"/>
      <c r="AJ6" s="40" t="s">
        <v>125</v>
      </c>
      <c r="AK6" s="40" t="s">
        <v>125</v>
      </c>
      <c r="AL6" s="33"/>
      <c r="AM6" s="72">
        <v>8.79E-05</v>
      </c>
      <c r="AN6" s="32">
        <v>0.0118541</v>
      </c>
      <c r="AO6" s="74"/>
      <c r="AP6" s="40" t="s">
        <v>125</v>
      </c>
      <c r="AQ6" s="40" t="s">
        <v>125</v>
      </c>
      <c r="AR6" s="33"/>
      <c r="AS6" s="72">
        <v>0.1081593</v>
      </c>
      <c r="AT6" s="32">
        <v>0.2161132</v>
      </c>
      <c r="AU6" s="74"/>
      <c r="AV6" s="40" t="s">
        <v>125</v>
      </c>
      <c r="AW6" s="40" t="s">
        <v>125</v>
      </c>
      <c r="AY6" s="72">
        <v>0.0013472</v>
      </c>
      <c r="AZ6" s="32">
        <v>0.0284975</v>
      </c>
      <c r="BA6" s="74"/>
      <c r="BB6" s="40" t="s">
        <v>125</v>
      </c>
      <c r="BC6" s="40" t="s">
        <v>125</v>
      </c>
      <c r="BE6" s="72">
        <v>0.0044545</v>
      </c>
      <c r="BF6" s="32">
        <v>0.008453</v>
      </c>
      <c r="BG6" s="74"/>
      <c r="BH6" s="40" t="s">
        <v>125</v>
      </c>
      <c r="BI6" s="40" t="s">
        <v>125</v>
      </c>
      <c r="BK6" s="72">
        <v>0</v>
      </c>
      <c r="BL6" s="32">
        <v>0.0037175</v>
      </c>
      <c r="BM6" s="74"/>
      <c r="BN6" s="40" t="s">
        <v>125</v>
      </c>
      <c r="BO6" s="40" t="s">
        <v>125</v>
      </c>
      <c r="BQ6" s="72">
        <v>0.0119935</v>
      </c>
      <c r="BR6" s="32">
        <v>0.0325791</v>
      </c>
      <c r="BS6" s="74"/>
      <c r="BT6" s="40" t="s">
        <v>125</v>
      </c>
      <c r="BU6" s="40" t="s">
        <v>125</v>
      </c>
      <c r="BW6" s="72">
        <v>0.0024732</v>
      </c>
      <c r="BX6" s="32">
        <v>0.002523</v>
      </c>
      <c r="BY6" s="74"/>
      <c r="BZ6" s="40" t="s">
        <v>125</v>
      </c>
      <c r="CA6" s="40" t="s">
        <v>125</v>
      </c>
      <c r="CC6" s="72">
        <v>0.0484405</v>
      </c>
      <c r="CD6" s="32">
        <v>0.1086592</v>
      </c>
      <c r="CE6" s="74"/>
      <c r="CF6" s="40" t="s">
        <v>125</v>
      </c>
      <c r="CG6" s="40" t="s">
        <v>125</v>
      </c>
      <c r="CI6" s="72">
        <v>0.0032041</v>
      </c>
      <c r="CJ6" s="32">
        <v>0.0046146</v>
      </c>
      <c r="CK6" s="74"/>
      <c r="CL6" s="40" t="s">
        <v>125</v>
      </c>
      <c r="CM6" s="40" t="s">
        <v>125</v>
      </c>
      <c r="CO6" s="72">
        <v>0</v>
      </c>
      <c r="CP6" s="32">
        <v>1.27E-05</v>
      </c>
      <c r="CQ6" s="74"/>
      <c r="CR6" s="40" t="s">
        <v>125</v>
      </c>
      <c r="CS6" s="40" t="s">
        <v>125</v>
      </c>
      <c r="CU6" s="72">
        <v>0.0022696</v>
      </c>
      <c r="CV6" s="32">
        <v>0.0032049</v>
      </c>
      <c r="CW6" s="74"/>
      <c r="CX6" s="40" t="s">
        <v>125</v>
      </c>
      <c r="CY6" s="40" t="s">
        <v>125</v>
      </c>
      <c r="DA6" s="72">
        <v>0.0035861</v>
      </c>
      <c r="DB6" s="32">
        <v>0.0081883</v>
      </c>
      <c r="DC6" s="74"/>
      <c r="DD6" s="40" t="s">
        <v>125</v>
      </c>
      <c r="DE6" s="40" t="s">
        <v>125</v>
      </c>
      <c r="DG6" s="72">
        <v>0.0042354</v>
      </c>
      <c r="DH6" s="32">
        <v>0.0138394</v>
      </c>
      <c r="DI6" s="74"/>
      <c r="DJ6" s="40" t="s">
        <v>125</v>
      </c>
      <c r="DK6" s="40" t="s">
        <v>125</v>
      </c>
      <c r="DM6" s="72">
        <v>0.0332708</v>
      </c>
      <c r="DN6" s="32">
        <v>0.1138442</v>
      </c>
      <c r="DO6" s="74"/>
      <c r="DP6" s="40" t="s">
        <v>125</v>
      </c>
      <c r="DQ6" s="40" t="s">
        <v>125</v>
      </c>
      <c r="DS6" s="72">
        <v>9.93E-05</v>
      </c>
      <c r="DT6" s="32">
        <v>0.0021375</v>
      </c>
      <c r="DU6" s="74"/>
      <c r="DV6" s="40" t="s">
        <v>125</v>
      </c>
      <c r="DW6" s="40" t="s">
        <v>125</v>
      </c>
      <c r="DY6" s="72">
        <v>0.0059412</v>
      </c>
      <c r="DZ6" s="32">
        <v>0.0101868</v>
      </c>
      <c r="EA6" s="74"/>
      <c r="EB6" s="40" t="s">
        <v>125</v>
      </c>
      <c r="EC6" s="40" t="s">
        <v>125</v>
      </c>
      <c r="ED6" s="28"/>
      <c r="EE6" s="72">
        <v>0.0084518</v>
      </c>
      <c r="EF6" s="32">
        <v>0.0183432</v>
      </c>
      <c r="EG6" s="74"/>
      <c r="EH6" s="40" t="s">
        <v>125</v>
      </c>
      <c r="EI6" s="40" t="s">
        <v>125</v>
      </c>
      <c r="EK6" s="72">
        <v>0.0101675</v>
      </c>
      <c r="EL6" s="32">
        <v>0.0183184</v>
      </c>
      <c r="EM6" s="74"/>
      <c r="EN6" s="40" t="s">
        <v>125</v>
      </c>
      <c r="EO6" s="40" t="s">
        <v>125</v>
      </c>
      <c r="EQ6" s="72">
        <v>0.5705547</v>
      </c>
      <c r="ER6" s="32"/>
      <c r="ES6" s="46"/>
    </row>
    <row r="7" spans="1:149" ht="12">
      <c r="A7" s="25"/>
      <c r="C7" s="40" t="s">
        <v>11</v>
      </c>
      <c r="D7" s="40" t="s">
        <v>12</v>
      </c>
      <c r="E7" s="40" t="s">
        <v>4</v>
      </c>
      <c r="F7" s="40" t="s">
        <v>126</v>
      </c>
      <c r="G7" s="40" t="s">
        <v>132</v>
      </c>
      <c r="I7" s="40" t="s">
        <v>11</v>
      </c>
      <c r="J7" s="40" t="s">
        <v>12</v>
      </c>
      <c r="K7" s="40" t="s">
        <v>4</v>
      </c>
      <c r="L7" s="40" t="s">
        <v>126</v>
      </c>
      <c r="M7" s="40" t="s">
        <v>132</v>
      </c>
      <c r="O7" s="40" t="s">
        <v>11</v>
      </c>
      <c r="P7" s="40" t="s">
        <v>12</v>
      </c>
      <c r="Q7" s="40" t="s">
        <v>4</v>
      </c>
      <c r="R7" s="40" t="s">
        <v>126</v>
      </c>
      <c r="S7" s="40" t="s">
        <v>132</v>
      </c>
      <c r="U7" s="26" t="s">
        <v>11</v>
      </c>
      <c r="V7" s="26" t="s">
        <v>12</v>
      </c>
      <c r="W7" s="26" t="s">
        <v>4</v>
      </c>
      <c r="X7" s="40" t="s">
        <v>126</v>
      </c>
      <c r="Y7" s="40" t="s">
        <v>132</v>
      </c>
      <c r="AA7" s="26" t="s">
        <v>11</v>
      </c>
      <c r="AB7" s="26" t="s">
        <v>12</v>
      </c>
      <c r="AC7" s="26" t="s">
        <v>4</v>
      </c>
      <c r="AD7" s="40" t="s">
        <v>126</v>
      </c>
      <c r="AE7" s="40" t="s">
        <v>132</v>
      </c>
      <c r="AG7" s="26" t="s">
        <v>11</v>
      </c>
      <c r="AH7" s="26" t="s">
        <v>12</v>
      </c>
      <c r="AI7" s="26" t="s">
        <v>4</v>
      </c>
      <c r="AJ7" s="40" t="s">
        <v>126</v>
      </c>
      <c r="AK7" s="40" t="s">
        <v>132</v>
      </c>
      <c r="AM7" s="26" t="s">
        <v>11</v>
      </c>
      <c r="AN7" s="26" t="s">
        <v>12</v>
      </c>
      <c r="AO7" s="26" t="s">
        <v>4</v>
      </c>
      <c r="AP7" s="40" t="s">
        <v>126</v>
      </c>
      <c r="AQ7" s="40" t="s">
        <v>132</v>
      </c>
      <c r="AS7" s="26" t="s">
        <v>11</v>
      </c>
      <c r="AT7" s="26" t="s">
        <v>12</v>
      </c>
      <c r="AU7" s="26" t="s">
        <v>4</v>
      </c>
      <c r="AV7" s="40" t="s">
        <v>126</v>
      </c>
      <c r="AW7" s="40" t="s">
        <v>132</v>
      </c>
      <c r="AY7" s="26" t="s">
        <v>11</v>
      </c>
      <c r="AZ7" s="26" t="s">
        <v>12</v>
      </c>
      <c r="BA7" s="26" t="s">
        <v>4</v>
      </c>
      <c r="BB7" s="40" t="s">
        <v>126</v>
      </c>
      <c r="BC7" s="40" t="s">
        <v>132</v>
      </c>
      <c r="BE7" s="26" t="s">
        <v>11</v>
      </c>
      <c r="BF7" s="26" t="s">
        <v>12</v>
      </c>
      <c r="BG7" s="26" t="s">
        <v>4</v>
      </c>
      <c r="BH7" s="40" t="s">
        <v>126</v>
      </c>
      <c r="BI7" s="40" t="s">
        <v>132</v>
      </c>
      <c r="BK7" s="26" t="s">
        <v>11</v>
      </c>
      <c r="BL7" s="26" t="s">
        <v>12</v>
      </c>
      <c r="BM7" s="26" t="s">
        <v>4</v>
      </c>
      <c r="BN7" s="40" t="s">
        <v>126</v>
      </c>
      <c r="BO7" s="40" t="s">
        <v>132</v>
      </c>
      <c r="BQ7" s="26" t="s">
        <v>11</v>
      </c>
      <c r="BR7" s="26" t="s">
        <v>12</v>
      </c>
      <c r="BS7" s="26" t="s">
        <v>4</v>
      </c>
      <c r="BT7" s="40" t="s">
        <v>126</v>
      </c>
      <c r="BU7" s="40" t="s">
        <v>132</v>
      </c>
      <c r="BW7" s="26" t="s">
        <v>11</v>
      </c>
      <c r="BX7" s="26" t="s">
        <v>12</v>
      </c>
      <c r="BY7" s="26" t="s">
        <v>4</v>
      </c>
      <c r="BZ7" s="40" t="s">
        <v>126</v>
      </c>
      <c r="CA7" s="40" t="s">
        <v>132</v>
      </c>
      <c r="CC7" s="26" t="s">
        <v>11</v>
      </c>
      <c r="CD7" s="26" t="s">
        <v>12</v>
      </c>
      <c r="CE7" s="26" t="s">
        <v>4</v>
      </c>
      <c r="CF7" s="40" t="s">
        <v>126</v>
      </c>
      <c r="CG7" s="40" t="s">
        <v>132</v>
      </c>
      <c r="CI7" s="26" t="s">
        <v>11</v>
      </c>
      <c r="CJ7" s="26" t="s">
        <v>12</v>
      </c>
      <c r="CK7" s="26" t="s">
        <v>4</v>
      </c>
      <c r="CL7" s="40" t="s">
        <v>126</v>
      </c>
      <c r="CM7" s="40" t="s">
        <v>132</v>
      </c>
      <c r="CO7" s="26" t="s">
        <v>11</v>
      </c>
      <c r="CP7" s="26" t="s">
        <v>12</v>
      </c>
      <c r="CQ7" s="26" t="s">
        <v>4</v>
      </c>
      <c r="CR7" s="40" t="s">
        <v>126</v>
      </c>
      <c r="CS7" s="40" t="s">
        <v>132</v>
      </c>
      <c r="CU7" s="26" t="s">
        <v>11</v>
      </c>
      <c r="CV7" s="26" t="s">
        <v>12</v>
      </c>
      <c r="CW7" s="26" t="s">
        <v>4</v>
      </c>
      <c r="CX7" s="40" t="s">
        <v>126</v>
      </c>
      <c r="CY7" s="40" t="s">
        <v>132</v>
      </c>
      <c r="DA7" s="26" t="s">
        <v>11</v>
      </c>
      <c r="DB7" s="26" t="s">
        <v>12</v>
      </c>
      <c r="DC7" s="26" t="s">
        <v>4</v>
      </c>
      <c r="DD7" s="40" t="s">
        <v>126</v>
      </c>
      <c r="DE7" s="40" t="s">
        <v>132</v>
      </c>
      <c r="DG7" s="26" t="s">
        <v>11</v>
      </c>
      <c r="DH7" s="26" t="s">
        <v>12</v>
      </c>
      <c r="DI7" s="26" t="s">
        <v>4</v>
      </c>
      <c r="DJ7" s="40" t="s">
        <v>126</v>
      </c>
      <c r="DK7" s="40" t="s">
        <v>132</v>
      </c>
      <c r="DM7" s="26" t="s">
        <v>11</v>
      </c>
      <c r="DN7" s="26" t="s">
        <v>12</v>
      </c>
      <c r="DO7" s="26" t="s">
        <v>4</v>
      </c>
      <c r="DP7" s="40" t="s">
        <v>126</v>
      </c>
      <c r="DQ7" s="40" t="s">
        <v>132</v>
      </c>
      <c r="DS7" s="26" t="s">
        <v>11</v>
      </c>
      <c r="DT7" s="26" t="s">
        <v>12</v>
      </c>
      <c r="DU7" s="26" t="s">
        <v>4</v>
      </c>
      <c r="DV7" s="40" t="s">
        <v>126</v>
      </c>
      <c r="DW7" s="40" t="s">
        <v>132</v>
      </c>
      <c r="DY7" s="26" t="s">
        <v>11</v>
      </c>
      <c r="DZ7" s="26" t="s">
        <v>12</v>
      </c>
      <c r="EA7" s="26" t="s">
        <v>4</v>
      </c>
      <c r="EB7" s="40" t="s">
        <v>126</v>
      </c>
      <c r="EC7" s="40" t="s">
        <v>132</v>
      </c>
      <c r="ED7" s="66"/>
      <c r="EE7" s="26" t="s">
        <v>11</v>
      </c>
      <c r="EF7" s="26" t="s">
        <v>12</v>
      </c>
      <c r="EG7" s="26" t="s">
        <v>4</v>
      </c>
      <c r="EH7" s="40" t="s">
        <v>126</v>
      </c>
      <c r="EI7" s="40" t="s">
        <v>132</v>
      </c>
      <c r="EK7" s="26" t="s">
        <v>11</v>
      </c>
      <c r="EL7" s="26" t="s">
        <v>12</v>
      </c>
      <c r="EM7" s="26" t="s">
        <v>4</v>
      </c>
      <c r="EN7" s="40" t="s">
        <v>126</v>
      </c>
      <c r="EO7" s="40" t="s">
        <v>132</v>
      </c>
      <c r="EQ7" s="26" t="s">
        <v>11</v>
      </c>
      <c r="ER7" s="26" t="s">
        <v>12</v>
      </c>
      <c r="ES7" s="26" t="s">
        <v>4</v>
      </c>
    </row>
    <row r="8" spans="1:149" ht="12">
      <c r="A8" s="19">
        <v>41913</v>
      </c>
      <c r="E8" s="35">
        <f aca="true" t="shared" si="0" ref="E8:E35">C8+D8</f>
        <v>0</v>
      </c>
      <c r="I8" s="51"/>
      <c r="J8" s="51"/>
      <c r="K8" s="51">
        <f aca="true" t="shared" si="1" ref="K8:K35">I8+J8</f>
        <v>0</v>
      </c>
      <c r="L8" s="51"/>
      <c r="M8" s="51"/>
      <c r="O8" s="51">
        <f aca="true" t="shared" si="2" ref="O8:O35">U8+AA8+AG8+AM8+AS8+AY8++BE8+BK8+BQ8+BW8+CC8+CI8+CO8+CU8+DA8+DG8+DM8+DS8+DY8+EE8+EK8+EQ8</f>
        <v>0</v>
      </c>
      <c r="P8" s="41">
        <f aca="true" t="shared" si="3" ref="P8:P35">V8+AB8+AH8+AN8+AT8+AZ8+BF8+BL8+BR8+BX8+CD8+CJ8+CP8+CV8+DB8+DH8+DN8+DT8+DZ8+EF8+EL8+ER8</f>
        <v>0</v>
      </c>
      <c r="Q8" s="33">
        <f aca="true" t="shared" si="4" ref="Q8:Q35">O8+P8</f>
        <v>0</v>
      </c>
      <c r="R8" s="41">
        <f aca="true" t="shared" si="5" ref="R8:R35">X8+AD8+AJ8+AP8+AV8+BB8+BH8+BN8+BT8+BZ8+CF8+CL8+CR8+CX8+DD8+DJ8+DP8+DV8+EB8+EH8+EN8+ET8</f>
        <v>0</v>
      </c>
      <c r="S8" s="41">
        <f aca="true" t="shared" si="6" ref="S8:S35">Y8+AE8+AK8+AQ8+AW8+BC8+BI8+BO8+BU8+CA8+CG8+CM8+CS8+CY8+DE8+DK8+DQ8+DW8+EC8+EI8+EO8+EU8</f>
        <v>0</v>
      </c>
      <c r="U8" s="65"/>
      <c r="V8" s="65">
        <f aca="true" t="shared" si="7" ref="V8:V35">D8*25.03538/100</f>
        <v>0</v>
      </c>
      <c r="W8" s="20">
        <f aca="true" t="shared" si="8" ref="W8:W35">U8+V8</f>
        <v>0</v>
      </c>
      <c r="X8" s="20">
        <f aca="true" t="shared" si="9" ref="X8:X35">V$6*$F8</f>
        <v>0</v>
      </c>
      <c r="Y8" s="20">
        <f>V$6*$G8</f>
        <v>0</v>
      </c>
      <c r="AA8" s="65"/>
      <c r="AB8" s="65">
        <f aca="true" t="shared" si="10" ref="AB8:AB35">D8*1.9316/100</f>
        <v>0</v>
      </c>
      <c r="AC8" s="20">
        <f aca="true" t="shared" si="11" ref="AC8:AC35">AA8+AB8</f>
        <v>0</v>
      </c>
      <c r="AD8" s="20">
        <f aca="true" t="shared" si="12" ref="AD8:AD35">AB$6*$F8</f>
        <v>0</v>
      </c>
      <c r="AE8" s="20">
        <f>AB$6*$G8</f>
        <v>0</v>
      </c>
      <c r="AH8" s="33">
        <f aca="true" t="shared" si="13" ref="AH8:AH35">D8*2.3925/100</f>
        <v>0</v>
      </c>
      <c r="AI8" s="33">
        <f aca="true" t="shared" si="14" ref="AI8:AI35">AG8+AH8</f>
        <v>0</v>
      </c>
      <c r="AJ8" s="20">
        <f aca="true" t="shared" si="15" ref="AJ8:AJ35">AH$6*$F8</f>
        <v>0</v>
      </c>
      <c r="AK8" s="20">
        <f>AH$6*$G8</f>
        <v>0</v>
      </c>
      <c r="AM8" s="65"/>
      <c r="AN8" s="65">
        <f aca="true" t="shared" si="16" ref="AN8:AN35">D8*1.18541/100</f>
        <v>0</v>
      </c>
      <c r="AO8" s="20">
        <f aca="true" t="shared" si="17" ref="AO8:AO35">AM8+AN8</f>
        <v>0</v>
      </c>
      <c r="AP8" s="20">
        <f aca="true" t="shared" si="18" ref="AP8:AP35">AN$6*$F8</f>
        <v>0</v>
      </c>
      <c r="AQ8" s="20">
        <f>AN$6*$G8</f>
        <v>0</v>
      </c>
      <c r="AS8" s="65"/>
      <c r="AT8" s="65">
        <f aca="true" t="shared" si="19" ref="AT8:AT35">D8*21.61132/100</f>
        <v>0</v>
      </c>
      <c r="AU8" s="20">
        <f aca="true" t="shared" si="20" ref="AU8:AU35">AS8+AT8</f>
        <v>0</v>
      </c>
      <c r="AV8" s="20">
        <f aca="true" t="shared" si="21" ref="AV8:AV35">AT$6*$F8</f>
        <v>0</v>
      </c>
      <c r="AW8" s="20">
        <f>AT$6*$G8</f>
        <v>0</v>
      </c>
      <c r="AX8" s="33"/>
      <c r="AY8" s="65"/>
      <c r="AZ8" s="65">
        <f aca="true" t="shared" si="22" ref="AZ8:AZ35">D8*2.84975/100</f>
        <v>0</v>
      </c>
      <c r="BA8" s="20">
        <f aca="true" t="shared" si="23" ref="BA8:BA35">AY8+AZ8</f>
        <v>0</v>
      </c>
      <c r="BB8" s="20">
        <f aca="true" t="shared" si="24" ref="BB8:BB35">AZ$6*$F8</f>
        <v>0</v>
      </c>
      <c r="BC8" s="20">
        <f>AZ$6*$G8</f>
        <v>0</v>
      </c>
      <c r="BD8" s="33"/>
      <c r="BE8" s="51"/>
      <c r="BF8" s="51">
        <f aca="true" t="shared" si="25" ref="BF8:BF35">D8*0.8453/100</f>
        <v>0</v>
      </c>
      <c r="BG8" s="33">
        <f aca="true" t="shared" si="26" ref="BG8:BG35">BE8+BF8</f>
        <v>0</v>
      </c>
      <c r="BH8" s="20">
        <f aca="true" t="shared" si="27" ref="BH8:BH35">BF$6*$F8</f>
        <v>0</v>
      </c>
      <c r="BI8" s="20">
        <f>BF$6*$G8</f>
        <v>0</v>
      </c>
      <c r="BJ8" s="33"/>
      <c r="BK8" s="33"/>
      <c r="BL8" s="33">
        <f aca="true" t="shared" si="28" ref="BL8:BL35">D8*0.37175/100</f>
        <v>0</v>
      </c>
      <c r="BM8" s="33">
        <f aca="true" t="shared" si="29" ref="BM8:BM35">BK8+BL8</f>
        <v>0</v>
      </c>
      <c r="BN8" s="20">
        <f aca="true" t="shared" si="30" ref="BN8:BN35">BL$6*$F8</f>
        <v>0</v>
      </c>
      <c r="BO8" s="20">
        <f>BL$6*$G8</f>
        <v>0</v>
      </c>
      <c r="BP8" s="33"/>
      <c r="BQ8" s="51"/>
      <c r="BR8" s="51">
        <f aca="true" t="shared" si="31" ref="BR8:BR35">D8*3.25791/100</f>
        <v>0</v>
      </c>
      <c r="BS8" s="33">
        <f aca="true" t="shared" si="32" ref="BS8:BS35">BQ8+BR8</f>
        <v>0</v>
      </c>
      <c r="BT8" s="20">
        <f aca="true" t="shared" si="33" ref="BT8:BT35">BR$6*$F8</f>
        <v>0</v>
      </c>
      <c r="BU8" s="20">
        <f>BR$6*$G8</f>
        <v>0</v>
      </c>
      <c r="BV8" s="33"/>
      <c r="BW8" s="51"/>
      <c r="BX8" s="51">
        <f aca="true" t="shared" si="34" ref="BX8:BX35">D8*0.2523/100</f>
        <v>0</v>
      </c>
      <c r="BY8" s="33">
        <f aca="true" t="shared" si="35" ref="BY8:BY35">BW8+BX8</f>
        <v>0</v>
      </c>
      <c r="BZ8" s="20">
        <f aca="true" t="shared" si="36" ref="BZ8:BZ35">BX$6*$F8</f>
        <v>0</v>
      </c>
      <c r="CA8" s="20">
        <f>BX$6*$G8</f>
        <v>0</v>
      </c>
      <c r="CB8" s="33"/>
      <c r="CC8" s="51"/>
      <c r="CD8" s="51">
        <f aca="true" t="shared" si="37" ref="CD8:CD35">D8*10.86592/100</f>
        <v>0</v>
      </c>
      <c r="CE8" s="33">
        <f aca="true" t="shared" si="38" ref="CE8:CE35">CC8+CD8</f>
        <v>0</v>
      </c>
      <c r="CF8" s="20">
        <f aca="true" t="shared" si="39" ref="CF8:CF35">CD$6*$F8</f>
        <v>0</v>
      </c>
      <c r="CG8" s="20">
        <f>CD$6*$G8</f>
        <v>0</v>
      </c>
      <c r="CH8" s="33"/>
      <c r="CI8" s="51"/>
      <c r="CJ8" s="51">
        <f aca="true" t="shared" si="40" ref="CJ8:CJ35">D8*0.46146/100</f>
        <v>0</v>
      </c>
      <c r="CK8" s="33">
        <f aca="true" t="shared" si="41" ref="CK8:CK35">CI8+CJ8</f>
        <v>0</v>
      </c>
      <c r="CL8" s="20">
        <f aca="true" t="shared" si="42" ref="CL8:CL35">CJ$6*$F8</f>
        <v>0</v>
      </c>
      <c r="CM8" s="20">
        <f>CJ$6*$G8</f>
        <v>0</v>
      </c>
      <c r="CN8" s="33"/>
      <c r="CO8" s="33"/>
      <c r="CP8" s="33">
        <f aca="true" t="shared" si="43" ref="CP8:CP35">D8*0.00127/100</f>
        <v>0</v>
      </c>
      <c r="CQ8" s="33">
        <f aca="true" t="shared" si="44" ref="CQ8:CQ35">CO8+CP8</f>
        <v>0</v>
      </c>
      <c r="CR8" s="20">
        <f aca="true" t="shared" si="45" ref="CR8:CR35">CP$6*$F8</f>
        <v>0</v>
      </c>
      <c r="CS8" s="20">
        <f>CP$6*$G8</f>
        <v>0</v>
      </c>
      <c r="CT8" s="33"/>
      <c r="CU8" s="51"/>
      <c r="CV8" s="51">
        <f aca="true" t="shared" si="46" ref="CV8:CV35">D8*0.32049/100</f>
        <v>0</v>
      </c>
      <c r="CW8" s="33">
        <f aca="true" t="shared" si="47" ref="CW8:CW35">CU8+CV8</f>
        <v>0</v>
      </c>
      <c r="CX8" s="20">
        <f aca="true" t="shared" si="48" ref="CX8:CX35">CV$6*$F8</f>
        <v>0</v>
      </c>
      <c r="CY8" s="20">
        <f>CV$6*$G8</f>
        <v>0</v>
      </c>
      <c r="CZ8" s="33"/>
      <c r="DA8" s="51"/>
      <c r="DB8" s="51">
        <f aca="true" t="shared" si="49" ref="DB8:DB35">D8*0.81883/100</f>
        <v>0</v>
      </c>
      <c r="DC8" s="33">
        <f aca="true" t="shared" si="50" ref="DC8:DC35">DA8+DB8</f>
        <v>0</v>
      </c>
      <c r="DD8" s="20">
        <f aca="true" t="shared" si="51" ref="DD8:DD35">DB$6*$F8</f>
        <v>0</v>
      </c>
      <c r="DE8" s="20">
        <f>DB$6*$G8</f>
        <v>0</v>
      </c>
      <c r="DF8" s="33"/>
      <c r="DG8" s="51"/>
      <c r="DH8" s="51">
        <f aca="true" t="shared" si="52" ref="DH8:DH35">D8*1.38394/100</f>
        <v>0</v>
      </c>
      <c r="DI8" s="33">
        <f aca="true" t="shared" si="53" ref="DI8:DI35">DG8+DH8</f>
        <v>0</v>
      </c>
      <c r="DJ8" s="20">
        <f aca="true" t="shared" si="54" ref="DJ8:DJ35">DH$6*$F8</f>
        <v>0</v>
      </c>
      <c r="DK8" s="20">
        <f>DH$6*$G8</f>
        <v>0</v>
      </c>
      <c r="DL8" s="33"/>
      <c r="DM8" s="51"/>
      <c r="DN8" s="51">
        <f aca="true" t="shared" si="55" ref="DN8:DN35">D8*11.38442/100</f>
        <v>0</v>
      </c>
      <c r="DO8" s="33">
        <f aca="true" t="shared" si="56" ref="DO8:DO35">DM8+DN8</f>
        <v>0</v>
      </c>
      <c r="DP8" s="20">
        <f aca="true" t="shared" si="57" ref="DP8:DP35">DN$6*$F8</f>
        <v>0</v>
      </c>
      <c r="DQ8" s="20">
        <f>DN$6*$G8</f>
        <v>0</v>
      </c>
      <c r="DR8" s="33"/>
      <c r="DS8" s="51"/>
      <c r="DT8" s="51">
        <f aca="true" t="shared" si="58" ref="DT8:DT35">D8*0.21375/100</f>
        <v>0</v>
      </c>
      <c r="DU8" s="33">
        <f aca="true" t="shared" si="59" ref="DU8:DU35">DS8+DT8</f>
        <v>0</v>
      </c>
      <c r="DV8" s="20">
        <f aca="true" t="shared" si="60" ref="DV8:DV35">DT$6*$F8</f>
        <v>0</v>
      </c>
      <c r="DW8" s="20">
        <f>DT$6*$G8</f>
        <v>0</v>
      </c>
      <c r="DX8" s="33"/>
      <c r="DY8" s="51"/>
      <c r="DZ8" s="51">
        <f aca="true" t="shared" si="61" ref="DZ8:DZ35">D8*1.01868/100</f>
        <v>0</v>
      </c>
      <c r="EA8" s="33">
        <f aca="true" t="shared" si="62" ref="EA8:EA35">DY8+DZ8</f>
        <v>0</v>
      </c>
      <c r="EB8" s="20">
        <f aca="true" t="shared" si="63" ref="EB8:EB35">DZ$6*$F8</f>
        <v>0</v>
      </c>
      <c r="EC8" s="20">
        <f>DZ$6*$G8</f>
        <v>0</v>
      </c>
      <c r="ED8" s="33"/>
      <c r="EE8" s="33"/>
      <c r="EF8" s="33">
        <f aca="true" t="shared" si="64" ref="EF8:EF35">D8*1.83432/100</f>
        <v>0</v>
      </c>
      <c r="EG8" s="33">
        <f aca="true" t="shared" si="65" ref="EG8:EG35">EE8+EF8</f>
        <v>0</v>
      </c>
      <c r="EH8" s="20">
        <f aca="true" t="shared" si="66" ref="EH8:EH35">EF$6*$F8</f>
        <v>0</v>
      </c>
      <c r="EI8" s="20">
        <f>EF$6*$G8</f>
        <v>0</v>
      </c>
      <c r="EJ8" s="33"/>
      <c r="EK8" s="51"/>
      <c r="EL8" s="51">
        <f aca="true" t="shared" si="67" ref="EL8:EL35">D8*1.83184/100</f>
        <v>0</v>
      </c>
      <c r="EM8" s="33">
        <f aca="true" t="shared" si="68" ref="EM8:EM35">EK8+EL8</f>
        <v>0</v>
      </c>
      <c r="EN8" s="20">
        <f aca="true" t="shared" si="69" ref="EN8:EN35">EL$6*$F8</f>
        <v>0</v>
      </c>
      <c r="EO8" s="20">
        <f>EL$6*$G8</f>
        <v>0</v>
      </c>
      <c r="EP8" s="33"/>
      <c r="EQ8" s="33"/>
      <c r="ER8" s="33"/>
      <c r="ES8" s="33"/>
    </row>
    <row r="9" spans="1:149" ht="12">
      <c r="A9" s="19">
        <v>42095</v>
      </c>
      <c r="E9" s="35">
        <f t="shared" si="0"/>
        <v>0</v>
      </c>
      <c r="I9" s="51"/>
      <c r="J9" s="51"/>
      <c r="K9" s="51">
        <f t="shared" si="1"/>
        <v>0</v>
      </c>
      <c r="L9" s="51"/>
      <c r="M9" s="51"/>
      <c r="O9" s="51">
        <f t="shared" si="2"/>
        <v>0</v>
      </c>
      <c r="P9" s="41">
        <f t="shared" si="3"/>
        <v>0</v>
      </c>
      <c r="Q9" s="33">
        <f t="shared" si="4"/>
        <v>0</v>
      </c>
      <c r="R9" s="41">
        <f t="shared" si="5"/>
        <v>0</v>
      </c>
      <c r="S9" s="41">
        <f t="shared" si="6"/>
        <v>0</v>
      </c>
      <c r="U9" s="65">
        <f aca="true" t="shared" si="70" ref="U9:U35">C9*25.03538/100</f>
        <v>0</v>
      </c>
      <c r="V9" s="65">
        <f t="shared" si="7"/>
        <v>0</v>
      </c>
      <c r="W9" s="20">
        <f t="shared" si="8"/>
        <v>0</v>
      </c>
      <c r="X9" s="20">
        <f t="shared" si="9"/>
        <v>0</v>
      </c>
      <c r="Y9" s="20">
        <f aca="true" t="shared" si="71" ref="Y9:Y35">V$6*$G9</f>
        <v>0</v>
      </c>
      <c r="AA9" s="65">
        <f aca="true" t="shared" si="72" ref="AA9:AA35">C9*1.9316/100</f>
        <v>0</v>
      </c>
      <c r="AB9" s="65">
        <f t="shared" si="10"/>
        <v>0</v>
      </c>
      <c r="AC9" s="20">
        <f t="shared" si="11"/>
        <v>0</v>
      </c>
      <c r="AD9" s="20">
        <f t="shared" si="12"/>
        <v>0</v>
      </c>
      <c r="AE9" s="20">
        <f aca="true" t="shared" si="73" ref="AE9:AE35">AB$6*$G9</f>
        <v>0</v>
      </c>
      <c r="AG9" s="33">
        <f aca="true" t="shared" si="74" ref="AG9:AG35">C9*2.3925/100</f>
        <v>0</v>
      </c>
      <c r="AH9" s="33">
        <f t="shared" si="13"/>
        <v>0</v>
      </c>
      <c r="AI9" s="33">
        <f t="shared" si="14"/>
        <v>0</v>
      </c>
      <c r="AJ9" s="20">
        <f t="shared" si="15"/>
        <v>0</v>
      </c>
      <c r="AK9" s="20">
        <f aca="true" t="shared" si="75" ref="AK9:AK35">AH$6*$G9</f>
        <v>0</v>
      </c>
      <c r="AM9" s="65">
        <f aca="true" t="shared" si="76" ref="AM9:AM35">C9*1.18541/100</f>
        <v>0</v>
      </c>
      <c r="AN9" s="65">
        <f t="shared" si="16"/>
        <v>0</v>
      </c>
      <c r="AO9" s="20">
        <f t="shared" si="17"/>
        <v>0</v>
      </c>
      <c r="AP9" s="20">
        <f t="shared" si="18"/>
        <v>0</v>
      </c>
      <c r="AQ9" s="20">
        <f aca="true" t="shared" si="77" ref="AQ9:AQ35">AN$6*$G9</f>
        <v>0</v>
      </c>
      <c r="AS9" s="65">
        <f aca="true" t="shared" si="78" ref="AS9:AS35">C9*21.61132/100</f>
        <v>0</v>
      </c>
      <c r="AT9" s="65">
        <f t="shared" si="19"/>
        <v>0</v>
      </c>
      <c r="AU9" s="20">
        <f t="shared" si="20"/>
        <v>0</v>
      </c>
      <c r="AV9" s="20">
        <f t="shared" si="21"/>
        <v>0</v>
      </c>
      <c r="AW9" s="20">
        <f aca="true" t="shared" si="79" ref="AW9:AW35">AT$6*$G9</f>
        <v>0</v>
      </c>
      <c r="AX9" s="33"/>
      <c r="AY9" s="65">
        <f aca="true" t="shared" si="80" ref="AY9:AY35">C9*2.84975/100</f>
        <v>0</v>
      </c>
      <c r="AZ9" s="65">
        <f t="shared" si="22"/>
        <v>0</v>
      </c>
      <c r="BA9" s="20">
        <f t="shared" si="23"/>
        <v>0</v>
      </c>
      <c r="BB9" s="20">
        <f t="shared" si="24"/>
        <v>0</v>
      </c>
      <c r="BC9" s="20">
        <f aca="true" t="shared" si="81" ref="BC9:BC35">AZ$6*$G9</f>
        <v>0</v>
      </c>
      <c r="BD9" s="33"/>
      <c r="BE9" s="51">
        <f aca="true" t="shared" si="82" ref="BE9:BE35">C9*0.8453/100</f>
        <v>0</v>
      </c>
      <c r="BF9" s="51">
        <f t="shared" si="25"/>
        <v>0</v>
      </c>
      <c r="BG9" s="33">
        <f t="shared" si="26"/>
        <v>0</v>
      </c>
      <c r="BH9" s="20">
        <f t="shared" si="27"/>
        <v>0</v>
      </c>
      <c r="BI9" s="20">
        <f aca="true" t="shared" si="83" ref="BI9:BI35">BF$6*$G9</f>
        <v>0</v>
      </c>
      <c r="BJ9" s="33"/>
      <c r="BK9" s="33">
        <f aca="true" t="shared" si="84" ref="BK9:BK35">C9*0.37175/100</f>
        <v>0</v>
      </c>
      <c r="BL9" s="33">
        <f t="shared" si="28"/>
        <v>0</v>
      </c>
      <c r="BM9" s="33">
        <f t="shared" si="29"/>
        <v>0</v>
      </c>
      <c r="BN9" s="20">
        <f t="shared" si="30"/>
        <v>0</v>
      </c>
      <c r="BO9" s="20">
        <f aca="true" t="shared" si="85" ref="BO9:BO35">BL$6*$G9</f>
        <v>0</v>
      </c>
      <c r="BP9" s="33"/>
      <c r="BQ9" s="51">
        <f aca="true" t="shared" si="86" ref="BQ9:BQ35">C9*3.25791/100</f>
        <v>0</v>
      </c>
      <c r="BR9" s="51">
        <f t="shared" si="31"/>
        <v>0</v>
      </c>
      <c r="BS9" s="33">
        <f t="shared" si="32"/>
        <v>0</v>
      </c>
      <c r="BT9" s="20">
        <f t="shared" si="33"/>
        <v>0</v>
      </c>
      <c r="BU9" s="20">
        <f aca="true" t="shared" si="87" ref="BU9:BU35">BR$6*$G9</f>
        <v>0</v>
      </c>
      <c r="BV9" s="33"/>
      <c r="BW9" s="51">
        <f aca="true" t="shared" si="88" ref="BW9:BW35">C9*0.2523/100</f>
        <v>0</v>
      </c>
      <c r="BX9" s="51">
        <f t="shared" si="34"/>
        <v>0</v>
      </c>
      <c r="BY9" s="33">
        <f t="shared" si="35"/>
        <v>0</v>
      </c>
      <c r="BZ9" s="20">
        <f t="shared" si="36"/>
        <v>0</v>
      </c>
      <c r="CA9" s="20">
        <f aca="true" t="shared" si="89" ref="CA9:CA35">BX$6*$G9</f>
        <v>0</v>
      </c>
      <c r="CB9" s="33"/>
      <c r="CC9" s="51">
        <f aca="true" t="shared" si="90" ref="CC9:CC35">C9*10.86592/100</f>
        <v>0</v>
      </c>
      <c r="CD9" s="51">
        <f t="shared" si="37"/>
        <v>0</v>
      </c>
      <c r="CE9" s="33">
        <f t="shared" si="38"/>
        <v>0</v>
      </c>
      <c r="CF9" s="20">
        <f t="shared" si="39"/>
        <v>0</v>
      </c>
      <c r="CG9" s="20">
        <f aca="true" t="shared" si="91" ref="CG9:CG35">CD$6*$G9</f>
        <v>0</v>
      </c>
      <c r="CH9" s="33"/>
      <c r="CI9" s="51">
        <f aca="true" t="shared" si="92" ref="CI9:CI35">C9*0.46146/100</f>
        <v>0</v>
      </c>
      <c r="CJ9" s="51">
        <f t="shared" si="40"/>
        <v>0</v>
      </c>
      <c r="CK9" s="33">
        <f t="shared" si="41"/>
        <v>0</v>
      </c>
      <c r="CL9" s="20">
        <f t="shared" si="42"/>
        <v>0</v>
      </c>
      <c r="CM9" s="20">
        <f aca="true" t="shared" si="93" ref="CM9:CM35">CJ$6*$G9</f>
        <v>0</v>
      </c>
      <c r="CN9" s="33"/>
      <c r="CO9" s="33">
        <f aca="true" t="shared" si="94" ref="CO9:CO35">C9*0.00127/100</f>
        <v>0</v>
      </c>
      <c r="CP9" s="33">
        <f t="shared" si="43"/>
        <v>0</v>
      </c>
      <c r="CQ9" s="33">
        <f t="shared" si="44"/>
        <v>0</v>
      </c>
      <c r="CR9" s="20">
        <f t="shared" si="45"/>
        <v>0</v>
      </c>
      <c r="CS9" s="20">
        <f aca="true" t="shared" si="95" ref="CS9:CS35">CP$6*$G9</f>
        <v>0</v>
      </c>
      <c r="CT9" s="33"/>
      <c r="CU9" s="51">
        <f aca="true" t="shared" si="96" ref="CU9:CU35">C9*0.32049/100</f>
        <v>0</v>
      </c>
      <c r="CV9" s="51">
        <f t="shared" si="46"/>
        <v>0</v>
      </c>
      <c r="CW9" s="33">
        <f t="shared" si="47"/>
        <v>0</v>
      </c>
      <c r="CX9" s="20">
        <f t="shared" si="48"/>
        <v>0</v>
      </c>
      <c r="CY9" s="20">
        <f aca="true" t="shared" si="97" ref="CY9:CY35">CV$6*$G9</f>
        <v>0</v>
      </c>
      <c r="CZ9" s="33"/>
      <c r="DA9" s="51">
        <f aca="true" t="shared" si="98" ref="DA9:DA35">C9*0.81883/100</f>
        <v>0</v>
      </c>
      <c r="DB9" s="51">
        <f t="shared" si="49"/>
        <v>0</v>
      </c>
      <c r="DC9" s="33">
        <f t="shared" si="50"/>
        <v>0</v>
      </c>
      <c r="DD9" s="20">
        <f t="shared" si="51"/>
        <v>0</v>
      </c>
      <c r="DE9" s="20">
        <f aca="true" t="shared" si="99" ref="DE9:DE35">DB$6*$G9</f>
        <v>0</v>
      </c>
      <c r="DF9" s="33"/>
      <c r="DG9" s="51">
        <f aca="true" t="shared" si="100" ref="DG9:DG35">C9*1.38394/100</f>
        <v>0</v>
      </c>
      <c r="DH9" s="51">
        <f t="shared" si="52"/>
        <v>0</v>
      </c>
      <c r="DI9" s="33">
        <f t="shared" si="53"/>
        <v>0</v>
      </c>
      <c r="DJ9" s="20">
        <f t="shared" si="54"/>
        <v>0</v>
      </c>
      <c r="DK9" s="20">
        <f aca="true" t="shared" si="101" ref="DK9:DK35">DH$6*$G9</f>
        <v>0</v>
      </c>
      <c r="DL9" s="33"/>
      <c r="DM9" s="51">
        <f aca="true" t="shared" si="102" ref="DM9:DM35">C9*11.38442/100</f>
        <v>0</v>
      </c>
      <c r="DN9" s="51">
        <f t="shared" si="55"/>
        <v>0</v>
      </c>
      <c r="DO9" s="33">
        <f t="shared" si="56"/>
        <v>0</v>
      </c>
      <c r="DP9" s="20">
        <f t="shared" si="57"/>
        <v>0</v>
      </c>
      <c r="DQ9" s="20">
        <f aca="true" t="shared" si="103" ref="DQ9:DQ35">DN$6*$G9</f>
        <v>0</v>
      </c>
      <c r="DR9" s="33"/>
      <c r="DS9" s="51">
        <f aca="true" t="shared" si="104" ref="DS9:DS35">C9*0.21375/100</f>
        <v>0</v>
      </c>
      <c r="DT9" s="51">
        <f t="shared" si="58"/>
        <v>0</v>
      </c>
      <c r="DU9" s="33">
        <f t="shared" si="59"/>
        <v>0</v>
      </c>
      <c r="DV9" s="20">
        <f t="shared" si="60"/>
        <v>0</v>
      </c>
      <c r="DW9" s="20">
        <f aca="true" t="shared" si="105" ref="DW9:DW35">DT$6*$G9</f>
        <v>0</v>
      </c>
      <c r="DX9" s="33"/>
      <c r="DY9" s="51">
        <f aca="true" t="shared" si="106" ref="DY9:DY35">C9*1.01868/100</f>
        <v>0</v>
      </c>
      <c r="DZ9" s="51">
        <f t="shared" si="61"/>
        <v>0</v>
      </c>
      <c r="EA9" s="33">
        <f t="shared" si="62"/>
        <v>0</v>
      </c>
      <c r="EB9" s="20">
        <f t="shared" si="63"/>
        <v>0</v>
      </c>
      <c r="EC9" s="20">
        <f aca="true" t="shared" si="107" ref="EC9:EC35">DZ$6*$G9</f>
        <v>0</v>
      </c>
      <c r="ED9" s="33"/>
      <c r="EE9" s="33">
        <f aca="true" t="shared" si="108" ref="EE9:EE35">C9*1.83432/100</f>
        <v>0</v>
      </c>
      <c r="EF9" s="33">
        <f t="shared" si="64"/>
        <v>0</v>
      </c>
      <c r="EG9" s="33">
        <f t="shared" si="65"/>
        <v>0</v>
      </c>
      <c r="EH9" s="20">
        <f t="shared" si="66"/>
        <v>0</v>
      </c>
      <c r="EI9" s="20">
        <f aca="true" t="shared" si="109" ref="EI9:EI35">EF$6*$G9</f>
        <v>0</v>
      </c>
      <c r="EJ9" s="33"/>
      <c r="EK9" s="51">
        <f aca="true" t="shared" si="110" ref="EK9:EK35">C9*1.83184/100</f>
        <v>0</v>
      </c>
      <c r="EL9" s="51">
        <f t="shared" si="67"/>
        <v>0</v>
      </c>
      <c r="EM9" s="33">
        <f t="shared" si="68"/>
        <v>0</v>
      </c>
      <c r="EN9" s="20">
        <f t="shared" si="69"/>
        <v>0</v>
      </c>
      <c r="EO9" s="20">
        <f aca="true" t="shared" si="111" ref="EO9:EO35">EL$6*$G9</f>
        <v>0</v>
      </c>
      <c r="EP9" s="33"/>
      <c r="EQ9" s="33"/>
      <c r="ER9" s="33"/>
      <c r="ES9" s="33"/>
    </row>
    <row r="10" spans="1:149" ht="12">
      <c r="A10" s="19">
        <v>42278</v>
      </c>
      <c r="D10" s="35">
        <v>1095605</v>
      </c>
      <c r="E10" s="35">
        <f t="shared" si="0"/>
        <v>1095605</v>
      </c>
      <c r="F10" s="35">
        <v>232805</v>
      </c>
      <c r="G10" s="35">
        <f>150896+10</f>
        <v>150906</v>
      </c>
      <c r="I10" s="51"/>
      <c r="J10" s="51">
        <v>111005.164753</v>
      </c>
      <c r="K10" s="51">
        <f t="shared" si="1"/>
        <v>111005.164753</v>
      </c>
      <c r="L10" s="51">
        <v>23587.476672999997</v>
      </c>
      <c r="M10" s="51">
        <v>15289.584651599997</v>
      </c>
      <c r="O10" s="51">
        <f t="shared" si="2"/>
        <v>0</v>
      </c>
      <c r="P10" s="41">
        <f t="shared" si="3"/>
        <v>984599.835247</v>
      </c>
      <c r="Q10" s="33">
        <f t="shared" si="4"/>
        <v>984599.835247</v>
      </c>
      <c r="R10" s="41">
        <f t="shared" si="5"/>
        <v>209217.523327</v>
      </c>
      <c r="S10" s="41">
        <f t="shared" si="6"/>
        <v>135616.41534839998</v>
      </c>
      <c r="U10" s="65"/>
      <c r="V10" s="65">
        <f t="shared" si="7"/>
        <v>274288.875049</v>
      </c>
      <c r="W10" s="20">
        <f t="shared" si="8"/>
        <v>274288.875049</v>
      </c>
      <c r="X10" s="20">
        <f t="shared" si="9"/>
        <v>58283.616409</v>
      </c>
      <c r="Y10" s="20">
        <f t="shared" si="71"/>
        <v>37779.8905428</v>
      </c>
      <c r="AA10" s="65"/>
      <c r="AB10" s="65">
        <f t="shared" si="10"/>
        <v>21162.706179999997</v>
      </c>
      <c r="AC10" s="20">
        <f t="shared" si="11"/>
        <v>21162.706179999997</v>
      </c>
      <c r="AD10" s="20">
        <f t="shared" si="12"/>
        <v>4496.86138</v>
      </c>
      <c r="AE10" s="20">
        <f t="shared" si="73"/>
        <v>2914.900296</v>
      </c>
      <c r="AH10" s="33">
        <f t="shared" si="13"/>
        <v>26212.349625</v>
      </c>
      <c r="AI10" s="33">
        <f t="shared" si="14"/>
        <v>26212.349625</v>
      </c>
      <c r="AJ10" s="20">
        <f t="shared" si="15"/>
        <v>5569.859625</v>
      </c>
      <c r="AK10" s="20">
        <f t="shared" si="75"/>
        <v>3610.4260499999996</v>
      </c>
      <c r="AM10" s="65"/>
      <c r="AN10" s="65">
        <f t="shared" si="16"/>
        <v>12987.4112305</v>
      </c>
      <c r="AO10" s="20">
        <f t="shared" si="17"/>
        <v>12987.4112305</v>
      </c>
      <c r="AP10" s="20">
        <f t="shared" si="18"/>
        <v>2759.6937504999996</v>
      </c>
      <c r="AQ10" s="20">
        <f t="shared" si="77"/>
        <v>1788.8548145999998</v>
      </c>
      <c r="AS10" s="65"/>
      <c r="AT10" s="65">
        <f t="shared" si="19"/>
        <v>236774.702486</v>
      </c>
      <c r="AU10" s="20">
        <f t="shared" si="20"/>
        <v>236774.702486</v>
      </c>
      <c r="AV10" s="20">
        <f t="shared" si="21"/>
        <v>50312.233526</v>
      </c>
      <c r="AW10" s="20">
        <f t="shared" si="79"/>
        <v>32612.7785592</v>
      </c>
      <c r="AX10" s="33"/>
      <c r="AY10" s="65"/>
      <c r="AZ10" s="65">
        <f t="shared" si="22"/>
        <v>31222.0034875</v>
      </c>
      <c r="BA10" s="20">
        <f t="shared" si="23"/>
        <v>31222.0034875</v>
      </c>
      <c r="BB10" s="20">
        <f t="shared" si="24"/>
        <v>6634.3604875</v>
      </c>
      <c r="BC10" s="20">
        <f t="shared" si="81"/>
        <v>4300.443735</v>
      </c>
      <c r="BD10" s="33"/>
      <c r="BE10" s="51"/>
      <c r="BF10" s="51">
        <f t="shared" si="25"/>
        <v>9261.149065</v>
      </c>
      <c r="BG10" s="33">
        <f t="shared" si="26"/>
        <v>9261.149065</v>
      </c>
      <c r="BH10" s="20">
        <f t="shared" si="27"/>
        <v>1967.9006650000001</v>
      </c>
      <c r="BI10" s="20">
        <f t="shared" si="83"/>
        <v>1275.608418</v>
      </c>
      <c r="BJ10" s="33"/>
      <c r="BK10" s="33"/>
      <c r="BL10" s="33">
        <f t="shared" si="28"/>
        <v>4072.9115875</v>
      </c>
      <c r="BM10" s="33">
        <f t="shared" si="29"/>
        <v>4072.9115875</v>
      </c>
      <c r="BN10" s="20">
        <f t="shared" si="30"/>
        <v>865.4525874999999</v>
      </c>
      <c r="BO10" s="20">
        <f t="shared" si="85"/>
        <v>560.993055</v>
      </c>
      <c r="BP10" s="33"/>
      <c r="BQ10" s="51"/>
      <c r="BR10" s="51">
        <f t="shared" si="31"/>
        <v>35693.824855499995</v>
      </c>
      <c r="BS10" s="33">
        <f t="shared" si="32"/>
        <v>35693.824855499995</v>
      </c>
      <c r="BT10" s="20">
        <f t="shared" si="33"/>
        <v>7584.5773755</v>
      </c>
      <c r="BU10" s="20">
        <f t="shared" si="87"/>
        <v>4916.3816646</v>
      </c>
      <c r="BV10" s="33"/>
      <c r="BW10" s="51"/>
      <c r="BX10" s="51">
        <f t="shared" si="34"/>
        <v>2764.211415</v>
      </c>
      <c r="BY10" s="33">
        <f t="shared" si="35"/>
        <v>2764.211415</v>
      </c>
      <c r="BZ10" s="20">
        <f t="shared" si="36"/>
        <v>587.367015</v>
      </c>
      <c r="CA10" s="20">
        <f t="shared" si="89"/>
        <v>380.735838</v>
      </c>
      <c r="CB10" s="33"/>
      <c r="CC10" s="51"/>
      <c r="CD10" s="51">
        <f t="shared" si="37"/>
        <v>119047.56281599999</v>
      </c>
      <c r="CE10" s="33">
        <f t="shared" si="38"/>
        <v>119047.56281599999</v>
      </c>
      <c r="CF10" s="20">
        <f t="shared" si="39"/>
        <v>25296.405056</v>
      </c>
      <c r="CG10" s="20">
        <f t="shared" si="91"/>
        <v>16397.325235199998</v>
      </c>
      <c r="CH10" s="33"/>
      <c r="CI10" s="51"/>
      <c r="CJ10" s="51">
        <f t="shared" si="40"/>
        <v>5055.778833</v>
      </c>
      <c r="CK10" s="33">
        <f t="shared" si="41"/>
        <v>5055.778833</v>
      </c>
      <c r="CL10" s="20">
        <f t="shared" si="42"/>
        <v>1074.301953</v>
      </c>
      <c r="CM10" s="20">
        <f t="shared" si="93"/>
        <v>696.3708276</v>
      </c>
      <c r="CN10" s="33"/>
      <c r="CO10" s="33"/>
      <c r="CP10" s="33">
        <f t="shared" si="43"/>
        <v>13.914183500000002</v>
      </c>
      <c r="CQ10" s="33">
        <f t="shared" si="44"/>
        <v>13.914183500000002</v>
      </c>
      <c r="CR10" s="20">
        <f t="shared" si="45"/>
        <v>2.9566235</v>
      </c>
      <c r="CS10" s="20">
        <f t="shared" si="95"/>
        <v>1.9165062000000002</v>
      </c>
      <c r="CT10" s="33"/>
      <c r="CU10" s="51"/>
      <c r="CV10" s="51">
        <f t="shared" si="46"/>
        <v>3511.3044645</v>
      </c>
      <c r="CW10" s="33">
        <f t="shared" si="47"/>
        <v>3511.3044645</v>
      </c>
      <c r="CX10" s="20">
        <f t="shared" si="48"/>
        <v>746.1167445</v>
      </c>
      <c r="CY10" s="20">
        <f t="shared" si="97"/>
        <v>483.6386394</v>
      </c>
      <c r="CZ10" s="33"/>
      <c r="DA10" s="51"/>
      <c r="DB10" s="51">
        <f t="shared" si="49"/>
        <v>8971.142421499999</v>
      </c>
      <c r="DC10" s="33">
        <f t="shared" si="50"/>
        <v>8971.142421499999</v>
      </c>
      <c r="DD10" s="20">
        <f t="shared" si="51"/>
        <v>1906.2771815</v>
      </c>
      <c r="DE10" s="20">
        <f t="shared" si="99"/>
        <v>1235.6635998000002</v>
      </c>
      <c r="DF10" s="33"/>
      <c r="DG10" s="51"/>
      <c r="DH10" s="51">
        <f t="shared" si="52"/>
        <v>15162.515836999999</v>
      </c>
      <c r="DI10" s="33">
        <f t="shared" si="53"/>
        <v>15162.515836999999</v>
      </c>
      <c r="DJ10" s="20">
        <f t="shared" si="54"/>
        <v>3221.881517</v>
      </c>
      <c r="DK10" s="20">
        <f t="shared" si="101"/>
        <v>2088.4484964</v>
      </c>
      <c r="DL10" s="33"/>
      <c r="DM10" s="51"/>
      <c r="DN10" s="51">
        <f t="shared" si="55"/>
        <v>124728.27474100002</v>
      </c>
      <c r="DO10" s="33">
        <f t="shared" si="56"/>
        <v>124728.27474100002</v>
      </c>
      <c r="DP10" s="20">
        <f t="shared" si="57"/>
        <v>26503.498981</v>
      </c>
      <c r="DQ10" s="20">
        <f t="shared" si="103"/>
        <v>17179.7728452</v>
      </c>
      <c r="DR10" s="33"/>
      <c r="DS10" s="51"/>
      <c r="DT10" s="51">
        <f t="shared" si="58"/>
        <v>2341.8556875</v>
      </c>
      <c r="DU10" s="33">
        <f t="shared" si="59"/>
        <v>2341.8556875</v>
      </c>
      <c r="DV10" s="20">
        <f t="shared" si="60"/>
        <v>497.62068750000003</v>
      </c>
      <c r="DW10" s="20">
        <f t="shared" si="105"/>
        <v>322.561575</v>
      </c>
      <c r="DX10" s="33"/>
      <c r="DY10" s="51"/>
      <c r="DZ10" s="51">
        <f t="shared" si="61"/>
        <v>11160.709014</v>
      </c>
      <c r="EA10" s="33">
        <f t="shared" si="62"/>
        <v>11160.709014</v>
      </c>
      <c r="EB10" s="20">
        <f t="shared" si="63"/>
        <v>2371.537974</v>
      </c>
      <c r="EC10" s="20">
        <f t="shared" si="107"/>
        <v>1537.2492407999998</v>
      </c>
      <c r="ED10" s="33"/>
      <c r="EE10" s="33"/>
      <c r="EF10" s="33">
        <f t="shared" si="64"/>
        <v>20096.901636</v>
      </c>
      <c r="EG10" s="33">
        <f t="shared" si="65"/>
        <v>20096.901636</v>
      </c>
      <c r="EH10" s="20">
        <f t="shared" si="66"/>
        <v>4270.3886760000005</v>
      </c>
      <c r="EI10" s="20">
        <f t="shared" si="109"/>
        <v>2768.0989392</v>
      </c>
      <c r="EJ10" s="33"/>
      <c r="EK10" s="51"/>
      <c r="EL10" s="51">
        <f t="shared" si="67"/>
        <v>20069.730632</v>
      </c>
      <c r="EM10" s="33">
        <f t="shared" si="68"/>
        <v>20069.730632</v>
      </c>
      <c r="EN10" s="20">
        <f t="shared" si="69"/>
        <v>4264.6151119999995</v>
      </c>
      <c r="EO10" s="20">
        <f t="shared" si="111"/>
        <v>2764.3564703999996</v>
      </c>
      <c r="EP10" s="33"/>
      <c r="EQ10" s="33"/>
      <c r="ER10" s="33"/>
      <c r="ES10" s="33"/>
    </row>
    <row r="11" spans="1:149" ht="12">
      <c r="A11" s="19">
        <v>42461</v>
      </c>
      <c r="D11" s="35">
        <v>952700</v>
      </c>
      <c r="E11" s="35">
        <f t="shared" si="0"/>
        <v>952700</v>
      </c>
      <c r="F11" s="35">
        <v>232802</v>
      </c>
      <c r="G11" s="35">
        <v>150896</v>
      </c>
      <c r="I11" s="51">
        <v>0</v>
      </c>
      <c r="J11" s="51">
        <v>96526.23022000001</v>
      </c>
      <c r="K11" s="51">
        <f t="shared" si="1"/>
        <v>96526.23022000001</v>
      </c>
      <c r="L11" s="51">
        <v>23587.172717200003</v>
      </c>
      <c r="M11" s="51">
        <v>15288.5714656</v>
      </c>
      <c r="O11" s="51">
        <f t="shared" si="2"/>
        <v>0</v>
      </c>
      <c r="P11" s="41">
        <f t="shared" si="3"/>
        <v>856173.76978</v>
      </c>
      <c r="Q11" s="33">
        <f t="shared" si="4"/>
        <v>856173.76978</v>
      </c>
      <c r="R11" s="41">
        <f t="shared" si="5"/>
        <v>209214.82728279993</v>
      </c>
      <c r="S11" s="41">
        <f t="shared" si="6"/>
        <v>135607.42853440004</v>
      </c>
      <c r="U11" s="65">
        <f t="shared" si="70"/>
        <v>0</v>
      </c>
      <c r="V11" s="65">
        <f t="shared" si="7"/>
        <v>238512.06526</v>
      </c>
      <c r="W11" s="20">
        <f t="shared" si="8"/>
        <v>238512.06526</v>
      </c>
      <c r="X11" s="20">
        <f t="shared" si="9"/>
        <v>58282.8653476</v>
      </c>
      <c r="Y11" s="20">
        <f t="shared" si="71"/>
        <v>37777.3870048</v>
      </c>
      <c r="AA11" s="65">
        <f t="shared" si="72"/>
        <v>0</v>
      </c>
      <c r="AB11" s="65">
        <f t="shared" si="10"/>
        <v>18402.3532</v>
      </c>
      <c r="AC11" s="20">
        <f t="shared" si="11"/>
        <v>18402.3532</v>
      </c>
      <c r="AD11" s="20">
        <f t="shared" si="12"/>
        <v>4496.803432</v>
      </c>
      <c r="AE11" s="20">
        <f t="shared" si="73"/>
        <v>2914.707136</v>
      </c>
      <c r="AG11" s="33">
        <f t="shared" si="74"/>
        <v>0</v>
      </c>
      <c r="AH11" s="33">
        <f t="shared" si="13"/>
        <v>22793.3475</v>
      </c>
      <c r="AI11" s="33">
        <f t="shared" si="14"/>
        <v>22793.3475</v>
      </c>
      <c r="AJ11" s="20">
        <f t="shared" si="15"/>
        <v>5569.78785</v>
      </c>
      <c r="AK11" s="20">
        <f t="shared" si="75"/>
        <v>3610.1868</v>
      </c>
      <c r="AM11" s="65">
        <f t="shared" si="76"/>
        <v>0</v>
      </c>
      <c r="AN11" s="65">
        <f t="shared" si="16"/>
        <v>11293.40107</v>
      </c>
      <c r="AO11" s="20">
        <f t="shared" si="17"/>
        <v>11293.40107</v>
      </c>
      <c r="AP11" s="20">
        <f t="shared" si="18"/>
        <v>2759.6581882</v>
      </c>
      <c r="AQ11" s="20">
        <f t="shared" si="77"/>
        <v>1788.7362736</v>
      </c>
      <c r="AS11" s="65">
        <f t="shared" si="78"/>
        <v>0</v>
      </c>
      <c r="AT11" s="65">
        <f t="shared" si="19"/>
        <v>205891.04564</v>
      </c>
      <c r="AU11" s="20">
        <f t="shared" si="20"/>
        <v>205891.04564</v>
      </c>
      <c r="AV11" s="20">
        <f t="shared" si="21"/>
        <v>50311.5851864</v>
      </c>
      <c r="AW11" s="20">
        <f t="shared" si="79"/>
        <v>32610.617427200003</v>
      </c>
      <c r="AX11" s="33"/>
      <c r="AY11" s="65">
        <f t="shared" si="80"/>
        <v>0</v>
      </c>
      <c r="AZ11" s="65">
        <f t="shared" si="22"/>
        <v>27149.568249999997</v>
      </c>
      <c r="BA11" s="20">
        <f t="shared" si="23"/>
        <v>27149.568249999997</v>
      </c>
      <c r="BB11" s="20">
        <f t="shared" si="24"/>
        <v>6634.274995</v>
      </c>
      <c r="BC11" s="20">
        <f t="shared" si="81"/>
        <v>4300.158759999999</v>
      </c>
      <c r="BD11" s="33"/>
      <c r="BE11" s="51">
        <f t="shared" si="82"/>
        <v>0</v>
      </c>
      <c r="BF11" s="51">
        <f t="shared" si="25"/>
        <v>8053.173100000001</v>
      </c>
      <c r="BG11" s="33">
        <f t="shared" si="26"/>
        <v>8053.173100000001</v>
      </c>
      <c r="BH11" s="20">
        <f t="shared" si="27"/>
        <v>1967.8753060000001</v>
      </c>
      <c r="BI11" s="20">
        <f t="shared" si="83"/>
        <v>1275.5238880000002</v>
      </c>
      <c r="BJ11" s="33"/>
      <c r="BK11" s="33">
        <f t="shared" si="84"/>
        <v>0</v>
      </c>
      <c r="BL11" s="33">
        <f t="shared" si="28"/>
        <v>3541.6622500000003</v>
      </c>
      <c r="BM11" s="33">
        <f t="shared" si="29"/>
        <v>3541.6622500000003</v>
      </c>
      <c r="BN11" s="20">
        <f t="shared" si="30"/>
        <v>865.441435</v>
      </c>
      <c r="BO11" s="20">
        <f t="shared" si="85"/>
        <v>560.95588</v>
      </c>
      <c r="BP11" s="33"/>
      <c r="BQ11" s="51">
        <f t="shared" si="86"/>
        <v>0</v>
      </c>
      <c r="BR11" s="51">
        <f t="shared" si="31"/>
        <v>31038.108569999997</v>
      </c>
      <c r="BS11" s="33">
        <f t="shared" si="32"/>
        <v>31038.108569999997</v>
      </c>
      <c r="BT11" s="20">
        <f t="shared" si="33"/>
        <v>7584.4796381999995</v>
      </c>
      <c r="BU11" s="20">
        <f t="shared" si="87"/>
        <v>4916.0558736</v>
      </c>
      <c r="BV11" s="33"/>
      <c r="BW11" s="51">
        <f t="shared" si="88"/>
        <v>0</v>
      </c>
      <c r="BX11" s="51">
        <f t="shared" si="34"/>
        <v>2403.6621</v>
      </c>
      <c r="BY11" s="33">
        <f t="shared" si="35"/>
        <v>2403.6621</v>
      </c>
      <c r="BZ11" s="20">
        <f t="shared" si="36"/>
        <v>587.359446</v>
      </c>
      <c r="CA11" s="20">
        <f t="shared" si="89"/>
        <v>380.71060800000004</v>
      </c>
      <c r="CB11" s="33"/>
      <c r="CC11" s="51">
        <f t="shared" si="90"/>
        <v>0</v>
      </c>
      <c r="CD11" s="51">
        <f t="shared" si="37"/>
        <v>103519.61984</v>
      </c>
      <c r="CE11" s="33">
        <f t="shared" si="38"/>
        <v>103519.61984</v>
      </c>
      <c r="CF11" s="20">
        <f t="shared" si="39"/>
        <v>25296.0790784</v>
      </c>
      <c r="CG11" s="20">
        <f t="shared" si="91"/>
        <v>16396.2386432</v>
      </c>
      <c r="CH11" s="33"/>
      <c r="CI11" s="51">
        <f t="shared" si="92"/>
        <v>0</v>
      </c>
      <c r="CJ11" s="51">
        <f t="shared" si="40"/>
        <v>4396.32942</v>
      </c>
      <c r="CK11" s="33">
        <f t="shared" si="41"/>
        <v>4396.32942</v>
      </c>
      <c r="CL11" s="20">
        <f t="shared" si="42"/>
        <v>1074.2881092</v>
      </c>
      <c r="CM11" s="20">
        <f t="shared" si="93"/>
        <v>696.3246816</v>
      </c>
      <c r="CN11" s="33"/>
      <c r="CO11" s="33">
        <f t="shared" si="94"/>
        <v>0</v>
      </c>
      <c r="CP11" s="33">
        <f t="shared" si="43"/>
        <v>12.099290000000002</v>
      </c>
      <c r="CQ11" s="33">
        <f t="shared" si="44"/>
        <v>12.099290000000002</v>
      </c>
      <c r="CR11" s="20">
        <f t="shared" si="45"/>
        <v>2.9565854000000003</v>
      </c>
      <c r="CS11" s="20">
        <f t="shared" si="95"/>
        <v>1.9163792</v>
      </c>
      <c r="CT11" s="33"/>
      <c r="CU11" s="51">
        <f t="shared" si="96"/>
        <v>0</v>
      </c>
      <c r="CV11" s="51">
        <f t="shared" si="46"/>
        <v>3053.3082299999996</v>
      </c>
      <c r="CW11" s="33">
        <f t="shared" si="47"/>
        <v>3053.3082299999996</v>
      </c>
      <c r="CX11" s="20">
        <f t="shared" si="48"/>
        <v>746.1071298</v>
      </c>
      <c r="CY11" s="20">
        <f t="shared" si="97"/>
        <v>483.6065904</v>
      </c>
      <c r="CZ11" s="33"/>
      <c r="DA11" s="51">
        <f t="shared" si="98"/>
        <v>0</v>
      </c>
      <c r="DB11" s="51">
        <f t="shared" si="49"/>
        <v>7800.993409999999</v>
      </c>
      <c r="DC11" s="33">
        <f t="shared" si="50"/>
        <v>7800.993409999999</v>
      </c>
      <c r="DD11" s="20">
        <f t="shared" si="51"/>
        <v>1906.2526166000002</v>
      </c>
      <c r="DE11" s="20">
        <f t="shared" si="99"/>
        <v>1235.5817168</v>
      </c>
      <c r="DF11" s="33"/>
      <c r="DG11" s="51">
        <f t="shared" si="100"/>
        <v>0</v>
      </c>
      <c r="DH11" s="51">
        <f t="shared" si="52"/>
        <v>13184.79638</v>
      </c>
      <c r="DI11" s="33">
        <f t="shared" si="53"/>
        <v>13184.79638</v>
      </c>
      <c r="DJ11" s="20">
        <f t="shared" si="54"/>
        <v>3221.8399988</v>
      </c>
      <c r="DK11" s="20">
        <f t="shared" si="101"/>
        <v>2088.3101024</v>
      </c>
      <c r="DL11" s="33"/>
      <c r="DM11" s="51">
        <f t="shared" si="102"/>
        <v>0</v>
      </c>
      <c r="DN11" s="51">
        <f t="shared" si="55"/>
        <v>108459.36934</v>
      </c>
      <c r="DO11" s="33">
        <f t="shared" si="56"/>
        <v>108459.36934</v>
      </c>
      <c r="DP11" s="20">
        <f t="shared" si="57"/>
        <v>26503.1574484</v>
      </c>
      <c r="DQ11" s="20">
        <f t="shared" si="103"/>
        <v>17178.6344032</v>
      </c>
      <c r="DR11" s="33"/>
      <c r="DS11" s="51">
        <f t="shared" si="104"/>
        <v>0</v>
      </c>
      <c r="DT11" s="51">
        <f t="shared" si="58"/>
        <v>2036.39625</v>
      </c>
      <c r="DU11" s="33">
        <f t="shared" si="59"/>
        <v>2036.39625</v>
      </c>
      <c r="DV11" s="20">
        <f t="shared" si="60"/>
        <v>497.614275</v>
      </c>
      <c r="DW11" s="20">
        <f t="shared" si="105"/>
        <v>322.5402</v>
      </c>
      <c r="DX11" s="33"/>
      <c r="DY11" s="51">
        <f t="shared" si="106"/>
        <v>0</v>
      </c>
      <c r="DZ11" s="51">
        <f t="shared" si="61"/>
        <v>9704.96436</v>
      </c>
      <c r="EA11" s="33">
        <f t="shared" si="62"/>
        <v>9704.96436</v>
      </c>
      <c r="EB11" s="20">
        <f t="shared" si="63"/>
        <v>2371.5074136</v>
      </c>
      <c r="EC11" s="20">
        <f t="shared" si="107"/>
        <v>1537.1473727999999</v>
      </c>
      <c r="ED11" s="33"/>
      <c r="EE11" s="33">
        <f t="shared" si="108"/>
        <v>0</v>
      </c>
      <c r="EF11" s="33">
        <f t="shared" si="64"/>
        <v>17475.566639999997</v>
      </c>
      <c r="EG11" s="33">
        <f t="shared" si="65"/>
        <v>17475.566639999997</v>
      </c>
      <c r="EH11" s="20">
        <f t="shared" si="66"/>
        <v>4270.3336464</v>
      </c>
      <c r="EI11" s="20">
        <f t="shared" si="109"/>
        <v>2767.9155072</v>
      </c>
      <c r="EJ11" s="33"/>
      <c r="EK11" s="51">
        <f t="shared" si="110"/>
        <v>0</v>
      </c>
      <c r="EL11" s="51">
        <f t="shared" si="67"/>
        <v>17451.93968</v>
      </c>
      <c r="EM11" s="33">
        <f t="shared" si="68"/>
        <v>17451.93968</v>
      </c>
      <c r="EN11" s="20">
        <f t="shared" si="69"/>
        <v>4264.560156799999</v>
      </c>
      <c r="EO11" s="20">
        <f t="shared" si="111"/>
        <v>2764.1732863999996</v>
      </c>
      <c r="EP11" s="33"/>
      <c r="EQ11" s="33"/>
      <c r="ER11" s="33"/>
      <c r="ES11" s="33"/>
    </row>
    <row r="12" spans="1:149" ht="12">
      <c r="A12" s="19">
        <v>42644</v>
      </c>
      <c r="D12" s="35">
        <v>952700</v>
      </c>
      <c r="E12" s="35">
        <f t="shared" si="0"/>
        <v>952700</v>
      </c>
      <c r="F12" s="35">
        <v>232802</v>
      </c>
      <c r="G12" s="35">
        <v>150896</v>
      </c>
      <c r="I12" s="51"/>
      <c r="J12" s="51">
        <v>96526.23022000001</v>
      </c>
      <c r="K12" s="51">
        <f t="shared" si="1"/>
        <v>96526.23022000001</v>
      </c>
      <c r="L12" s="51">
        <v>23587.172717200003</v>
      </c>
      <c r="M12" s="51">
        <v>15288.5714656</v>
      </c>
      <c r="O12" s="51">
        <f t="shared" si="2"/>
        <v>0</v>
      </c>
      <c r="P12" s="41">
        <f t="shared" si="3"/>
        <v>856173.76978</v>
      </c>
      <c r="Q12" s="33">
        <f t="shared" si="4"/>
        <v>856173.76978</v>
      </c>
      <c r="R12" s="41">
        <f t="shared" si="5"/>
        <v>209214.82728279993</v>
      </c>
      <c r="S12" s="41">
        <f t="shared" si="6"/>
        <v>135607.42853440004</v>
      </c>
      <c r="U12" s="65"/>
      <c r="V12" s="65">
        <f t="shared" si="7"/>
        <v>238512.06526</v>
      </c>
      <c r="W12" s="20">
        <f t="shared" si="8"/>
        <v>238512.06526</v>
      </c>
      <c r="X12" s="20">
        <f t="shared" si="9"/>
        <v>58282.8653476</v>
      </c>
      <c r="Y12" s="20">
        <f t="shared" si="71"/>
        <v>37777.3870048</v>
      </c>
      <c r="AA12" s="65"/>
      <c r="AB12" s="65">
        <f t="shared" si="10"/>
        <v>18402.3532</v>
      </c>
      <c r="AC12" s="20">
        <f t="shared" si="11"/>
        <v>18402.3532</v>
      </c>
      <c r="AD12" s="20">
        <f t="shared" si="12"/>
        <v>4496.803432</v>
      </c>
      <c r="AE12" s="20">
        <f t="shared" si="73"/>
        <v>2914.707136</v>
      </c>
      <c r="AH12" s="33">
        <f t="shared" si="13"/>
        <v>22793.3475</v>
      </c>
      <c r="AI12" s="33">
        <f t="shared" si="14"/>
        <v>22793.3475</v>
      </c>
      <c r="AJ12" s="20">
        <f t="shared" si="15"/>
        <v>5569.78785</v>
      </c>
      <c r="AK12" s="20">
        <f t="shared" si="75"/>
        <v>3610.1868</v>
      </c>
      <c r="AM12" s="65"/>
      <c r="AN12" s="65">
        <f t="shared" si="16"/>
        <v>11293.40107</v>
      </c>
      <c r="AO12" s="20">
        <f t="shared" si="17"/>
        <v>11293.40107</v>
      </c>
      <c r="AP12" s="20">
        <f t="shared" si="18"/>
        <v>2759.6581882</v>
      </c>
      <c r="AQ12" s="20">
        <f t="shared" si="77"/>
        <v>1788.7362736</v>
      </c>
      <c r="AS12" s="65"/>
      <c r="AT12" s="65">
        <f t="shared" si="19"/>
        <v>205891.04564</v>
      </c>
      <c r="AU12" s="20">
        <f t="shared" si="20"/>
        <v>205891.04564</v>
      </c>
      <c r="AV12" s="20">
        <f t="shared" si="21"/>
        <v>50311.5851864</v>
      </c>
      <c r="AW12" s="20">
        <f t="shared" si="79"/>
        <v>32610.617427200003</v>
      </c>
      <c r="AX12" s="33"/>
      <c r="AY12" s="65"/>
      <c r="AZ12" s="65">
        <f t="shared" si="22"/>
        <v>27149.568249999997</v>
      </c>
      <c r="BA12" s="20">
        <f t="shared" si="23"/>
        <v>27149.568249999997</v>
      </c>
      <c r="BB12" s="20">
        <f t="shared" si="24"/>
        <v>6634.274995</v>
      </c>
      <c r="BC12" s="20">
        <f t="shared" si="81"/>
        <v>4300.158759999999</v>
      </c>
      <c r="BD12" s="33"/>
      <c r="BE12" s="51"/>
      <c r="BF12" s="51">
        <f t="shared" si="25"/>
        <v>8053.173100000001</v>
      </c>
      <c r="BG12" s="33">
        <f t="shared" si="26"/>
        <v>8053.173100000001</v>
      </c>
      <c r="BH12" s="20">
        <f t="shared" si="27"/>
        <v>1967.8753060000001</v>
      </c>
      <c r="BI12" s="20">
        <f t="shared" si="83"/>
        <v>1275.5238880000002</v>
      </c>
      <c r="BJ12" s="33"/>
      <c r="BK12" s="33"/>
      <c r="BL12" s="33">
        <f t="shared" si="28"/>
        <v>3541.6622500000003</v>
      </c>
      <c r="BM12" s="33">
        <f t="shared" si="29"/>
        <v>3541.6622500000003</v>
      </c>
      <c r="BN12" s="20">
        <f t="shared" si="30"/>
        <v>865.441435</v>
      </c>
      <c r="BO12" s="20">
        <f t="shared" si="85"/>
        <v>560.95588</v>
      </c>
      <c r="BP12" s="33"/>
      <c r="BQ12" s="51"/>
      <c r="BR12" s="51">
        <f t="shared" si="31"/>
        <v>31038.108569999997</v>
      </c>
      <c r="BS12" s="33">
        <f t="shared" si="32"/>
        <v>31038.108569999997</v>
      </c>
      <c r="BT12" s="20">
        <f t="shared" si="33"/>
        <v>7584.4796381999995</v>
      </c>
      <c r="BU12" s="20">
        <f t="shared" si="87"/>
        <v>4916.0558736</v>
      </c>
      <c r="BV12" s="33"/>
      <c r="BW12" s="51"/>
      <c r="BX12" s="51">
        <f t="shared" si="34"/>
        <v>2403.6621</v>
      </c>
      <c r="BY12" s="33">
        <f t="shared" si="35"/>
        <v>2403.6621</v>
      </c>
      <c r="BZ12" s="20">
        <f t="shared" si="36"/>
        <v>587.359446</v>
      </c>
      <c r="CA12" s="20">
        <f t="shared" si="89"/>
        <v>380.71060800000004</v>
      </c>
      <c r="CB12" s="33"/>
      <c r="CC12" s="51"/>
      <c r="CD12" s="51">
        <f t="shared" si="37"/>
        <v>103519.61984</v>
      </c>
      <c r="CE12" s="33">
        <f t="shared" si="38"/>
        <v>103519.61984</v>
      </c>
      <c r="CF12" s="20">
        <f t="shared" si="39"/>
        <v>25296.0790784</v>
      </c>
      <c r="CG12" s="20">
        <f t="shared" si="91"/>
        <v>16396.2386432</v>
      </c>
      <c r="CH12" s="33"/>
      <c r="CI12" s="51"/>
      <c r="CJ12" s="51">
        <f t="shared" si="40"/>
        <v>4396.32942</v>
      </c>
      <c r="CK12" s="33">
        <f t="shared" si="41"/>
        <v>4396.32942</v>
      </c>
      <c r="CL12" s="20">
        <f t="shared" si="42"/>
        <v>1074.2881092</v>
      </c>
      <c r="CM12" s="20">
        <f t="shared" si="93"/>
        <v>696.3246816</v>
      </c>
      <c r="CN12" s="33"/>
      <c r="CO12" s="33"/>
      <c r="CP12" s="33">
        <f t="shared" si="43"/>
        <v>12.099290000000002</v>
      </c>
      <c r="CQ12" s="33">
        <f t="shared" si="44"/>
        <v>12.099290000000002</v>
      </c>
      <c r="CR12" s="20">
        <f t="shared" si="45"/>
        <v>2.9565854000000003</v>
      </c>
      <c r="CS12" s="20">
        <f t="shared" si="95"/>
        <v>1.9163792</v>
      </c>
      <c r="CT12" s="33"/>
      <c r="CU12" s="51"/>
      <c r="CV12" s="51">
        <f t="shared" si="46"/>
        <v>3053.3082299999996</v>
      </c>
      <c r="CW12" s="33">
        <f t="shared" si="47"/>
        <v>3053.3082299999996</v>
      </c>
      <c r="CX12" s="20">
        <f t="shared" si="48"/>
        <v>746.1071298</v>
      </c>
      <c r="CY12" s="20">
        <f t="shared" si="97"/>
        <v>483.6065904</v>
      </c>
      <c r="CZ12" s="33"/>
      <c r="DA12" s="51"/>
      <c r="DB12" s="51">
        <f t="shared" si="49"/>
        <v>7800.993409999999</v>
      </c>
      <c r="DC12" s="33">
        <f t="shared" si="50"/>
        <v>7800.993409999999</v>
      </c>
      <c r="DD12" s="20">
        <f t="shared" si="51"/>
        <v>1906.2526166000002</v>
      </c>
      <c r="DE12" s="20">
        <f t="shared" si="99"/>
        <v>1235.5817168</v>
      </c>
      <c r="DF12" s="33"/>
      <c r="DG12" s="51"/>
      <c r="DH12" s="51">
        <f t="shared" si="52"/>
        <v>13184.79638</v>
      </c>
      <c r="DI12" s="33">
        <f t="shared" si="53"/>
        <v>13184.79638</v>
      </c>
      <c r="DJ12" s="20">
        <f t="shared" si="54"/>
        <v>3221.8399988</v>
      </c>
      <c r="DK12" s="20">
        <f t="shared" si="101"/>
        <v>2088.3101024</v>
      </c>
      <c r="DL12" s="33"/>
      <c r="DM12" s="51"/>
      <c r="DN12" s="51">
        <f t="shared" si="55"/>
        <v>108459.36934</v>
      </c>
      <c r="DO12" s="33">
        <f t="shared" si="56"/>
        <v>108459.36934</v>
      </c>
      <c r="DP12" s="20">
        <f t="shared" si="57"/>
        <v>26503.1574484</v>
      </c>
      <c r="DQ12" s="20">
        <f t="shared" si="103"/>
        <v>17178.6344032</v>
      </c>
      <c r="DR12" s="33"/>
      <c r="DS12" s="51"/>
      <c r="DT12" s="51">
        <f t="shared" si="58"/>
        <v>2036.39625</v>
      </c>
      <c r="DU12" s="33">
        <f t="shared" si="59"/>
        <v>2036.39625</v>
      </c>
      <c r="DV12" s="20">
        <f t="shared" si="60"/>
        <v>497.614275</v>
      </c>
      <c r="DW12" s="20">
        <f t="shared" si="105"/>
        <v>322.5402</v>
      </c>
      <c r="DX12" s="33"/>
      <c r="DY12" s="51"/>
      <c r="DZ12" s="51">
        <f t="shared" si="61"/>
        <v>9704.96436</v>
      </c>
      <c r="EA12" s="33">
        <f t="shared" si="62"/>
        <v>9704.96436</v>
      </c>
      <c r="EB12" s="20">
        <f t="shared" si="63"/>
        <v>2371.5074136</v>
      </c>
      <c r="EC12" s="20">
        <f t="shared" si="107"/>
        <v>1537.1473727999999</v>
      </c>
      <c r="ED12" s="33"/>
      <c r="EE12" s="33"/>
      <c r="EF12" s="33">
        <f t="shared" si="64"/>
        <v>17475.566639999997</v>
      </c>
      <c r="EG12" s="33">
        <f t="shared" si="65"/>
        <v>17475.566639999997</v>
      </c>
      <c r="EH12" s="20">
        <f t="shared" si="66"/>
        <v>4270.3336464</v>
      </c>
      <c r="EI12" s="20">
        <f t="shared" si="109"/>
        <v>2767.9155072</v>
      </c>
      <c r="EJ12" s="33"/>
      <c r="EK12" s="51"/>
      <c r="EL12" s="51">
        <f t="shared" si="67"/>
        <v>17451.93968</v>
      </c>
      <c r="EM12" s="33">
        <f t="shared" si="68"/>
        <v>17451.93968</v>
      </c>
      <c r="EN12" s="20">
        <f t="shared" si="69"/>
        <v>4264.560156799999</v>
      </c>
      <c r="EO12" s="20">
        <f t="shared" si="111"/>
        <v>2764.1732863999996</v>
      </c>
      <c r="EP12" s="33"/>
      <c r="EQ12" s="33"/>
      <c r="ER12" s="33"/>
      <c r="ES12" s="33"/>
    </row>
    <row r="13" spans="1:149" ht="12">
      <c r="A13" s="19">
        <v>42826</v>
      </c>
      <c r="D13" s="35">
        <v>952700</v>
      </c>
      <c r="E13" s="35">
        <f t="shared" si="0"/>
        <v>952700</v>
      </c>
      <c r="F13" s="35">
        <v>232802</v>
      </c>
      <c r="G13" s="35">
        <v>150896</v>
      </c>
      <c r="I13" s="51">
        <v>0</v>
      </c>
      <c r="J13" s="51">
        <v>96526.23022000001</v>
      </c>
      <c r="K13" s="51">
        <f t="shared" si="1"/>
        <v>96526.23022000001</v>
      </c>
      <c r="L13" s="51">
        <v>23587.172717200003</v>
      </c>
      <c r="M13" s="51">
        <v>15288.5714656</v>
      </c>
      <c r="O13" s="51">
        <f t="shared" si="2"/>
        <v>0</v>
      </c>
      <c r="P13" s="41">
        <f t="shared" si="3"/>
        <v>856173.76978</v>
      </c>
      <c r="Q13" s="33">
        <f t="shared" si="4"/>
        <v>856173.76978</v>
      </c>
      <c r="R13" s="41">
        <f t="shared" si="5"/>
        <v>209214.82728279993</v>
      </c>
      <c r="S13" s="41">
        <f t="shared" si="6"/>
        <v>135607.42853440004</v>
      </c>
      <c r="U13" s="65">
        <f t="shared" si="70"/>
        <v>0</v>
      </c>
      <c r="V13" s="65">
        <f t="shared" si="7"/>
        <v>238512.06526</v>
      </c>
      <c r="W13" s="20">
        <f t="shared" si="8"/>
        <v>238512.06526</v>
      </c>
      <c r="X13" s="20">
        <f t="shared" si="9"/>
        <v>58282.8653476</v>
      </c>
      <c r="Y13" s="20">
        <f t="shared" si="71"/>
        <v>37777.3870048</v>
      </c>
      <c r="AA13" s="65">
        <f t="shared" si="72"/>
        <v>0</v>
      </c>
      <c r="AB13" s="65">
        <f t="shared" si="10"/>
        <v>18402.3532</v>
      </c>
      <c r="AC13" s="20">
        <f t="shared" si="11"/>
        <v>18402.3532</v>
      </c>
      <c r="AD13" s="20">
        <f t="shared" si="12"/>
        <v>4496.803432</v>
      </c>
      <c r="AE13" s="20">
        <f t="shared" si="73"/>
        <v>2914.707136</v>
      </c>
      <c r="AG13" s="33">
        <f t="shared" si="74"/>
        <v>0</v>
      </c>
      <c r="AH13" s="33">
        <f t="shared" si="13"/>
        <v>22793.3475</v>
      </c>
      <c r="AI13" s="33">
        <f t="shared" si="14"/>
        <v>22793.3475</v>
      </c>
      <c r="AJ13" s="20">
        <f t="shared" si="15"/>
        <v>5569.78785</v>
      </c>
      <c r="AK13" s="20">
        <f t="shared" si="75"/>
        <v>3610.1868</v>
      </c>
      <c r="AM13" s="65">
        <f t="shared" si="76"/>
        <v>0</v>
      </c>
      <c r="AN13" s="65">
        <f t="shared" si="16"/>
        <v>11293.40107</v>
      </c>
      <c r="AO13" s="20">
        <f t="shared" si="17"/>
        <v>11293.40107</v>
      </c>
      <c r="AP13" s="20">
        <f t="shared" si="18"/>
        <v>2759.6581882</v>
      </c>
      <c r="AQ13" s="20">
        <f t="shared" si="77"/>
        <v>1788.7362736</v>
      </c>
      <c r="AS13" s="65">
        <f t="shared" si="78"/>
        <v>0</v>
      </c>
      <c r="AT13" s="65">
        <f t="shared" si="19"/>
        <v>205891.04564</v>
      </c>
      <c r="AU13" s="20">
        <f t="shared" si="20"/>
        <v>205891.04564</v>
      </c>
      <c r="AV13" s="20">
        <f t="shared" si="21"/>
        <v>50311.5851864</v>
      </c>
      <c r="AW13" s="20">
        <f t="shared" si="79"/>
        <v>32610.617427200003</v>
      </c>
      <c r="AX13" s="33"/>
      <c r="AY13" s="65">
        <f t="shared" si="80"/>
        <v>0</v>
      </c>
      <c r="AZ13" s="65">
        <f t="shared" si="22"/>
        <v>27149.568249999997</v>
      </c>
      <c r="BA13" s="20">
        <f t="shared" si="23"/>
        <v>27149.568249999997</v>
      </c>
      <c r="BB13" s="20">
        <f t="shared" si="24"/>
        <v>6634.274995</v>
      </c>
      <c r="BC13" s="20">
        <f t="shared" si="81"/>
        <v>4300.158759999999</v>
      </c>
      <c r="BD13" s="33"/>
      <c r="BE13" s="51">
        <f t="shared" si="82"/>
        <v>0</v>
      </c>
      <c r="BF13" s="51">
        <f t="shared" si="25"/>
        <v>8053.173100000001</v>
      </c>
      <c r="BG13" s="33">
        <f t="shared" si="26"/>
        <v>8053.173100000001</v>
      </c>
      <c r="BH13" s="20">
        <f t="shared" si="27"/>
        <v>1967.8753060000001</v>
      </c>
      <c r="BI13" s="20">
        <f t="shared" si="83"/>
        <v>1275.5238880000002</v>
      </c>
      <c r="BJ13" s="33"/>
      <c r="BK13" s="33">
        <f t="shared" si="84"/>
        <v>0</v>
      </c>
      <c r="BL13" s="33">
        <f t="shared" si="28"/>
        <v>3541.6622500000003</v>
      </c>
      <c r="BM13" s="33">
        <f t="shared" si="29"/>
        <v>3541.6622500000003</v>
      </c>
      <c r="BN13" s="20">
        <f t="shared" si="30"/>
        <v>865.441435</v>
      </c>
      <c r="BO13" s="20">
        <f t="shared" si="85"/>
        <v>560.95588</v>
      </c>
      <c r="BP13" s="33"/>
      <c r="BQ13" s="51">
        <f t="shared" si="86"/>
        <v>0</v>
      </c>
      <c r="BR13" s="51">
        <f t="shared" si="31"/>
        <v>31038.108569999997</v>
      </c>
      <c r="BS13" s="33">
        <f t="shared" si="32"/>
        <v>31038.108569999997</v>
      </c>
      <c r="BT13" s="20">
        <f t="shared" si="33"/>
        <v>7584.4796381999995</v>
      </c>
      <c r="BU13" s="20">
        <f t="shared" si="87"/>
        <v>4916.0558736</v>
      </c>
      <c r="BV13" s="33"/>
      <c r="BW13" s="51">
        <f t="shared" si="88"/>
        <v>0</v>
      </c>
      <c r="BX13" s="51">
        <f t="shared" si="34"/>
        <v>2403.6621</v>
      </c>
      <c r="BY13" s="33">
        <f t="shared" si="35"/>
        <v>2403.6621</v>
      </c>
      <c r="BZ13" s="20">
        <f t="shared" si="36"/>
        <v>587.359446</v>
      </c>
      <c r="CA13" s="20">
        <f t="shared" si="89"/>
        <v>380.71060800000004</v>
      </c>
      <c r="CB13" s="33"/>
      <c r="CC13" s="51">
        <f t="shared" si="90"/>
        <v>0</v>
      </c>
      <c r="CD13" s="51">
        <f t="shared" si="37"/>
        <v>103519.61984</v>
      </c>
      <c r="CE13" s="33">
        <f t="shared" si="38"/>
        <v>103519.61984</v>
      </c>
      <c r="CF13" s="20">
        <f t="shared" si="39"/>
        <v>25296.0790784</v>
      </c>
      <c r="CG13" s="20">
        <f t="shared" si="91"/>
        <v>16396.2386432</v>
      </c>
      <c r="CH13" s="33"/>
      <c r="CI13" s="51">
        <f t="shared" si="92"/>
        <v>0</v>
      </c>
      <c r="CJ13" s="51">
        <f t="shared" si="40"/>
        <v>4396.32942</v>
      </c>
      <c r="CK13" s="33">
        <f t="shared" si="41"/>
        <v>4396.32942</v>
      </c>
      <c r="CL13" s="20">
        <f t="shared" si="42"/>
        <v>1074.2881092</v>
      </c>
      <c r="CM13" s="20">
        <f t="shared" si="93"/>
        <v>696.3246816</v>
      </c>
      <c r="CN13" s="33"/>
      <c r="CO13" s="33">
        <f t="shared" si="94"/>
        <v>0</v>
      </c>
      <c r="CP13" s="33">
        <f t="shared" si="43"/>
        <v>12.099290000000002</v>
      </c>
      <c r="CQ13" s="33">
        <f t="shared" si="44"/>
        <v>12.099290000000002</v>
      </c>
      <c r="CR13" s="20">
        <f t="shared" si="45"/>
        <v>2.9565854000000003</v>
      </c>
      <c r="CS13" s="20">
        <f t="shared" si="95"/>
        <v>1.9163792</v>
      </c>
      <c r="CT13" s="33"/>
      <c r="CU13" s="51">
        <f t="shared" si="96"/>
        <v>0</v>
      </c>
      <c r="CV13" s="51">
        <f t="shared" si="46"/>
        <v>3053.3082299999996</v>
      </c>
      <c r="CW13" s="33">
        <f t="shared" si="47"/>
        <v>3053.3082299999996</v>
      </c>
      <c r="CX13" s="20">
        <f t="shared" si="48"/>
        <v>746.1071298</v>
      </c>
      <c r="CY13" s="20">
        <f t="shared" si="97"/>
        <v>483.6065904</v>
      </c>
      <c r="CZ13" s="33"/>
      <c r="DA13" s="51">
        <f t="shared" si="98"/>
        <v>0</v>
      </c>
      <c r="DB13" s="51">
        <f t="shared" si="49"/>
        <v>7800.993409999999</v>
      </c>
      <c r="DC13" s="33">
        <f t="shared" si="50"/>
        <v>7800.993409999999</v>
      </c>
      <c r="DD13" s="20">
        <f t="shared" si="51"/>
        <v>1906.2526166000002</v>
      </c>
      <c r="DE13" s="20">
        <f t="shared" si="99"/>
        <v>1235.5817168</v>
      </c>
      <c r="DF13" s="33"/>
      <c r="DG13" s="51">
        <f t="shared" si="100"/>
        <v>0</v>
      </c>
      <c r="DH13" s="51">
        <f t="shared" si="52"/>
        <v>13184.79638</v>
      </c>
      <c r="DI13" s="33">
        <f t="shared" si="53"/>
        <v>13184.79638</v>
      </c>
      <c r="DJ13" s="20">
        <f t="shared" si="54"/>
        <v>3221.8399988</v>
      </c>
      <c r="DK13" s="20">
        <f t="shared" si="101"/>
        <v>2088.3101024</v>
      </c>
      <c r="DL13" s="33"/>
      <c r="DM13" s="51">
        <f t="shared" si="102"/>
        <v>0</v>
      </c>
      <c r="DN13" s="51">
        <f t="shared" si="55"/>
        <v>108459.36934</v>
      </c>
      <c r="DO13" s="33">
        <f t="shared" si="56"/>
        <v>108459.36934</v>
      </c>
      <c r="DP13" s="20">
        <f t="shared" si="57"/>
        <v>26503.1574484</v>
      </c>
      <c r="DQ13" s="20">
        <f t="shared" si="103"/>
        <v>17178.6344032</v>
      </c>
      <c r="DR13" s="33"/>
      <c r="DS13" s="51">
        <f t="shared" si="104"/>
        <v>0</v>
      </c>
      <c r="DT13" s="51">
        <f t="shared" si="58"/>
        <v>2036.39625</v>
      </c>
      <c r="DU13" s="33">
        <f t="shared" si="59"/>
        <v>2036.39625</v>
      </c>
      <c r="DV13" s="20">
        <f t="shared" si="60"/>
        <v>497.614275</v>
      </c>
      <c r="DW13" s="20">
        <f t="shared" si="105"/>
        <v>322.5402</v>
      </c>
      <c r="DX13" s="33"/>
      <c r="DY13" s="51">
        <f t="shared" si="106"/>
        <v>0</v>
      </c>
      <c r="DZ13" s="51">
        <f t="shared" si="61"/>
        <v>9704.96436</v>
      </c>
      <c r="EA13" s="33">
        <f t="shared" si="62"/>
        <v>9704.96436</v>
      </c>
      <c r="EB13" s="20">
        <f t="shared" si="63"/>
        <v>2371.5074136</v>
      </c>
      <c r="EC13" s="20">
        <f t="shared" si="107"/>
        <v>1537.1473727999999</v>
      </c>
      <c r="ED13" s="33"/>
      <c r="EE13" s="33">
        <f t="shared" si="108"/>
        <v>0</v>
      </c>
      <c r="EF13" s="33">
        <f t="shared" si="64"/>
        <v>17475.566639999997</v>
      </c>
      <c r="EG13" s="33">
        <f t="shared" si="65"/>
        <v>17475.566639999997</v>
      </c>
      <c r="EH13" s="20">
        <f t="shared" si="66"/>
        <v>4270.3336464</v>
      </c>
      <c r="EI13" s="20">
        <f t="shared" si="109"/>
        <v>2767.9155072</v>
      </c>
      <c r="EJ13" s="33"/>
      <c r="EK13" s="51">
        <f t="shared" si="110"/>
        <v>0</v>
      </c>
      <c r="EL13" s="51">
        <f t="shared" si="67"/>
        <v>17451.93968</v>
      </c>
      <c r="EM13" s="33">
        <f t="shared" si="68"/>
        <v>17451.93968</v>
      </c>
      <c r="EN13" s="20">
        <f t="shared" si="69"/>
        <v>4264.560156799999</v>
      </c>
      <c r="EO13" s="20">
        <f t="shared" si="111"/>
        <v>2764.1732863999996</v>
      </c>
      <c r="EP13" s="33"/>
      <c r="EQ13" s="33"/>
      <c r="ER13" s="33"/>
      <c r="ES13" s="33"/>
    </row>
    <row r="14" spans="1:149" ht="12">
      <c r="A14" s="19">
        <v>43009</v>
      </c>
      <c r="B14" s="27"/>
      <c r="D14" s="35">
        <v>952700</v>
      </c>
      <c r="E14" s="35">
        <f t="shared" si="0"/>
        <v>952700</v>
      </c>
      <c r="F14" s="35">
        <v>232802</v>
      </c>
      <c r="G14" s="35">
        <v>150896</v>
      </c>
      <c r="I14" s="51"/>
      <c r="J14" s="51">
        <v>96526.23022000001</v>
      </c>
      <c r="K14" s="51">
        <f t="shared" si="1"/>
        <v>96526.23022000001</v>
      </c>
      <c r="L14" s="51">
        <v>23587.172717200003</v>
      </c>
      <c r="M14" s="51">
        <v>15288.5714656</v>
      </c>
      <c r="O14" s="51">
        <f t="shared" si="2"/>
        <v>0</v>
      </c>
      <c r="P14" s="41">
        <f t="shared" si="3"/>
        <v>856173.76978</v>
      </c>
      <c r="Q14" s="33">
        <f t="shared" si="4"/>
        <v>856173.76978</v>
      </c>
      <c r="R14" s="41">
        <f t="shared" si="5"/>
        <v>209214.82728279993</v>
      </c>
      <c r="S14" s="41">
        <f t="shared" si="6"/>
        <v>135607.42853440004</v>
      </c>
      <c r="U14" s="65"/>
      <c r="V14" s="65">
        <f t="shared" si="7"/>
        <v>238512.06526</v>
      </c>
      <c r="W14" s="20">
        <f t="shared" si="8"/>
        <v>238512.06526</v>
      </c>
      <c r="X14" s="20">
        <f t="shared" si="9"/>
        <v>58282.8653476</v>
      </c>
      <c r="Y14" s="20">
        <f t="shared" si="71"/>
        <v>37777.3870048</v>
      </c>
      <c r="AA14" s="65"/>
      <c r="AB14" s="65">
        <f t="shared" si="10"/>
        <v>18402.3532</v>
      </c>
      <c r="AC14" s="20">
        <f t="shared" si="11"/>
        <v>18402.3532</v>
      </c>
      <c r="AD14" s="20">
        <f t="shared" si="12"/>
        <v>4496.803432</v>
      </c>
      <c r="AE14" s="20">
        <f t="shared" si="73"/>
        <v>2914.707136</v>
      </c>
      <c r="AH14" s="33">
        <f t="shared" si="13"/>
        <v>22793.3475</v>
      </c>
      <c r="AI14" s="33">
        <f t="shared" si="14"/>
        <v>22793.3475</v>
      </c>
      <c r="AJ14" s="20">
        <f t="shared" si="15"/>
        <v>5569.78785</v>
      </c>
      <c r="AK14" s="20">
        <f t="shared" si="75"/>
        <v>3610.1868</v>
      </c>
      <c r="AM14" s="65"/>
      <c r="AN14" s="65">
        <f t="shared" si="16"/>
        <v>11293.40107</v>
      </c>
      <c r="AO14" s="20">
        <f t="shared" si="17"/>
        <v>11293.40107</v>
      </c>
      <c r="AP14" s="20">
        <f t="shared" si="18"/>
        <v>2759.6581882</v>
      </c>
      <c r="AQ14" s="20">
        <f t="shared" si="77"/>
        <v>1788.7362736</v>
      </c>
      <c r="AS14" s="65"/>
      <c r="AT14" s="65">
        <f t="shared" si="19"/>
        <v>205891.04564</v>
      </c>
      <c r="AU14" s="20">
        <f t="shared" si="20"/>
        <v>205891.04564</v>
      </c>
      <c r="AV14" s="20">
        <f t="shared" si="21"/>
        <v>50311.5851864</v>
      </c>
      <c r="AW14" s="20">
        <f t="shared" si="79"/>
        <v>32610.617427200003</v>
      </c>
      <c r="AX14" s="33"/>
      <c r="AY14" s="65"/>
      <c r="AZ14" s="65">
        <f t="shared" si="22"/>
        <v>27149.568249999997</v>
      </c>
      <c r="BA14" s="20">
        <f t="shared" si="23"/>
        <v>27149.568249999997</v>
      </c>
      <c r="BB14" s="20">
        <f t="shared" si="24"/>
        <v>6634.274995</v>
      </c>
      <c r="BC14" s="20">
        <f t="shared" si="81"/>
        <v>4300.158759999999</v>
      </c>
      <c r="BD14" s="33"/>
      <c r="BE14" s="51"/>
      <c r="BF14" s="51">
        <f t="shared" si="25"/>
        <v>8053.173100000001</v>
      </c>
      <c r="BG14" s="33">
        <f t="shared" si="26"/>
        <v>8053.173100000001</v>
      </c>
      <c r="BH14" s="20">
        <f t="shared" si="27"/>
        <v>1967.8753060000001</v>
      </c>
      <c r="BI14" s="20">
        <f t="shared" si="83"/>
        <v>1275.5238880000002</v>
      </c>
      <c r="BJ14" s="33"/>
      <c r="BK14" s="33"/>
      <c r="BL14" s="33">
        <f t="shared" si="28"/>
        <v>3541.6622500000003</v>
      </c>
      <c r="BM14" s="33">
        <f t="shared" si="29"/>
        <v>3541.6622500000003</v>
      </c>
      <c r="BN14" s="20">
        <f t="shared" si="30"/>
        <v>865.441435</v>
      </c>
      <c r="BO14" s="20">
        <f t="shared" si="85"/>
        <v>560.95588</v>
      </c>
      <c r="BP14" s="33"/>
      <c r="BQ14" s="51"/>
      <c r="BR14" s="51">
        <f t="shared" si="31"/>
        <v>31038.108569999997</v>
      </c>
      <c r="BS14" s="33">
        <f t="shared" si="32"/>
        <v>31038.108569999997</v>
      </c>
      <c r="BT14" s="20">
        <f t="shared" si="33"/>
        <v>7584.4796381999995</v>
      </c>
      <c r="BU14" s="20">
        <f t="shared" si="87"/>
        <v>4916.0558736</v>
      </c>
      <c r="BV14" s="33"/>
      <c r="BW14" s="51"/>
      <c r="BX14" s="51">
        <f t="shared" si="34"/>
        <v>2403.6621</v>
      </c>
      <c r="BY14" s="33">
        <f t="shared" si="35"/>
        <v>2403.6621</v>
      </c>
      <c r="BZ14" s="20">
        <f t="shared" si="36"/>
        <v>587.359446</v>
      </c>
      <c r="CA14" s="20">
        <f t="shared" si="89"/>
        <v>380.71060800000004</v>
      </c>
      <c r="CB14" s="33"/>
      <c r="CC14" s="51"/>
      <c r="CD14" s="51">
        <f t="shared" si="37"/>
        <v>103519.61984</v>
      </c>
      <c r="CE14" s="33">
        <f t="shared" si="38"/>
        <v>103519.61984</v>
      </c>
      <c r="CF14" s="20">
        <f t="shared" si="39"/>
        <v>25296.0790784</v>
      </c>
      <c r="CG14" s="20">
        <f t="shared" si="91"/>
        <v>16396.2386432</v>
      </c>
      <c r="CH14" s="33"/>
      <c r="CI14" s="51"/>
      <c r="CJ14" s="51">
        <f t="shared" si="40"/>
        <v>4396.32942</v>
      </c>
      <c r="CK14" s="33">
        <f t="shared" si="41"/>
        <v>4396.32942</v>
      </c>
      <c r="CL14" s="20">
        <f t="shared" si="42"/>
        <v>1074.2881092</v>
      </c>
      <c r="CM14" s="20">
        <f t="shared" si="93"/>
        <v>696.3246816</v>
      </c>
      <c r="CN14" s="33"/>
      <c r="CO14" s="33"/>
      <c r="CP14" s="33">
        <f t="shared" si="43"/>
        <v>12.099290000000002</v>
      </c>
      <c r="CQ14" s="33">
        <f t="shared" si="44"/>
        <v>12.099290000000002</v>
      </c>
      <c r="CR14" s="20">
        <f t="shared" si="45"/>
        <v>2.9565854000000003</v>
      </c>
      <c r="CS14" s="20">
        <f t="shared" si="95"/>
        <v>1.9163792</v>
      </c>
      <c r="CT14" s="33"/>
      <c r="CU14" s="51"/>
      <c r="CV14" s="51">
        <f t="shared" si="46"/>
        <v>3053.3082299999996</v>
      </c>
      <c r="CW14" s="33">
        <f t="shared" si="47"/>
        <v>3053.3082299999996</v>
      </c>
      <c r="CX14" s="20">
        <f t="shared" si="48"/>
        <v>746.1071298</v>
      </c>
      <c r="CY14" s="20">
        <f t="shared" si="97"/>
        <v>483.6065904</v>
      </c>
      <c r="CZ14" s="33"/>
      <c r="DA14" s="51"/>
      <c r="DB14" s="51">
        <f t="shared" si="49"/>
        <v>7800.993409999999</v>
      </c>
      <c r="DC14" s="33">
        <f t="shared" si="50"/>
        <v>7800.993409999999</v>
      </c>
      <c r="DD14" s="20">
        <f t="shared" si="51"/>
        <v>1906.2526166000002</v>
      </c>
      <c r="DE14" s="20">
        <f t="shared" si="99"/>
        <v>1235.5817168</v>
      </c>
      <c r="DF14" s="33"/>
      <c r="DG14" s="51"/>
      <c r="DH14" s="51">
        <f t="shared" si="52"/>
        <v>13184.79638</v>
      </c>
      <c r="DI14" s="33">
        <f t="shared" si="53"/>
        <v>13184.79638</v>
      </c>
      <c r="DJ14" s="20">
        <f t="shared" si="54"/>
        <v>3221.8399988</v>
      </c>
      <c r="DK14" s="20">
        <f t="shared" si="101"/>
        <v>2088.3101024</v>
      </c>
      <c r="DL14" s="33"/>
      <c r="DM14" s="51"/>
      <c r="DN14" s="51">
        <f t="shared" si="55"/>
        <v>108459.36934</v>
      </c>
      <c r="DO14" s="33">
        <f t="shared" si="56"/>
        <v>108459.36934</v>
      </c>
      <c r="DP14" s="20">
        <f t="shared" si="57"/>
        <v>26503.1574484</v>
      </c>
      <c r="DQ14" s="20">
        <f t="shared" si="103"/>
        <v>17178.6344032</v>
      </c>
      <c r="DR14" s="33"/>
      <c r="DS14" s="51"/>
      <c r="DT14" s="51">
        <f t="shared" si="58"/>
        <v>2036.39625</v>
      </c>
      <c r="DU14" s="33">
        <f t="shared" si="59"/>
        <v>2036.39625</v>
      </c>
      <c r="DV14" s="20">
        <f t="shared" si="60"/>
        <v>497.614275</v>
      </c>
      <c r="DW14" s="20">
        <f t="shared" si="105"/>
        <v>322.5402</v>
      </c>
      <c r="DX14" s="33"/>
      <c r="DY14" s="51"/>
      <c r="DZ14" s="51">
        <f t="shared" si="61"/>
        <v>9704.96436</v>
      </c>
      <c r="EA14" s="33">
        <f t="shared" si="62"/>
        <v>9704.96436</v>
      </c>
      <c r="EB14" s="20">
        <f t="shared" si="63"/>
        <v>2371.5074136</v>
      </c>
      <c r="EC14" s="20">
        <f t="shared" si="107"/>
        <v>1537.1473727999999</v>
      </c>
      <c r="ED14" s="33"/>
      <c r="EE14" s="33"/>
      <c r="EF14" s="33">
        <f t="shared" si="64"/>
        <v>17475.566639999997</v>
      </c>
      <c r="EG14" s="33">
        <f t="shared" si="65"/>
        <v>17475.566639999997</v>
      </c>
      <c r="EH14" s="20">
        <f t="shared" si="66"/>
        <v>4270.3336464</v>
      </c>
      <c r="EI14" s="20">
        <f t="shared" si="109"/>
        <v>2767.9155072</v>
      </c>
      <c r="EJ14" s="33"/>
      <c r="EK14" s="51"/>
      <c r="EL14" s="51">
        <f t="shared" si="67"/>
        <v>17451.93968</v>
      </c>
      <c r="EM14" s="33">
        <f t="shared" si="68"/>
        <v>17451.93968</v>
      </c>
      <c r="EN14" s="20">
        <f t="shared" si="69"/>
        <v>4264.560156799999</v>
      </c>
      <c r="EO14" s="20">
        <f t="shared" si="111"/>
        <v>2764.1732863999996</v>
      </c>
      <c r="EP14" s="33"/>
      <c r="EQ14" s="33"/>
      <c r="ER14" s="33"/>
      <c r="ES14" s="33"/>
    </row>
    <row r="15" spans="1:149" ht="12">
      <c r="A15" s="19">
        <v>43191</v>
      </c>
      <c r="D15" s="35">
        <v>952700</v>
      </c>
      <c r="E15" s="35">
        <f t="shared" si="0"/>
        <v>952700</v>
      </c>
      <c r="F15" s="35">
        <v>232802</v>
      </c>
      <c r="G15" s="35">
        <v>150896</v>
      </c>
      <c r="I15" s="51">
        <v>0</v>
      </c>
      <c r="J15" s="51">
        <v>96526.23022000001</v>
      </c>
      <c r="K15" s="51">
        <f t="shared" si="1"/>
        <v>96526.23022000001</v>
      </c>
      <c r="L15" s="51">
        <v>23587.172717200003</v>
      </c>
      <c r="M15" s="51">
        <v>15288.5714656</v>
      </c>
      <c r="O15" s="51">
        <f t="shared" si="2"/>
        <v>0</v>
      </c>
      <c r="P15" s="41">
        <f t="shared" si="3"/>
        <v>856173.76978</v>
      </c>
      <c r="Q15" s="33">
        <f t="shared" si="4"/>
        <v>856173.76978</v>
      </c>
      <c r="R15" s="41">
        <f t="shared" si="5"/>
        <v>209214.82728279993</v>
      </c>
      <c r="S15" s="41">
        <f t="shared" si="6"/>
        <v>135607.42853440004</v>
      </c>
      <c r="U15" s="65">
        <f t="shared" si="70"/>
        <v>0</v>
      </c>
      <c r="V15" s="65">
        <f t="shared" si="7"/>
        <v>238512.06526</v>
      </c>
      <c r="W15" s="20">
        <f t="shared" si="8"/>
        <v>238512.06526</v>
      </c>
      <c r="X15" s="20">
        <f t="shared" si="9"/>
        <v>58282.8653476</v>
      </c>
      <c r="Y15" s="20">
        <f t="shared" si="71"/>
        <v>37777.3870048</v>
      </c>
      <c r="AA15" s="65">
        <f t="shared" si="72"/>
        <v>0</v>
      </c>
      <c r="AB15" s="65">
        <f t="shared" si="10"/>
        <v>18402.3532</v>
      </c>
      <c r="AC15" s="20">
        <f t="shared" si="11"/>
        <v>18402.3532</v>
      </c>
      <c r="AD15" s="20">
        <f t="shared" si="12"/>
        <v>4496.803432</v>
      </c>
      <c r="AE15" s="20">
        <f t="shared" si="73"/>
        <v>2914.707136</v>
      </c>
      <c r="AG15" s="33">
        <f t="shared" si="74"/>
        <v>0</v>
      </c>
      <c r="AH15" s="33">
        <f t="shared" si="13"/>
        <v>22793.3475</v>
      </c>
      <c r="AI15" s="33">
        <f t="shared" si="14"/>
        <v>22793.3475</v>
      </c>
      <c r="AJ15" s="20">
        <f t="shared" si="15"/>
        <v>5569.78785</v>
      </c>
      <c r="AK15" s="20">
        <f t="shared" si="75"/>
        <v>3610.1868</v>
      </c>
      <c r="AM15" s="65">
        <f t="shared" si="76"/>
        <v>0</v>
      </c>
      <c r="AN15" s="65">
        <f t="shared" si="16"/>
        <v>11293.40107</v>
      </c>
      <c r="AO15" s="20">
        <f t="shared" si="17"/>
        <v>11293.40107</v>
      </c>
      <c r="AP15" s="20">
        <f t="shared" si="18"/>
        <v>2759.6581882</v>
      </c>
      <c r="AQ15" s="20">
        <f t="shared" si="77"/>
        <v>1788.7362736</v>
      </c>
      <c r="AS15" s="65">
        <f t="shared" si="78"/>
        <v>0</v>
      </c>
      <c r="AT15" s="65">
        <f t="shared" si="19"/>
        <v>205891.04564</v>
      </c>
      <c r="AU15" s="20">
        <f t="shared" si="20"/>
        <v>205891.04564</v>
      </c>
      <c r="AV15" s="20">
        <f t="shared" si="21"/>
        <v>50311.5851864</v>
      </c>
      <c r="AW15" s="20">
        <f t="shared" si="79"/>
        <v>32610.617427200003</v>
      </c>
      <c r="AX15" s="33"/>
      <c r="AY15" s="65">
        <f t="shared" si="80"/>
        <v>0</v>
      </c>
      <c r="AZ15" s="65">
        <f t="shared" si="22"/>
        <v>27149.568249999997</v>
      </c>
      <c r="BA15" s="20">
        <f t="shared" si="23"/>
        <v>27149.568249999997</v>
      </c>
      <c r="BB15" s="20">
        <f t="shared" si="24"/>
        <v>6634.274995</v>
      </c>
      <c r="BC15" s="20">
        <f t="shared" si="81"/>
        <v>4300.158759999999</v>
      </c>
      <c r="BD15" s="33"/>
      <c r="BE15" s="51">
        <f t="shared" si="82"/>
        <v>0</v>
      </c>
      <c r="BF15" s="51">
        <f t="shared" si="25"/>
        <v>8053.173100000001</v>
      </c>
      <c r="BG15" s="33">
        <f t="shared" si="26"/>
        <v>8053.173100000001</v>
      </c>
      <c r="BH15" s="20">
        <f t="shared" si="27"/>
        <v>1967.8753060000001</v>
      </c>
      <c r="BI15" s="20">
        <f t="shared" si="83"/>
        <v>1275.5238880000002</v>
      </c>
      <c r="BJ15" s="33"/>
      <c r="BK15" s="33">
        <f t="shared" si="84"/>
        <v>0</v>
      </c>
      <c r="BL15" s="33">
        <f t="shared" si="28"/>
        <v>3541.6622500000003</v>
      </c>
      <c r="BM15" s="33">
        <f t="shared" si="29"/>
        <v>3541.6622500000003</v>
      </c>
      <c r="BN15" s="20">
        <f t="shared" si="30"/>
        <v>865.441435</v>
      </c>
      <c r="BO15" s="20">
        <f t="shared" si="85"/>
        <v>560.95588</v>
      </c>
      <c r="BP15" s="33"/>
      <c r="BQ15" s="51">
        <f t="shared" si="86"/>
        <v>0</v>
      </c>
      <c r="BR15" s="51">
        <f t="shared" si="31"/>
        <v>31038.108569999997</v>
      </c>
      <c r="BS15" s="33">
        <f t="shared" si="32"/>
        <v>31038.108569999997</v>
      </c>
      <c r="BT15" s="20">
        <f t="shared" si="33"/>
        <v>7584.4796381999995</v>
      </c>
      <c r="BU15" s="20">
        <f t="shared" si="87"/>
        <v>4916.0558736</v>
      </c>
      <c r="BV15" s="33"/>
      <c r="BW15" s="51">
        <f t="shared" si="88"/>
        <v>0</v>
      </c>
      <c r="BX15" s="51">
        <f t="shared" si="34"/>
        <v>2403.6621</v>
      </c>
      <c r="BY15" s="33">
        <f t="shared" si="35"/>
        <v>2403.6621</v>
      </c>
      <c r="BZ15" s="20">
        <f t="shared" si="36"/>
        <v>587.359446</v>
      </c>
      <c r="CA15" s="20">
        <f t="shared" si="89"/>
        <v>380.71060800000004</v>
      </c>
      <c r="CB15" s="33"/>
      <c r="CC15" s="51">
        <f t="shared" si="90"/>
        <v>0</v>
      </c>
      <c r="CD15" s="51">
        <f t="shared" si="37"/>
        <v>103519.61984</v>
      </c>
      <c r="CE15" s="33">
        <f t="shared" si="38"/>
        <v>103519.61984</v>
      </c>
      <c r="CF15" s="20">
        <f t="shared" si="39"/>
        <v>25296.0790784</v>
      </c>
      <c r="CG15" s="20">
        <f t="shared" si="91"/>
        <v>16396.2386432</v>
      </c>
      <c r="CH15" s="33"/>
      <c r="CI15" s="51">
        <f t="shared" si="92"/>
        <v>0</v>
      </c>
      <c r="CJ15" s="51">
        <f t="shared" si="40"/>
        <v>4396.32942</v>
      </c>
      <c r="CK15" s="33">
        <f t="shared" si="41"/>
        <v>4396.32942</v>
      </c>
      <c r="CL15" s="20">
        <f t="shared" si="42"/>
        <v>1074.2881092</v>
      </c>
      <c r="CM15" s="20">
        <f t="shared" si="93"/>
        <v>696.3246816</v>
      </c>
      <c r="CN15" s="33"/>
      <c r="CO15" s="33">
        <f t="shared" si="94"/>
        <v>0</v>
      </c>
      <c r="CP15" s="33">
        <f t="shared" si="43"/>
        <v>12.099290000000002</v>
      </c>
      <c r="CQ15" s="33">
        <f t="shared" si="44"/>
        <v>12.099290000000002</v>
      </c>
      <c r="CR15" s="20">
        <f t="shared" si="45"/>
        <v>2.9565854000000003</v>
      </c>
      <c r="CS15" s="20">
        <f t="shared" si="95"/>
        <v>1.9163792</v>
      </c>
      <c r="CT15" s="33"/>
      <c r="CU15" s="51">
        <f t="shared" si="96"/>
        <v>0</v>
      </c>
      <c r="CV15" s="51">
        <f t="shared" si="46"/>
        <v>3053.3082299999996</v>
      </c>
      <c r="CW15" s="33">
        <f t="shared" si="47"/>
        <v>3053.3082299999996</v>
      </c>
      <c r="CX15" s="20">
        <f t="shared" si="48"/>
        <v>746.1071298</v>
      </c>
      <c r="CY15" s="20">
        <f t="shared" si="97"/>
        <v>483.6065904</v>
      </c>
      <c r="CZ15" s="33"/>
      <c r="DA15" s="51">
        <f t="shared" si="98"/>
        <v>0</v>
      </c>
      <c r="DB15" s="51">
        <f t="shared" si="49"/>
        <v>7800.993409999999</v>
      </c>
      <c r="DC15" s="33">
        <f t="shared" si="50"/>
        <v>7800.993409999999</v>
      </c>
      <c r="DD15" s="20">
        <f t="shared" si="51"/>
        <v>1906.2526166000002</v>
      </c>
      <c r="DE15" s="20">
        <f t="shared" si="99"/>
        <v>1235.5817168</v>
      </c>
      <c r="DF15" s="33"/>
      <c r="DG15" s="51">
        <f t="shared" si="100"/>
        <v>0</v>
      </c>
      <c r="DH15" s="51">
        <f t="shared" si="52"/>
        <v>13184.79638</v>
      </c>
      <c r="DI15" s="33">
        <f t="shared" si="53"/>
        <v>13184.79638</v>
      </c>
      <c r="DJ15" s="20">
        <f t="shared" si="54"/>
        <v>3221.8399988</v>
      </c>
      <c r="DK15" s="20">
        <f t="shared" si="101"/>
        <v>2088.3101024</v>
      </c>
      <c r="DL15" s="33"/>
      <c r="DM15" s="51">
        <f t="shared" si="102"/>
        <v>0</v>
      </c>
      <c r="DN15" s="51">
        <f t="shared" si="55"/>
        <v>108459.36934</v>
      </c>
      <c r="DO15" s="33">
        <f t="shared" si="56"/>
        <v>108459.36934</v>
      </c>
      <c r="DP15" s="20">
        <f t="shared" si="57"/>
        <v>26503.1574484</v>
      </c>
      <c r="DQ15" s="20">
        <f t="shared" si="103"/>
        <v>17178.6344032</v>
      </c>
      <c r="DR15" s="33"/>
      <c r="DS15" s="51">
        <f t="shared" si="104"/>
        <v>0</v>
      </c>
      <c r="DT15" s="51">
        <f t="shared" si="58"/>
        <v>2036.39625</v>
      </c>
      <c r="DU15" s="33">
        <f t="shared" si="59"/>
        <v>2036.39625</v>
      </c>
      <c r="DV15" s="20">
        <f t="shared" si="60"/>
        <v>497.614275</v>
      </c>
      <c r="DW15" s="20">
        <f t="shared" si="105"/>
        <v>322.5402</v>
      </c>
      <c r="DX15" s="33"/>
      <c r="DY15" s="51">
        <f t="shared" si="106"/>
        <v>0</v>
      </c>
      <c r="DZ15" s="51">
        <f t="shared" si="61"/>
        <v>9704.96436</v>
      </c>
      <c r="EA15" s="33">
        <f t="shared" si="62"/>
        <v>9704.96436</v>
      </c>
      <c r="EB15" s="20">
        <f t="shared" si="63"/>
        <v>2371.5074136</v>
      </c>
      <c r="EC15" s="20">
        <f t="shared" si="107"/>
        <v>1537.1473727999999</v>
      </c>
      <c r="ED15" s="33"/>
      <c r="EE15" s="33">
        <f t="shared" si="108"/>
        <v>0</v>
      </c>
      <c r="EF15" s="33">
        <f t="shared" si="64"/>
        <v>17475.566639999997</v>
      </c>
      <c r="EG15" s="33">
        <f t="shared" si="65"/>
        <v>17475.566639999997</v>
      </c>
      <c r="EH15" s="20">
        <f t="shared" si="66"/>
        <v>4270.3336464</v>
      </c>
      <c r="EI15" s="20">
        <f t="shared" si="109"/>
        <v>2767.9155072</v>
      </c>
      <c r="EJ15" s="33"/>
      <c r="EK15" s="51">
        <f t="shared" si="110"/>
        <v>0</v>
      </c>
      <c r="EL15" s="51">
        <f t="shared" si="67"/>
        <v>17451.93968</v>
      </c>
      <c r="EM15" s="33">
        <f t="shared" si="68"/>
        <v>17451.93968</v>
      </c>
      <c r="EN15" s="20">
        <f t="shared" si="69"/>
        <v>4264.560156799999</v>
      </c>
      <c r="EO15" s="20">
        <f t="shared" si="111"/>
        <v>2764.1732863999996</v>
      </c>
      <c r="EP15" s="33"/>
      <c r="EQ15" s="33"/>
      <c r="ER15" s="33"/>
      <c r="ES15" s="33"/>
    </row>
    <row r="16" spans="1:149" ht="12">
      <c r="A16" s="19">
        <v>43374</v>
      </c>
      <c r="D16" s="35">
        <v>952700</v>
      </c>
      <c r="E16" s="35">
        <f t="shared" si="0"/>
        <v>952700</v>
      </c>
      <c r="F16" s="35">
        <v>232802</v>
      </c>
      <c r="G16" s="35">
        <v>150896</v>
      </c>
      <c r="I16" s="51"/>
      <c r="J16" s="51">
        <v>96526.23022000001</v>
      </c>
      <c r="K16" s="51">
        <f t="shared" si="1"/>
        <v>96526.23022000001</v>
      </c>
      <c r="L16" s="51">
        <v>23587.172717200003</v>
      </c>
      <c r="M16" s="51">
        <v>15288.5714656</v>
      </c>
      <c r="O16" s="51">
        <f t="shared" si="2"/>
        <v>0</v>
      </c>
      <c r="P16" s="41">
        <f t="shared" si="3"/>
        <v>856173.76978</v>
      </c>
      <c r="Q16" s="33">
        <f t="shared" si="4"/>
        <v>856173.76978</v>
      </c>
      <c r="R16" s="41">
        <f t="shared" si="5"/>
        <v>209214.82728279993</v>
      </c>
      <c r="S16" s="41">
        <f t="shared" si="6"/>
        <v>135607.42853440004</v>
      </c>
      <c r="U16" s="65"/>
      <c r="V16" s="65">
        <f t="shared" si="7"/>
        <v>238512.06526</v>
      </c>
      <c r="W16" s="20">
        <f t="shared" si="8"/>
        <v>238512.06526</v>
      </c>
      <c r="X16" s="20">
        <f t="shared" si="9"/>
        <v>58282.8653476</v>
      </c>
      <c r="Y16" s="20">
        <f t="shared" si="71"/>
        <v>37777.3870048</v>
      </c>
      <c r="AA16" s="65"/>
      <c r="AB16" s="65">
        <f t="shared" si="10"/>
        <v>18402.3532</v>
      </c>
      <c r="AC16" s="20">
        <f t="shared" si="11"/>
        <v>18402.3532</v>
      </c>
      <c r="AD16" s="20">
        <f t="shared" si="12"/>
        <v>4496.803432</v>
      </c>
      <c r="AE16" s="20">
        <f t="shared" si="73"/>
        <v>2914.707136</v>
      </c>
      <c r="AH16" s="33">
        <f t="shared" si="13"/>
        <v>22793.3475</v>
      </c>
      <c r="AI16" s="33">
        <f t="shared" si="14"/>
        <v>22793.3475</v>
      </c>
      <c r="AJ16" s="20">
        <f t="shared" si="15"/>
        <v>5569.78785</v>
      </c>
      <c r="AK16" s="20">
        <f t="shared" si="75"/>
        <v>3610.1868</v>
      </c>
      <c r="AM16" s="65"/>
      <c r="AN16" s="65">
        <f t="shared" si="16"/>
        <v>11293.40107</v>
      </c>
      <c r="AO16" s="20">
        <f t="shared" si="17"/>
        <v>11293.40107</v>
      </c>
      <c r="AP16" s="20">
        <f t="shared" si="18"/>
        <v>2759.6581882</v>
      </c>
      <c r="AQ16" s="20">
        <f t="shared" si="77"/>
        <v>1788.7362736</v>
      </c>
      <c r="AS16" s="65"/>
      <c r="AT16" s="65">
        <f t="shared" si="19"/>
        <v>205891.04564</v>
      </c>
      <c r="AU16" s="20">
        <f t="shared" si="20"/>
        <v>205891.04564</v>
      </c>
      <c r="AV16" s="20">
        <f t="shared" si="21"/>
        <v>50311.5851864</v>
      </c>
      <c r="AW16" s="20">
        <f t="shared" si="79"/>
        <v>32610.617427200003</v>
      </c>
      <c r="AX16" s="33"/>
      <c r="AY16" s="65"/>
      <c r="AZ16" s="65">
        <f t="shared" si="22"/>
        <v>27149.568249999997</v>
      </c>
      <c r="BA16" s="20">
        <f t="shared" si="23"/>
        <v>27149.568249999997</v>
      </c>
      <c r="BB16" s="20">
        <f t="shared" si="24"/>
        <v>6634.274995</v>
      </c>
      <c r="BC16" s="20">
        <f t="shared" si="81"/>
        <v>4300.158759999999</v>
      </c>
      <c r="BD16" s="33"/>
      <c r="BE16" s="51"/>
      <c r="BF16" s="51">
        <f t="shared" si="25"/>
        <v>8053.173100000001</v>
      </c>
      <c r="BG16" s="33">
        <f t="shared" si="26"/>
        <v>8053.173100000001</v>
      </c>
      <c r="BH16" s="20">
        <f t="shared" si="27"/>
        <v>1967.8753060000001</v>
      </c>
      <c r="BI16" s="20">
        <f t="shared" si="83"/>
        <v>1275.5238880000002</v>
      </c>
      <c r="BJ16" s="33"/>
      <c r="BK16" s="33"/>
      <c r="BL16" s="33">
        <f t="shared" si="28"/>
        <v>3541.6622500000003</v>
      </c>
      <c r="BM16" s="33">
        <f t="shared" si="29"/>
        <v>3541.6622500000003</v>
      </c>
      <c r="BN16" s="20">
        <f t="shared" si="30"/>
        <v>865.441435</v>
      </c>
      <c r="BO16" s="20">
        <f t="shared" si="85"/>
        <v>560.95588</v>
      </c>
      <c r="BP16" s="33"/>
      <c r="BQ16" s="51"/>
      <c r="BR16" s="51">
        <f t="shared" si="31"/>
        <v>31038.108569999997</v>
      </c>
      <c r="BS16" s="33">
        <f t="shared" si="32"/>
        <v>31038.108569999997</v>
      </c>
      <c r="BT16" s="20">
        <f t="shared" si="33"/>
        <v>7584.4796381999995</v>
      </c>
      <c r="BU16" s="20">
        <f t="shared" si="87"/>
        <v>4916.0558736</v>
      </c>
      <c r="BV16" s="33"/>
      <c r="BW16" s="51"/>
      <c r="BX16" s="51">
        <f t="shared" si="34"/>
        <v>2403.6621</v>
      </c>
      <c r="BY16" s="33">
        <f t="shared" si="35"/>
        <v>2403.6621</v>
      </c>
      <c r="BZ16" s="20">
        <f t="shared" si="36"/>
        <v>587.359446</v>
      </c>
      <c r="CA16" s="20">
        <f t="shared" si="89"/>
        <v>380.71060800000004</v>
      </c>
      <c r="CB16" s="33"/>
      <c r="CC16" s="51"/>
      <c r="CD16" s="51">
        <f t="shared" si="37"/>
        <v>103519.61984</v>
      </c>
      <c r="CE16" s="33">
        <f t="shared" si="38"/>
        <v>103519.61984</v>
      </c>
      <c r="CF16" s="20">
        <f t="shared" si="39"/>
        <v>25296.0790784</v>
      </c>
      <c r="CG16" s="20">
        <f t="shared" si="91"/>
        <v>16396.2386432</v>
      </c>
      <c r="CH16" s="33"/>
      <c r="CI16" s="51"/>
      <c r="CJ16" s="51">
        <f t="shared" si="40"/>
        <v>4396.32942</v>
      </c>
      <c r="CK16" s="33">
        <f t="shared" si="41"/>
        <v>4396.32942</v>
      </c>
      <c r="CL16" s="20">
        <f t="shared" si="42"/>
        <v>1074.2881092</v>
      </c>
      <c r="CM16" s="20">
        <f t="shared" si="93"/>
        <v>696.3246816</v>
      </c>
      <c r="CN16" s="33"/>
      <c r="CO16" s="33"/>
      <c r="CP16" s="33">
        <f t="shared" si="43"/>
        <v>12.099290000000002</v>
      </c>
      <c r="CQ16" s="33">
        <f t="shared" si="44"/>
        <v>12.099290000000002</v>
      </c>
      <c r="CR16" s="20">
        <f t="shared" si="45"/>
        <v>2.9565854000000003</v>
      </c>
      <c r="CS16" s="20">
        <f t="shared" si="95"/>
        <v>1.9163792</v>
      </c>
      <c r="CT16" s="33"/>
      <c r="CU16" s="51"/>
      <c r="CV16" s="51">
        <f t="shared" si="46"/>
        <v>3053.3082299999996</v>
      </c>
      <c r="CW16" s="33">
        <f t="shared" si="47"/>
        <v>3053.3082299999996</v>
      </c>
      <c r="CX16" s="20">
        <f t="shared" si="48"/>
        <v>746.1071298</v>
      </c>
      <c r="CY16" s="20">
        <f t="shared" si="97"/>
        <v>483.6065904</v>
      </c>
      <c r="CZ16" s="33"/>
      <c r="DA16" s="51"/>
      <c r="DB16" s="51">
        <f t="shared" si="49"/>
        <v>7800.993409999999</v>
      </c>
      <c r="DC16" s="33">
        <f t="shared" si="50"/>
        <v>7800.993409999999</v>
      </c>
      <c r="DD16" s="20">
        <f t="shared" si="51"/>
        <v>1906.2526166000002</v>
      </c>
      <c r="DE16" s="20">
        <f t="shared" si="99"/>
        <v>1235.5817168</v>
      </c>
      <c r="DF16" s="33"/>
      <c r="DG16" s="51"/>
      <c r="DH16" s="51">
        <f t="shared" si="52"/>
        <v>13184.79638</v>
      </c>
      <c r="DI16" s="33">
        <f t="shared" si="53"/>
        <v>13184.79638</v>
      </c>
      <c r="DJ16" s="20">
        <f t="shared" si="54"/>
        <v>3221.8399988</v>
      </c>
      <c r="DK16" s="20">
        <f t="shared" si="101"/>
        <v>2088.3101024</v>
      </c>
      <c r="DL16" s="33"/>
      <c r="DM16" s="51"/>
      <c r="DN16" s="51">
        <f t="shared" si="55"/>
        <v>108459.36934</v>
      </c>
      <c r="DO16" s="33">
        <f t="shared" si="56"/>
        <v>108459.36934</v>
      </c>
      <c r="DP16" s="20">
        <f t="shared" si="57"/>
        <v>26503.1574484</v>
      </c>
      <c r="DQ16" s="20">
        <f t="shared" si="103"/>
        <v>17178.6344032</v>
      </c>
      <c r="DR16" s="33"/>
      <c r="DS16" s="51"/>
      <c r="DT16" s="51">
        <f t="shared" si="58"/>
        <v>2036.39625</v>
      </c>
      <c r="DU16" s="33">
        <f t="shared" si="59"/>
        <v>2036.39625</v>
      </c>
      <c r="DV16" s="20">
        <f t="shared" si="60"/>
        <v>497.614275</v>
      </c>
      <c r="DW16" s="20">
        <f t="shared" si="105"/>
        <v>322.5402</v>
      </c>
      <c r="DX16" s="33"/>
      <c r="DY16" s="51"/>
      <c r="DZ16" s="51">
        <f t="shared" si="61"/>
        <v>9704.96436</v>
      </c>
      <c r="EA16" s="33">
        <f t="shared" si="62"/>
        <v>9704.96436</v>
      </c>
      <c r="EB16" s="20">
        <f t="shared" si="63"/>
        <v>2371.5074136</v>
      </c>
      <c r="EC16" s="20">
        <f t="shared" si="107"/>
        <v>1537.1473727999999</v>
      </c>
      <c r="ED16" s="33"/>
      <c r="EE16" s="33"/>
      <c r="EF16" s="33">
        <f t="shared" si="64"/>
        <v>17475.566639999997</v>
      </c>
      <c r="EG16" s="33">
        <f t="shared" si="65"/>
        <v>17475.566639999997</v>
      </c>
      <c r="EH16" s="20">
        <f t="shared" si="66"/>
        <v>4270.3336464</v>
      </c>
      <c r="EI16" s="20">
        <f t="shared" si="109"/>
        <v>2767.9155072</v>
      </c>
      <c r="EJ16" s="33"/>
      <c r="EK16" s="51"/>
      <c r="EL16" s="51">
        <f t="shared" si="67"/>
        <v>17451.93968</v>
      </c>
      <c r="EM16" s="33">
        <f t="shared" si="68"/>
        <v>17451.93968</v>
      </c>
      <c r="EN16" s="20">
        <f t="shared" si="69"/>
        <v>4264.560156799999</v>
      </c>
      <c r="EO16" s="20">
        <f t="shared" si="111"/>
        <v>2764.1732863999996</v>
      </c>
      <c r="EP16" s="33"/>
      <c r="EQ16" s="33"/>
      <c r="ER16" s="33"/>
      <c r="ES16" s="33"/>
    </row>
    <row r="17" spans="1:149" ht="12">
      <c r="A17" s="19">
        <v>43556</v>
      </c>
      <c r="D17" s="35">
        <v>952700</v>
      </c>
      <c r="E17" s="35">
        <f t="shared" si="0"/>
        <v>952700</v>
      </c>
      <c r="F17" s="35">
        <v>232802</v>
      </c>
      <c r="G17" s="35">
        <v>150896</v>
      </c>
      <c r="I17" s="51">
        <v>0</v>
      </c>
      <c r="J17" s="51">
        <v>96526.23022000001</v>
      </c>
      <c r="K17" s="51">
        <f t="shared" si="1"/>
        <v>96526.23022000001</v>
      </c>
      <c r="L17" s="51">
        <v>23587.172717200003</v>
      </c>
      <c r="M17" s="51">
        <v>15288.5714656</v>
      </c>
      <c r="O17" s="51">
        <f t="shared" si="2"/>
        <v>0</v>
      </c>
      <c r="P17" s="41">
        <f t="shared" si="3"/>
        <v>856173.76978</v>
      </c>
      <c r="Q17" s="33">
        <f t="shared" si="4"/>
        <v>856173.76978</v>
      </c>
      <c r="R17" s="41">
        <f t="shared" si="5"/>
        <v>209214.82728279993</v>
      </c>
      <c r="S17" s="41">
        <f t="shared" si="6"/>
        <v>135607.42853440004</v>
      </c>
      <c r="U17" s="65">
        <f t="shared" si="70"/>
        <v>0</v>
      </c>
      <c r="V17" s="65">
        <f t="shared" si="7"/>
        <v>238512.06526</v>
      </c>
      <c r="W17" s="20">
        <f t="shared" si="8"/>
        <v>238512.06526</v>
      </c>
      <c r="X17" s="20">
        <f t="shared" si="9"/>
        <v>58282.8653476</v>
      </c>
      <c r="Y17" s="20">
        <f t="shared" si="71"/>
        <v>37777.3870048</v>
      </c>
      <c r="AA17" s="65">
        <f t="shared" si="72"/>
        <v>0</v>
      </c>
      <c r="AB17" s="65">
        <f t="shared" si="10"/>
        <v>18402.3532</v>
      </c>
      <c r="AC17" s="20">
        <f t="shared" si="11"/>
        <v>18402.3532</v>
      </c>
      <c r="AD17" s="20">
        <f t="shared" si="12"/>
        <v>4496.803432</v>
      </c>
      <c r="AE17" s="20">
        <f t="shared" si="73"/>
        <v>2914.707136</v>
      </c>
      <c r="AG17" s="33">
        <f t="shared" si="74"/>
        <v>0</v>
      </c>
      <c r="AH17" s="33">
        <f t="shared" si="13"/>
        <v>22793.3475</v>
      </c>
      <c r="AI17" s="33">
        <f t="shared" si="14"/>
        <v>22793.3475</v>
      </c>
      <c r="AJ17" s="20">
        <f t="shared" si="15"/>
        <v>5569.78785</v>
      </c>
      <c r="AK17" s="20">
        <f t="shared" si="75"/>
        <v>3610.1868</v>
      </c>
      <c r="AM17" s="65">
        <f t="shared" si="76"/>
        <v>0</v>
      </c>
      <c r="AN17" s="65">
        <f t="shared" si="16"/>
        <v>11293.40107</v>
      </c>
      <c r="AO17" s="20">
        <f t="shared" si="17"/>
        <v>11293.40107</v>
      </c>
      <c r="AP17" s="20">
        <f t="shared" si="18"/>
        <v>2759.6581882</v>
      </c>
      <c r="AQ17" s="20">
        <f t="shared" si="77"/>
        <v>1788.7362736</v>
      </c>
      <c r="AS17" s="65">
        <f t="shared" si="78"/>
        <v>0</v>
      </c>
      <c r="AT17" s="65">
        <f t="shared" si="19"/>
        <v>205891.04564</v>
      </c>
      <c r="AU17" s="20">
        <f t="shared" si="20"/>
        <v>205891.04564</v>
      </c>
      <c r="AV17" s="20">
        <f t="shared" si="21"/>
        <v>50311.5851864</v>
      </c>
      <c r="AW17" s="20">
        <f t="shared" si="79"/>
        <v>32610.617427200003</v>
      </c>
      <c r="AX17" s="33"/>
      <c r="AY17" s="65">
        <f t="shared" si="80"/>
        <v>0</v>
      </c>
      <c r="AZ17" s="65">
        <f t="shared" si="22"/>
        <v>27149.568249999997</v>
      </c>
      <c r="BA17" s="20">
        <f t="shared" si="23"/>
        <v>27149.568249999997</v>
      </c>
      <c r="BB17" s="20">
        <f t="shared" si="24"/>
        <v>6634.274995</v>
      </c>
      <c r="BC17" s="20">
        <f t="shared" si="81"/>
        <v>4300.158759999999</v>
      </c>
      <c r="BD17" s="33"/>
      <c r="BE17" s="51">
        <f t="shared" si="82"/>
        <v>0</v>
      </c>
      <c r="BF17" s="51">
        <f t="shared" si="25"/>
        <v>8053.173100000001</v>
      </c>
      <c r="BG17" s="33">
        <f t="shared" si="26"/>
        <v>8053.173100000001</v>
      </c>
      <c r="BH17" s="20">
        <f t="shared" si="27"/>
        <v>1967.8753060000001</v>
      </c>
      <c r="BI17" s="20">
        <f t="shared" si="83"/>
        <v>1275.5238880000002</v>
      </c>
      <c r="BJ17" s="33"/>
      <c r="BK17" s="33">
        <f t="shared" si="84"/>
        <v>0</v>
      </c>
      <c r="BL17" s="33">
        <f t="shared" si="28"/>
        <v>3541.6622500000003</v>
      </c>
      <c r="BM17" s="33">
        <f t="shared" si="29"/>
        <v>3541.6622500000003</v>
      </c>
      <c r="BN17" s="20">
        <f t="shared" si="30"/>
        <v>865.441435</v>
      </c>
      <c r="BO17" s="20">
        <f t="shared" si="85"/>
        <v>560.95588</v>
      </c>
      <c r="BP17" s="33"/>
      <c r="BQ17" s="51">
        <f t="shared" si="86"/>
        <v>0</v>
      </c>
      <c r="BR17" s="51">
        <f t="shared" si="31"/>
        <v>31038.108569999997</v>
      </c>
      <c r="BS17" s="33">
        <f t="shared" si="32"/>
        <v>31038.108569999997</v>
      </c>
      <c r="BT17" s="20">
        <f t="shared" si="33"/>
        <v>7584.4796381999995</v>
      </c>
      <c r="BU17" s="20">
        <f t="shared" si="87"/>
        <v>4916.0558736</v>
      </c>
      <c r="BV17" s="33"/>
      <c r="BW17" s="51">
        <f t="shared" si="88"/>
        <v>0</v>
      </c>
      <c r="BX17" s="51">
        <f t="shared" si="34"/>
        <v>2403.6621</v>
      </c>
      <c r="BY17" s="33">
        <f t="shared" si="35"/>
        <v>2403.6621</v>
      </c>
      <c r="BZ17" s="20">
        <f t="shared" si="36"/>
        <v>587.359446</v>
      </c>
      <c r="CA17" s="20">
        <f t="shared" si="89"/>
        <v>380.71060800000004</v>
      </c>
      <c r="CB17" s="33"/>
      <c r="CC17" s="51">
        <f t="shared" si="90"/>
        <v>0</v>
      </c>
      <c r="CD17" s="51">
        <f t="shared" si="37"/>
        <v>103519.61984</v>
      </c>
      <c r="CE17" s="33">
        <f t="shared" si="38"/>
        <v>103519.61984</v>
      </c>
      <c r="CF17" s="20">
        <f t="shared" si="39"/>
        <v>25296.0790784</v>
      </c>
      <c r="CG17" s="20">
        <f t="shared" si="91"/>
        <v>16396.2386432</v>
      </c>
      <c r="CH17" s="33"/>
      <c r="CI17" s="51">
        <f t="shared" si="92"/>
        <v>0</v>
      </c>
      <c r="CJ17" s="51">
        <f t="shared" si="40"/>
        <v>4396.32942</v>
      </c>
      <c r="CK17" s="33">
        <f t="shared" si="41"/>
        <v>4396.32942</v>
      </c>
      <c r="CL17" s="20">
        <f t="shared" si="42"/>
        <v>1074.2881092</v>
      </c>
      <c r="CM17" s="20">
        <f t="shared" si="93"/>
        <v>696.3246816</v>
      </c>
      <c r="CN17" s="33"/>
      <c r="CO17" s="33">
        <f t="shared" si="94"/>
        <v>0</v>
      </c>
      <c r="CP17" s="33">
        <f t="shared" si="43"/>
        <v>12.099290000000002</v>
      </c>
      <c r="CQ17" s="33">
        <f t="shared" si="44"/>
        <v>12.099290000000002</v>
      </c>
      <c r="CR17" s="20">
        <f t="shared" si="45"/>
        <v>2.9565854000000003</v>
      </c>
      <c r="CS17" s="20">
        <f t="shared" si="95"/>
        <v>1.9163792</v>
      </c>
      <c r="CT17" s="33"/>
      <c r="CU17" s="51">
        <f t="shared" si="96"/>
        <v>0</v>
      </c>
      <c r="CV17" s="51">
        <f t="shared" si="46"/>
        <v>3053.3082299999996</v>
      </c>
      <c r="CW17" s="33">
        <f t="shared" si="47"/>
        <v>3053.3082299999996</v>
      </c>
      <c r="CX17" s="20">
        <f t="shared" si="48"/>
        <v>746.1071298</v>
      </c>
      <c r="CY17" s="20">
        <f t="shared" si="97"/>
        <v>483.6065904</v>
      </c>
      <c r="CZ17" s="33"/>
      <c r="DA17" s="51">
        <f t="shared" si="98"/>
        <v>0</v>
      </c>
      <c r="DB17" s="51">
        <f t="shared" si="49"/>
        <v>7800.993409999999</v>
      </c>
      <c r="DC17" s="33">
        <f t="shared" si="50"/>
        <v>7800.993409999999</v>
      </c>
      <c r="DD17" s="20">
        <f t="shared" si="51"/>
        <v>1906.2526166000002</v>
      </c>
      <c r="DE17" s="20">
        <f t="shared" si="99"/>
        <v>1235.5817168</v>
      </c>
      <c r="DF17" s="33"/>
      <c r="DG17" s="51">
        <f t="shared" si="100"/>
        <v>0</v>
      </c>
      <c r="DH17" s="51">
        <f t="shared" si="52"/>
        <v>13184.79638</v>
      </c>
      <c r="DI17" s="33">
        <f t="shared" si="53"/>
        <v>13184.79638</v>
      </c>
      <c r="DJ17" s="20">
        <f t="shared" si="54"/>
        <v>3221.8399988</v>
      </c>
      <c r="DK17" s="20">
        <f t="shared" si="101"/>
        <v>2088.3101024</v>
      </c>
      <c r="DL17" s="33"/>
      <c r="DM17" s="51">
        <f t="shared" si="102"/>
        <v>0</v>
      </c>
      <c r="DN17" s="51">
        <f t="shared" si="55"/>
        <v>108459.36934</v>
      </c>
      <c r="DO17" s="33">
        <f t="shared" si="56"/>
        <v>108459.36934</v>
      </c>
      <c r="DP17" s="20">
        <f t="shared" si="57"/>
        <v>26503.1574484</v>
      </c>
      <c r="DQ17" s="20">
        <f t="shared" si="103"/>
        <v>17178.6344032</v>
      </c>
      <c r="DR17" s="33"/>
      <c r="DS17" s="51">
        <f t="shared" si="104"/>
        <v>0</v>
      </c>
      <c r="DT17" s="51">
        <f t="shared" si="58"/>
        <v>2036.39625</v>
      </c>
      <c r="DU17" s="33">
        <f t="shared" si="59"/>
        <v>2036.39625</v>
      </c>
      <c r="DV17" s="20">
        <f t="shared" si="60"/>
        <v>497.614275</v>
      </c>
      <c r="DW17" s="20">
        <f t="shared" si="105"/>
        <v>322.5402</v>
      </c>
      <c r="DX17" s="33"/>
      <c r="DY17" s="51">
        <f t="shared" si="106"/>
        <v>0</v>
      </c>
      <c r="DZ17" s="51">
        <f t="shared" si="61"/>
        <v>9704.96436</v>
      </c>
      <c r="EA17" s="33">
        <f t="shared" si="62"/>
        <v>9704.96436</v>
      </c>
      <c r="EB17" s="20">
        <f t="shared" si="63"/>
        <v>2371.5074136</v>
      </c>
      <c r="EC17" s="20">
        <f t="shared" si="107"/>
        <v>1537.1473727999999</v>
      </c>
      <c r="ED17" s="33"/>
      <c r="EE17" s="33">
        <f t="shared" si="108"/>
        <v>0</v>
      </c>
      <c r="EF17" s="33">
        <f t="shared" si="64"/>
        <v>17475.566639999997</v>
      </c>
      <c r="EG17" s="33">
        <f t="shared" si="65"/>
        <v>17475.566639999997</v>
      </c>
      <c r="EH17" s="20">
        <f t="shared" si="66"/>
        <v>4270.3336464</v>
      </c>
      <c r="EI17" s="20">
        <f t="shared" si="109"/>
        <v>2767.9155072</v>
      </c>
      <c r="EJ17" s="33"/>
      <c r="EK17" s="51">
        <f t="shared" si="110"/>
        <v>0</v>
      </c>
      <c r="EL17" s="51">
        <f t="shared" si="67"/>
        <v>17451.93968</v>
      </c>
      <c r="EM17" s="33">
        <f t="shared" si="68"/>
        <v>17451.93968</v>
      </c>
      <c r="EN17" s="20">
        <f t="shared" si="69"/>
        <v>4264.560156799999</v>
      </c>
      <c r="EO17" s="20">
        <f t="shared" si="111"/>
        <v>2764.1732863999996</v>
      </c>
      <c r="EP17" s="33"/>
      <c r="EQ17" s="33"/>
      <c r="ER17" s="33"/>
      <c r="ES17" s="33"/>
    </row>
    <row r="18" spans="1:149" ht="12">
      <c r="A18" s="19">
        <v>43739</v>
      </c>
      <c r="D18" s="35">
        <v>952700</v>
      </c>
      <c r="E18" s="35">
        <f t="shared" si="0"/>
        <v>952700</v>
      </c>
      <c r="F18" s="35">
        <v>232802</v>
      </c>
      <c r="G18" s="35">
        <v>150896</v>
      </c>
      <c r="I18" s="51"/>
      <c r="J18" s="51">
        <v>96526.23022000001</v>
      </c>
      <c r="K18" s="51">
        <f t="shared" si="1"/>
        <v>96526.23022000001</v>
      </c>
      <c r="L18" s="51">
        <v>23587.172717200003</v>
      </c>
      <c r="M18" s="51">
        <v>15288.5714656</v>
      </c>
      <c r="O18" s="51">
        <f t="shared" si="2"/>
        <v>0</v>
      </c>
      <c r="P18" s="41">
        <f t="shared" si="3"/>
        <v>856173.76978</v>
      </c>
      <c r="Q18" s="33">
        <f t="shared" si="4"/>
        <v>856173.76978</v>
      </c>
      <c r="R18" s="41">
        <f t="shared" si="5"/>
        <v>209214.82728279993</v>
      </c>
      <c r="S18" s="41">
        <f t="shared" si="6"/>
        <v>135607.42853440004</v>
      </c>
      <c r="U18" s="65"/>
      <c r="V18" s="65">
        <f t="shared" si="7"/>
        <v>238512.06526</v>
      </c>
      <c r="W18" s="20">
        <f t="shared" si="8"/>
        <v>238512.06526</v>
      </c>
      <c r="X18" s="20">
        <f t="shared" si="9"/>
        <v>58282.8653476</v>
      </c>
      <c r="Y18" s="20">
        <f t="shared" si="71"/>
        <v>37777.3870048</v>
      </c>
      <c r="AA18" s="65"/>
      <c r="AB18" s="65">
        <f t="shared" si="10"/>
        <v>18402.3532</v>
      </c>
      <c r="AC18" s="20">
        <f t="shared" si="11"/>
        <v>18402.3532</v>
      </c>
      <c r="AD18" s="20">
        <f t="shared" si="12"/>
        <v>4496.803432</v>
      </c>
      <c r="AE18" s="20">
        <f t="shared" si="73"/>
        <v>2914.707136</v>
      </c>
      <c r="AH18" s="33">
        <f t="shared" si="13"/>
        <v>22793.3475</v>
      </c>
      <c r="AI18" s="33">
        <f t="shared" si="14"/>
        <v>22793.3475</v>
      </c>
      <c r="AJ18" s="20">
        <f t="shared" si="15"/>
        <v>5569.78785</v>
      </c>
      <c r="AK18" s="20">
        <f t="shared" si="75"/>
        <v>3610.1868</v>
      </c>
      <c r="AM18" s="65"/>
      <c r="AN18" s="65">
        <f t="shared" si="16"/>
        <v>11293.40107</v>
      </c>
      <c r="AO18" s="20">
        <f t="shared" si="17"/>
        <v>11293.40107</v>
      </c>
      <c r="AP18" s="20">
        <f t="shared" si="18"/>
        <v>2759.6581882</v>
      </c>
      <c r="AQ18" s="20">
        <f t="shared" si="77"/>
        <v>1788.7362736</v>
      </c>
      <c r="AS18" s="65"/>
      <c r="AT18" s="65">
        <f t="shared" si="19"/>
        <v>205891.04564</v>
      </c>
      <c r="AU18" s="20">
        <f t="shared" si="20"/>
        <v>205891.04564</v>
      </c>
      <c r="AV18" s="20">
        <f t="shared" si="21"/>
        <v>50311.5851864</v>
      </c>
      <c r="AW18" s="20">
        <f t="shared" si="79"/>
        <v>32610.617427200003</v>
      </c>
      <c r="AX18" s="33"/>
      <c r="AY18" s="65"/>
      <c r="AZ18" s="65">
        <f t="shared" si="22"/>
        <v>27149.568249999997</v>
      </c>
      <c r="BA18" s="20">
        <f t="shared" si="23"/>
        <v>27149.568249999997</v>
      </c>
      <c r="BB18" s="20">
        <f t="shared" si="24"/>
        <v>6634.274995</v>
      </c>
      <c r="BC18" s="20">
        <f t="shared" si="81"/>
        <v>4300.158759999999</v>
      </c>
      <c r="BD18" s="33"/>
      <c r="BE18" s="51"/>
      <c r="BF18" s="51">
        <f t="shared" si="25"/>
        <v>8053.173100000001</v>
      </c>
      <c r="BG18" s="33">
        <f t="shared" si="26"/>
        <v>8053.173100000001</v>
      </c>
      <c r="BH18" s="20">
        <f t="shared" si="27"/>
        <v>1967.8753060000001</v>
      </c>
      <c r="BI18" s="20">
        <f t="shared" si="83"/>
        <v>1275.5238880000002</v>
      </c>
      <c r="BJ18" s="33"/>
      <c r="BK18" s="33"/>
      <c r="BL18" s="33">
        <f t="shared" si="28"/>
        <v>3541.6622500000003</v>
      </c>
      <c r="BM18" s="33">
        <f t="shared" si="29"/>
        <v>3541.6622500000003</v>
      </c>
      <c r="BN18" s="20">
        <f t="shared" si="30"/>
        <v>865.441435</v>
      </c>
      <c r="BO18" s="20">
        <f t="shared" si="85"/>
        <v>560.95588</v>
      </c>
      <c r="BP18" s="33"/>
      <c r="BQ18" s="51"/>
      <c r="BR18" s="51">
        <f t="shared" si="31"/>
        <v>31038.108569999997</v>
      </c>
      <c r="BS18" s="33">
        <f t="shared" si="32"/>
        <v>31038.108569999997</v>
      </c>
      <c r="BT18" s="20">
        <f t="shared" si="33"/>
        <v>7584.4796381999995</v>
      </c>
      <c r="BU18" s="20">
        <f t="shared" si="87"/>
        <v>4916.0558736</v>
      </c>
      <c r="BV18" s="33"/>
      <c r="BW18" s="51"/>
      <c r="BX18" s="51">
        <f t="shared" si="34"/>
        <v>2403.6621</v>
      </c>
      <c r="BY18" s="33">
        <f t="shared" si="35"/>
        <v>2403.6621</v>
      </c>
      <c r="BZ18" s="20">
        <f t="shared" si="36"/>
        <v>587.359446</v>
      </c>
      <c r="CA18" s="20">
        <f t="shared" si="89"/>
        <v>380.71060800000004</v>
      </c>
      <c r="CB18" s="33"/>
      <c r="CC18" s="51"/>
      <c r="CD18" s="51">
        <f t="shared" si="37"/>
        <v>103519.61984</v>
      </c>
      <c r="CE18" s="33">
        <f t="shared" si="38"/>
        <v>103519.61984</v>
      </c>
      <c r="CF18" s="20">
        <f t="shared" si="39"/>
        <v>25296.0790784</v>
      </c>
      <c r="CG18" s="20">
        <f t="shared" si="91"/>
        <v>16396.2386432</v>
      </c>
      <c r="CH18" s="33"/>
      <c r="CI18" s="51"/>
      <c r="CJ18" s="51">
        <f t="shared" si="40"/>
        <v>4396.32942</v>
      </c>
      <c r="CK18" s="33">
        <f t="shared" si="41"/>
        <v>4396.32942</v>
      </c>
      <c r="CL18" s="20">
        <f t="shared" si="42"/>
        <v>1074.2881092</v>
      </c>
      <c r="CM18" s="20">
        <f t="shared" si="93"/>
        <v>696.3246816</v>
      </c>
      <c r="CN18" s="33"/>
      <c r="CO18" s="33"/>
      <c r="CP18" s="33">
        <f t="shared" si="43"/>
        <v>12.099290000000002</v>
      </c>
      <c r="CQ18" s="33">
        <f t="shared" si="44"/>
        <v>12.099290000000002</v>
      </c>
      <c r="CR18" s="20">
        <f t="shared" si="45"/>
        <v>2.9565854000000003</v>
      </c>
      <c r="CS18" s="20">
        <f t="shared" si="95"/>
        <v>1.9163792</v>
      </c>
      <c r="CT18" s="33"/>
      <c r="CU18" s="51"/>
      <c r="CV18" s="51">
        <f t="shared" si="46"/>
        <v>3053.3082299999996</v>
      </c>
      <c r="CW18" s="33">
        <f t="shared" si="47"/>
        <v>3053.3082299999996</v>
      </c>
      <c r="CX18" s="20">
        <f t="shared" si="48"/>
        <v>746.1071298</v>
      </c>
      <c r="CY18" s="20">
        <f t="shared" si="97"/>
        <v>483.6065904</v>
      </c>
      <c r="CZ18" s="33"/>
      <c r="DA18" s="51"/>
      <c r="DB18" s="51">
        <f t="shared" si="49"/>
        <v>7800.993409999999</v>
      </c>
      <c r="DC18" s="33">
        <f t="shared" si="50"/>
        <v>7800.993409999999</v>
      </c>
      <c r="DD18" s="20">
        <f t="shared" si="51"/>
        <v>1906.2526166000002</v>
      </c>
      <c r="DE18" s="20">
        <f t="shared" si="99"/>
        <v>1235.5817168</v>
      </c>
      <c r="DF18" s="33"/>
      <c r="DG18" s="51"/>
      <c r="DH18" s="51">
        <f t="shared" si="52"/>
        <v>13184.79638</v>
      </c>
      <c r="DI18" s="33">
        <f t="shared" si="53"/>
        <v>13184.79638</v>
      </c>
      <c r="DJ18" s="20">
        <f t="shared" si="54"/>
        <v>3221.8399988</v>
      </c>
      <c r="DK18" s="20">
        <f t="shared" si="101"/>
        <v>2088.3101024</v>
      </c>
      <c r="DL18" s="33"/>
      <c r="DM18" s="51"/>
      <c r="DN18" s="51">
        <f t="shared" si="55"/>
        <v>108459.36934</v>
      </c>
      <c r="DO18" s="33">
        <f t="shared" si="56"/>
        <v>108459.36934</v>
      </c>
      <c r="DP18" s="20">
        <f t="shared" si="57"/>
        <v>26503.1574484</v>
      </c>
      <c r="DQ18" s="20">
        <f t="shared" si="103"/>
        <v>17178.6344032</v>
      </c>
      <c r="DR18" s="33"/>
      <c r="DS18" s="51"/>
      <c r="DT18" s="51">
        <f t="shared" si="58"/>
        <v>2036.39625</v>
      </c>
      <c r="DU18" s="33">
        <f t="shared" si="59"/>
        <v>2036.39625</v>
      </c>
      <c r="DV18" s="20">
        <f t="shared" si="60"/>
        <v>497.614275</v>
      </c>
      <c r="DW18" s="20">
        <f t="shared" si="105"/>
        <v>322.5402</v>
      </c>
      <c r="DX18" s="33"/>
      <c r="DY18" s="51"/>
      <c r="DZ18" s="51">
        <f t="shared" si="61"/>
        <v>9704.96436</v>
      </c>
      <c r="EA18" s="33">
        <f t="shared" si="62"/>
        <v>9704.96436</v>
      </c>
      <c r="EB18" s="20">
        <f t="shared" si="63"/>
        <v>2371.5074136</v>
      </c>
      <c r="EC18" s="20">
        <f t="shared" si="107"/>
        <v>1537.1473727999999</v>
      </c>
      <c r="ED18" s="33"/>
      <c r="EE18" s="33"/>
      <c r="EF18" s="33">
        <f t="shared" si="64"/>
        <v>17475.566639999997</v>
      </c>
      <c r="EG18" s="33">
        <f t="shared" si="65"/>
        <v>17475.566639999997</v>
      </c>
      <c r="EH18" s="20">
        <f t="shared" si="66"/>
        <v>4270.3336464</v>
      </c>
      <c r="EI18" s="20">
        <f t="shared" si="109"/>
        <v>2767.9155072</v>
      </c>
      <c r="EJ18" s="33"/>
      <c r="EK18" s="51"/>
      <c r="EL18" s="51">
        <f t="shared" si="67"/>
        <v>17451.93968</v>
      </c>
      <c r="EM18" s="33">
        <f t="shared" si="68"/>
        <v>17451.93968</v>
      </c>
      <c r="EN18" s="20">
        <f t="shared" si="69"/>
        <v>4264.560156799999</v>
      </c>
      <c r="EO18" s="20">
        <f t="shared" si="111"/>
        <v>2764.1732863999996</v>
      </c>
      <c r="EP18" s="33"/>
      <c r="EQ18" s="33"/>
      <c r="ER18" s="33"/>
      <c r="ES18" s="33"/>
    </row>
    <row r="19" spans="1:149" ht="12">
      <c r="A19" s="52">
        <v>43922</v>
      </c>
      <c r="D19" s="35">
        <v>952700</v>
      </c>
      <c r="E19" s="35">
        <f t="shared" si="0"/>
        <v>952700</v>
      </c>
      <c r="F19" s="35">
        <v>232802</v>
      </c>
      <c r="G19" s="35">
        <v>150896</v>
      </c>
      <c r="I19" s="51">
        <v>0</v>
      </c>
      <c r="J19" s="51">
        <v>96526.23022000001</v>
      </c>
      <c r="K19" s="51">
        <f t="shared" si="1"/>
        <v>96526.23022000001</v>
      </c>
      <c r="L19" s="51">
        <v>23587.172717200003</v>
      </c>
      <c r="M19" s="51">
        <v>15288.5714656</v>
      </c>
      <c r="O19" s="51">
        <f t="shared" si="2"/>
        <v>0</v>
      </c>
      <c r="P19" s="41">
        <f t="shared" si="3"/>
        <v>856173.76978</v>
      </c>
      <c r="Q19" s="33">
        <f t="shared" si="4"/>
        <v>856173.76978</v>
      </c>
      <c r="R19" s="41">
        <f t="shared" si="5"/>
        <v>209214.82728279993</v>
      </c>
      <c r="S19" s="41">
        <f t="shared" si="6"/>
        <v>135607.42853440004</v>
      </c>
      <c r="U19" s="65">
        <f t="shared" si="70"/>
        <v>0</v>
      </c>
      <c r="V19" s="65">
        <f t="shared" si="7"/>
        <v>238512.06526</v>
      </c>
      <c r="W19" s="20">
        <f t="shared" si="8"/>
        <v>238512.06526</v>
      </c>
      <c r="X19" s="20">
        <f t="shared" si="9"/>
        <v>58282.8653476</v>
      </c>
      <c r="Y19" s="20">
        <f t="shared" si="71"/>
        <v>37777.3870048</v>
      </c>
      <c r="AA19" s="65">
        <f t="shared" si="72"/>
        <v>0</v>
      </c>
      <c r="AB19" s="65">
        <f t="shared" si="10"/>
        <v>18402.3532</v>
      </c>
      <c r="AC19" s="20">
        <f t="shared" si="11"/>
        <v>18402.3532</v>
      </c>
      <c r="AD19" s="20">
        <f t="shared" si="12"/>
        <v>4496.803432</v>
      </c>
      <c r="AE19" s="20">
        <f t="shared" si="73"/>
        <v>2914.707136</v>
      </c>
      <c r="AG19" s="33">
        <f t="shared" si="74"/>
        <v>0</v>
      </c>
      <c r="AH19" s="33">
        <f t="shared" si="13"/>
        <v>22793.3475</v>
      </c>
      <c r="AI19" s="33">
        <f t="shared" si="14"/>
        <v>22793.3475</v>
      </c>
      <c r="AJ19" s="20">
        <f t="shared" si="15"/>
        <v>5569.78785</v>
      </c>
      <c r="AK19" s="20">
        <f t="shared" si="75"/>
        <v>3610.1868</v>
      </c>
      <c r="AM19" s="65">
        <f t="shared" si="76"/>
        <v>0</v>
      </c>
      <c r="AN19" s="65">
        <f t="shared" si="16"/>
        <v>11293.40107</v>
      </c>
      <c r="AO19" s="20">
        <f t="shared" si="17"/>
        <v>11293.40107</v>
      </c>
      <c r="AP19" s="20">
        <f t="shared" si="18"/>
        <v>2759.6581882</v>
      </c>
      <c r="AQ19" s="20">
        <f t="shared" si="77"/>
        <v>1788.7362736</v>
      </c>
      <c r="AS19" s="65">
        <f t="shared" si="78"/>
        <v>0</v>
      </c>
      <c r="AT19" s="65">
        <f t="shared" si="19"/>
        <v>205891.04564</v>
      </c>
      <c r="AU19" s="20">
        <f t="shared" si="20"/>
        <v>205891.04564</v>
      </c>
      <c r="AV19" s="20">
        <f t="shared" si="21"/>
        <v>50311.5851864</v>
      </c>
      <c r="AW19" s="20">
        <f t="shared" si="79"/>
        <v>32610.617427200003</v>
      </c>
      <c r="AX19" s="33"/>
      <c r="AY19" s="65">
        <f t="shared" si="80"/>
        <v>0</v>
      </c>
      <c r="AZ19" s="65">
        <f t="shared" si="22"/>
        <v>27149.568249999997</v>
      </c>
      <c r="BA19" s="20">
        <f t="shared" si="23"/>
        <v>27149.568249999997</v>
      </c>
      <c r="BB19" s="20">
        <f t="shared" si="24"/>
        <v>6634.274995</v>
      </c>
      <c r="BC19" s="20">
        <f t="shared" si="81"/>
        <v>4300.158759999999</v>
      </c>
      <c r="BD19" s="33"/>
      <c r="BE19" s="51">
        <f t="shared" si="82"/>
        <v>0</v>
      </c>
      <c r="BF19" s="51">
        <f t="shared" si="25"/>
        <v>8053.173100000001</v>
      </c>
      <c r="BG19" s="33">
        <f t="shared" si="26"/>
        <v>8053.173100000001</v>
      </c>
      <c r="BH19" s="20">
        <f t="shared" si="27"/>
        <v>1967.8753060000001</v>
      </c>
      <c r="BI19" s="20">
        <f t="shared" si="83"/>
        <v>1275.5238880000002</v>
      </c>
      <c r="BJ19" s="33"/>
      <c r="BK19" s="33">
        <f t="shared" si="84"/>
        <v>0</v>
      </c>
      <c r="BL19" s="33">
        <f t="shared" si="28"/>
        <v>3541.6622500000003</v>
      </c>
      <c r="BM19" s="33">
        <f t="shared" si="29"/>
        <v>3541.6622500000003</v>
      </c>
      <c r="BN19" s="20">
        <f t="shared" si="30"/>
        <v>865.441435</v>
      </c>
      <c r="BO19" s="20">
        <f t="shared" si="85"/>
        <v>560.95588</v>
      </c>
      <c r="BP19" s="33"/>
      <c r="BQ19" s="51">
        <f t="shared" si="86"/>
        <v>0</v>
      </c>
      <c r="BR19" s="51">
        <f t="shared" si="31"/>
        <v>31038.108569999997</v>
      </c>
      <c r="BS19" s="33">
        <f t="shared" si="32"/>
        <v>31038.108569999997</v>
      </c>
      <c r="BT19" s="20">
        <f t="shared" si="33"/>
        <v>7584.4796381999995</v>
      </c>
      <c r="BU19" s="20">
        <f t="shared" si="87"/>
        <v>4916.0558736</v>
      </c>
      <c r="BV19" s="33"/>
      <c r="BW19" s="51">
        <f t="shared" si="88"/>
        <v>0</v>
      </c>
      <c r="BX19" s="51">
        <f t="shared" si="34"/>
        <v>2403.6621</v>
      </c>
      <c r="BY19" s="33">
        <f t="shared" si="35"/>
        <v>2403.6621</v>
      </c>
      <c r="BZ19" s="20">
        <f t="shared" si="36"/>
        <v>587.359446</v>
      </c>
      <c r="CA19" s="20">
        <f t="shared" si="89"/>
        <v>380.71060800000004</v>
      </c>
      <c r="CB19" s="33"/>
      <c r="CC19" s="51">
        <f t="shared" si="90"/>
        <v>0</v>
      </c>
      <c r="CD19" s="51">
        <f t="shared" si="37"/>
        <v>103519.61984</v>
      </c>
      <c r="CE19" s="33">
        <f t="shared" si="38"/>
        <v>103519.61984</v>
      </c>
      <c r="CF19" s="20">
        <f t="shared" si="39"/>
        <v>25296.0790784</v>
      </c>
      <c r="CG19" s="20">
        <f t="shared" si="91"/>
        <v>16396.2386432</v>
      </c>
      <c r="CH19" s="33"/>
      <c r="CI19" s="51">
        <f t="shared" si="92"/>
        <v>0</v>
      </c>
      <c r="CJ19" s="51">
        <f t="shared" si="40"/>
        <v>4396.32942</v>
      </c>
      <c r="CK19" s="33">
        <f t="shared" si="41"/>
        <v>4396.32942</v>
      </c>
      <c r="CL19" s="20">
        <f t="shared" si="42"/>
        <v>1074.2881092</v>
      </c>
      <c r="CM19" s="20">
        <f t="shared" si="93"/>
        <v>696.3246816</v>
      </c>
      <c r="CN19" s="33"/>
      <c r="CO19" s="33">
        <f t="shared" si="94"/>
        <v>0</v>
      </c>
      <c r="CP19" s="33">
        <f t="shared" si="43"/>
        <v>12.099290000000002</v>
      </c>
      <c r="CQ19" s="33">
        <f t="shared" si="44"/>
        <v>12.099290000000002</v>
      </c>
      <c r="CR19" s="20">
        <f t="shared" si="45"/>
        <v>2.9565854000000003</v>
      </c>
      <c r="CS19" s="20">
        <f t="shared" si="95"/>
        <v>1.9163792</v>
      </c>
      <c r="CT19" s="33"/>
      <c r="CU19" s="51">
        <f t="shared" si="96"/>
        <v>0</v>
      </c>
      <c r="CV19" s="51">
        <f t="shared" si="46"/>
        <v>3053.3082299999996</v>
      </c>
      <c r="CW19" s="33">
        <f t="shared" si="47"/>
        <v>3053.3082299999996</v>
      </c>
      <c r="CX19" s="20">
        <f t="shared" si="48"/>
        <v>746.1071298</v>
      </c>
      <c r="CY19" s="20">
        <f t="shared" si="97"/>
        <v>483.6065904</v>
      </c>
      <c r="CZ19" s="33"/>
      <c r="DA19" s="51">
        <f t="shared" si="98"/>
        <v>0</v>
      </c>
      <c r="DB19" s="51">
        <f t="shared" si="49"/>
        <v>7800.993409999999</v>
      </c>
      <c r="DC19" s="33">
        <f t="shared" si="50"/>
        <v>7800.993409999999</v>
      </c>
      <c r="DD19" s="20">
        <f t="shared" si="51"/>
        <v>1906.2526166000002</v>
      </c>
      <c r="DE19" s="20">
        <f t="shared" si="99"/>
        <v>1235.5817168</v>
      </c>
      <c r="DF19" s="33"/>
      <c r="DG19" s="51">
        <f t="shared" si="100"/>
        <v>0</v>
      </c>
      <c r="DH19" s="51">
        <f t="shared" si="52"/>
        <v>13184.79638</v>
      </c>
      <c r="DI19" s="33">
        <f t="shared" si="53"/>
        <v>13184.79638</v>
      </c>
      <c r="DJ19" s="20">
        <f t="shared" si="54"/>
        <v>3221.8399988</v>
      </c>
      <c r="DK19" s="20">
        <f t="shared" si="101"/>
        <v>2088.3101024</v>
      </c>
      <c r="DL19" s="33"/>
      <c r="DM19" s="51">
        <f t="shared" si="102"/>
        <v>0</v>
      </c>
      <c r="DN19" s="51">
        <f t="shared" si="55"/>
        <v>108459.36934</v>
      </c>
      <c r="DO19" s="33">
        <f t="shared" si="56"/>
        <v>108459.36934</v>
      </c>
      <c r="DP19" s="20">
        <f t="shared" si="57"/>
        <v>26503.1574484</v>
      </c>
      <c r="DQ19" s="20">
        <f t="shared" si="103"/>
        <v>17178.6344032</v>
      </c>
      <c r="DR19" s="33"/>
      <c r="DS19" s="51">
        <f t="shared" si="104"/>
        <v>0</v>
      </c>
      <c r="DT19" s="51">
        <f t="shared" si="58"/>
        <v>2036.39625</v>
      </c>
      <c r="DU19" s="33">
        <f t="shared" si="59"/>
        <v>2036.39625</v>
      </c>
      <c r="DV19" s="20">
        <f t="shared" si="60"/>
        <v>497.614275</v>
      </c>
      <c r="DW19" s="20">
        <f t="shared" si="105"/>
        <v>322.5402</v>
      </c>
      <c r="DX19" s="33"/>
      <c r="DY19" s="51">
        <f t="shared" si="106"/>
        <v>0</v>
      </c>
      <c r="DZ19" s="51">
        <f t="shared" si="61"/>
        <v>9704.96436</v>
      </c>
      <c r="EA19" s="33">
        <f t="shared" si="62"/>
        <v>9704.96436</v>
      </c>
      <c r="EB19" s="20">
        <f t="shared" si="63"/>
        <v>2371.5074136</v>
      </c>
      <c r="EC19" s="20">
        <f t="shared" si="107"/>
        <v>1537.1473727999999</v>
      </c>
      <c r="ED19" s="33"/>
      <c r="EE19" s="33">
        <f t="shared" si="108"/>
        <v>0</v>
      </c>
      <c r="EF19" s="33">
        <f t="shared" si="64"/>
        <v>17475.566639999997</v>
      </c>
      <c r="EG19" s="33">
        <f t="shared" si="65"/>
        <v>17475.566639999997</v>
      </c>
      <c r="EH19" s="20">
        <f t="shared" si="66"/>
        <v>4270.3336464</v>
      </c>
      <c r="EI19" s="20">
        <f t="shared" si="109"/>
        <v>2767.9155072</v>
      </c>
      <c r="EJ19" s="33"/>
      <c r="EK19" s="51">
        <f t="shared" si="110"/>
        <v>0</v>
      </c>
      <c r="EL19" s="51">
        <f t="shared" si="67"/>
        <v>17451.93968</v>
      </c>
      <c r="EM19" s="33">
        <f t="shared" si="68"/>
        <v>17451.93968</v>
      </c>
      <c r="EN19" s="20">
        <f t="shared" si="69"/>
        <v>4264.560156799999</v>
      </c>
      <c r="EO19" s="20">
        <f t="shared" si="111"/>
        <v>2764.1732863999996</v>
      </c>
      <c r="EP19" s="33"/>
      <c r="EQ19" s="33"/>
      <c r="ER19" s="33"/>
      <c r="ES19" s="33"/>
    </row>
    <row r="20" spans="1:149" ht="12">
      <c r="A20" s="52">
        <v>44105</v>
      </c>
      <c r="D20" s="35">
        <v>952700</v>
      </c>
      <c r="E20" s="35">
        <f t="shared" si="0"/>
        <v>952700</v>
      </c>
      <c r="F20" s="35">
        <v>232802</v>
      </c>
      <c r="G20" s="35">
        <v>150896</v>
      </c>
      <c r="I20" s="51"/>
      <c r="J20" s="51">
        <v>96526.23022000001</v>
      </c>
      <c r="K20" s="51">
        <f t="shared" si="1"/>
        <v>96526.23022000001</v>
      </c>
      <c r="L20" s="51">
        <v>23587.172717200003</v>
      </c>
      <c r="M20" s="51">
        <v>15288.5714656</v>
      </c>
      <c r="O20" s="51">
        <f t="shared" si="2"/>
        <v>0</v>
      </c>
      <c r="P20" s="41">
        <f t="shared" si="3"/>
        <v>856173.76978</v>
      </c>
      <c r="Q20" s="33">
        <f t="shared" si="4"/>
        <v>856173.76978</v>
      </c>
      <c r="R20" s="41">
        <f t="shared" si="5"/>
        <v>209214.82728279993</v>
      </c>
      <c r="S20" s="41">
        <f t="shared" si="6"/>
        <v>135607.42853440004</v>
      </c>
      <c r="U20" s="65"/>
      <c r="V20" s="65">
        <f t="shared" si="7"/>
        <v>238512.06526</v>
      </c>
      <c r="W20" s="20">
        <f t="shared" si="8"/>
        <v>238512.06526</v>
      </c>
      <c r="X20" s="20">
        <f t="shared" si="9"/>
        <v>58282.8653476</v>
      </c>
      <c r="Y20" s="20">
        <f t="shared" si="71"/>
        <v>37777.3870048</v>
      </c>
      <c r="AA20" s="65"/>
      <c r="AB20" s="65">
        <f t="shared" si="10"/>
        <v>18402.3532</v>
      </c>
      <c r="AC20" s="20">
        <f t="shared" si="11"/>
        <v>18402.3532</v>
      </c>
      <c r="AD20" s="20">
        <f t="shared" si="12"/>
        <v>4496.803432</v>
      </c>
      <c r="AE20" s="20">
        <f t="shared" si="73"/>
        <v>2914.707136</v>
      </c>
      <c r="AH20" s="33">
        <f t="shared" si="13"/>
        <v>22793.3475</v>
      </c>
      <c r="AI20" s="33">
        <f t="shared" si="14"/>
        <v>22793.3475</v>
      </c>
      <c r="AJ20" s="20">
        <f t="shared" si="15"/>
        <v>5569.78785</v>
      </c>
      <c r="AK20" s="20">
        <f t="shared" si="75"/>
        <v>3610.1868</v>
      </c>
      <c r="AM20" s="65"/>
      <c r="AN20" s="65">
        <f t="shared" si="16"/>
        <v>11293.40107</v>
      </c>
      <c r="AO20" s="20">
        <f t="shared" si="17"/>
        <v>11293.40107</v>
      </c>
      <c r="AP20" s="20">
        <f t="shared" si="18"/>
        <v>2759.6581882</v>
      </c>
      <c r="AQ20" s="20">
        <f t="shared" si="77"/>
        <v>1788.7362736</v>
      </c>
      <c r="AS20" s="65"/>
      <c r="AT20" s="65">
        <f t="shared" si="19"/>
        <v>205891.04564</v>
      </c>
      <c r="AU20" s="20">
        <f t="shared" si="20"/>
        <v>205891.04564</v>
      </c>
      <c r="AV20" s="20">
        <f t="shared" si="21"/>
        <v>50311.5851864</v>
      </c>
      <c r="AW20" s="20">
        <f t="shared" si="79"/>
        <v>32610.617427200003</v>
      </c>
      <c r="AX20" s="33"/>
      <c r="AY20" s="65"/>
      <c r="AZ20" s="65">
        <f t="shared" si="22"/>
        <v>27149.568249999997</v>
      </c>
      <c r="BA20" s="20">
        <f t="shared" si="23"/>
        <v>27149.568249999997</v>
      </c>
      <c r="BB20" s="20">
        <f t="shared" si="24"/>
        <v>6634.274995</v>
      </c>
      <c r="BC20" s="20">
        <f t="shared" si="81"/>
        <v>4300.158759999999</v>
      </c>
      <c r="BD20" s="33"/>
      <c r="BE20" s="51"/>
      <c r="BF20" s="51">
        <f t="shared" si="25"/>
        <v>8053.173100000001</v>
      </c>
      <c r="BG20" s="33">
        <f t="shared" si="26"/>
        <v>8053.173100000001</v>
      </c>
      <c r="BH20" s="20">
        <f t="shared" si="27"/>
        <v>1967.8753060000001</v>
      </c>
      <c r="BI20" s="20">
        <f t="shared" si="83"/>
        <v>1275.5238880000002</v>
      </c>
      <c r="BJ20" s="33"/>
      <c r="BK20" s="33"/>
      <c r="BL20" s="33">
        <f t="shared" si="28"/>
        <v>3541.6622500000003</v>
      </c>
      <c r="BM20" s="33">
        <f t="shared" si="29"/>
        <v>3541.6622500000003</v>
      </c>
      <c r="BN20" s="20">
        <f t="shared" si="30"/>
        <v>865.441435</v>
      </c>
      <c r="BO20" s="20">
        <f t="shared" si="85"/>
        <v>560.95588</v>
      </c>
      <c r="BP20" s="33"/>
      <c r="BQ20" s="51"/>
      <c r="BR20" s="51">
        <f t="shared" si="31"/>
        <v>31038.108569999997</v>
      </c>
      <c r="BS20" s="33">
        <f t="shared" si="32"/>
        <v>31038.108569999997</v>
      </c>
      <c r="BT20" s="20">
        <f t="shared" si="33"/>
        <v>7584.4796381999995</v>
      </c>
      <c r="BU20" s="20">
        <f t="shared" si="87"/>
        <v>4916.0558736</v>
      </c>
      <c r="BV20" s="33"/>
      <c r="BW20" s="51"/>
      <c r="BX20" s="51">
        <f t="shared" si="34"/>
        <v>2403.6621</v>
      </c>
      <c r="BY20" s="33">
        <f t="shared" si="35"/>
        <v>2403.6621</v>
      </c>
      <c r="BZ20" s="20">
        <f t="shared" si="36"/>
        <v>587.359446</v>
      </c>
      <c r="CA20" s="20">
        <f t="shared" si="89"/>
        <v>380.71060800000004</v>
      </c>
      <c r="CB20" s="33"/>
      <c r="CC20" s="51"/>
      <c r="CD20" s="51">
        <f t="shared" si="37"/>
        <v>103519.61984</v>
      </c>
      <c r="CE20" s="33">
        <f t="shared" si="38"/>
        <v>103519.61984</v>
      </c>
      <c r="CF20" s="20">
        <f t="shared" si="39"/>
        <v>25296.0790784</v>
      </c>
      <c r="CG20" s="20">
        <f t="shared" si="91"/>
        <v>16396.2386432</v>
      </c>
      <c r="CH20" s="33"/>
      <c r="CI20" s="51"/>
      <c r="CJ20" s="51">
        <f t="shared" si="40"/>
        <v>4396.32942</v>
      </c>
      <c r="CK20" s="33">
        <f t="shared" si="41"/>
        <v>4396.32942</v>
      </c>
      <c r="CL20" s="20">
        <f t="shared" si="42"/>
        <v>1074.2881092</v>
      </c>
      <c r="CM20" s="20">
        <f t="shared" si="93"/>
        <v>696.3246816</v>
      </c>
      <c r="CN20" s="33"/>
      <c r="CO20" s="33"/>
      <c r="CP20" s="33">
        <f t="shared" si="43"/>
        <v>12.099290000000002</v>
      </c>
      <c r="CQ20" s="33">
        <f t="shared" si="44"/>
        <v>12.099290000000002</v>
      </c>
      <c r="CR20" s="20">
        <f t="shared" si="45"/>
        <v>2.9565854000000003</v>
      </c>
      <c r="CS20" s="20">
        <f t="shared" si="95"/>
        <v>1.9163792</v>
      </c>
      <c r="CT20" s="33"/>
      <c r="CU20" s="51"/>
      <c r="CV20" s="51">
        <f t="shared" si="46"/>
        <v>3053.3082299999996</v>
      </c>
      <c r="CW20" s="33">
        <f t="shared" si="47"/>
        <v>3053.3082299999996</v>
      </c>
      <c r="CX20" s="20">
        <f t="shared" si="48"/>
        <v>746.1071298</v>
      </c>
      <c r="CY20" s="20">
        <f t="shared" si="97"/>
        <v>483.6065904</v>
      </c>
      <c r="CZ20" s="33"/>
      <c r="DA20" s="51"/>
      <c r="DB20" s="51">
        <f t="shared" si="49"/>
        <v>7800.993409999999</v>
      </c>
      <c r="DC20" s="33">
        <f t="shared" si="50"/>
        <v>7800.993409999999</v>
      </c>
      <c r="DD20" s="20">
        <f t="shared" si="51"/>
        <v>1906.2526166000002</v>
      </c>
      <c r="DE20" s="20">
        <f t="shared" si="99"/>
        <v>1235.5817168</v>
      </c>
      <c r="DF20" s="33"/>
      <c r="DG20" s="51"/>
      <c r="DH20" s="51">
        <f t="shared" si="52"/>
        <v>13184.79638</v>
      </c>
      <c r="DI20" s="33">
        <f t="shared" si="53"/>
        <v>13184.79638</v>
      </c>
      <c r="DJ20" s="20">
        <f t="shared" si="54"/>
        <v>3221.8399988</v>
      </c>
      <c r="DK20" s="20">
        <f t="shared" si="101"/>
        <v>2088.3101024</v>
      </c>
      <c r="DL20" s="33"/>
      <c r="DM20" s="51"/>
      <c r="DN20" s="51">
        <f t="shared" si="55"/>
        <v>108459.36934</v>
      </c>
      <c r="DO20" s="33">
        <f t="shared" si="56"/>
        <v>108459.36934</v>
      </c>
      <c r="DP20" s="20">
        <f t="shared" si="57"/>
        <v>26503.1574484</v>
      </c>
      <c r="DQ20" s="20">
        <f t="shared" si="103"/>
        <v>17178.6344032</v>
      </c>
      <c r="DR20" s="33"/>
      <c r="DS20" s="51"/>
      <c r="DT20" s="51">
        <f t="shared" si="58"/>
        <v>2036.39625</v>
      </c>
      <c r="DU20" s="33">
        <f t="shared" si="59"/>
        <v>2036.39625</v>
      </c>
      <c r="DV20" s="20">
        <f t="shared" si="60"/>
        <v>497.614275</v>
      </c>
      <c r="DW20" s="20">
        <f t="shared" si="105"/>
        <v>322.5402</v>
      </c>
      <c r="DX20" s="33"/>
      <c r="DY20" s="51"/>
      <c r="DZ20" s="51">
        <f t="shared" si="61"/>
        <v>9704.96436</v>
      </c>
      <c r="EA20" s="33">
        <f t="shared" si="62"/>
        <v>9704.96436</v>
      </c>
      <c r="EB20" s="20">
        <f t="shared" si="63"/>
        <v>2371.5074136</v>
      </c>
      <c r="EC20" s="20">
        <f t="shared" si="107"/>
        <v>1537.1473727999999</v>
      </c>
      <c r="ED20" s="33"/>
      <c r="EE20" s="33"/>
      <c r="EF20" s="33">
        <f t="shared" si="64"/>
        <v>17475.566639999997</v>
      </c>
      <c r="EG20" s="33">
        <f t="shared" si="65"/>
        <v>17475.566639999997</v>
      </c>
      <c r="EH20" s="20">
        <f t="shared" si="66"/>
        <v>4270.3336464</v>
      </c>
      <c r="EI20" s="20">
        <f t="shared" si="109"/>
        <v>2767.9155072</v>
      </c>
      <c r="EJ20" s="33"/>
      <c r="EK20" s="51"/>
      <c r="EL20" s="51">
        <f t="shared" si="67"/>
        <v>17451.93968</v>
      </c>
      <c r="EM20" s="33">
        <f t="shared" si="68"/>
        <v>17451.93968</v>
      </c>
      <c r="EN20" s="20">
        <f t="shared" si="69"/>
        <v>4264.560156799999</v>
      </c>
      <c r="EO20" s="20">
        <f t="shared" si="111"/>
        <v>2764.1732863999996</v>
      </c>
      <c r="EP20" s="33"/>
      <c r="EQ20" s="33"/>
      <c r="ER20" s="33"/>
      <c r="ES20" s="33"/>
    </row>
    <row r="21" spans="1:149" ht="12">
      <c r="A21" s="52">
        <v>44287</v>
      </c>
      <c r="C21" s="35">
        <v>4745000</v>
      </c>
      <c r="D21" s="35">
        <v>952700</v>
      </c>
      <c r="E21" s="35">
        <f t="shared" si="0"/>
        <v>5697700</v>
      </c>
      <c r="F21" s="35">
        <v>232802</v>
      </c>
      <c r="G21" s="35">
        <v>150896</v>
      </c>
      <c r="I21" s="51">
        <v>480756.7570000001</v>
      </c>
      <c r="J21" s="51">
        <v>96526.23022000001</v>
      </c>
      <c r="K21" s="51">
        <f t="shared" si="1"/>
        <v>577282.9872200001</v>
      </c>
      <c r="L21" s="51">
        <v>23587.172717200003</v>
      </c>
      <c r="M21" s="51">
        <v>15288.5714656</v>
      </c>
      <c r="O21" s="51">
        <f t="shared" si="2"/>
        <v>4264243.243</v>
      </c>
      <c r="P21" s="41">
        <f t="shared" si="3"/>
        <v>856173.76978</v>
      </c>
      <c r="Q21" s="33">
        <f t="shared" si="4"/>
        <v>5120417.0127799995</v>
      </c>
      <c r="R21" s="41">
        <f t="shared" si="5"/>
        <v>209214.82728279993</v>
      </c>
      <c r="S21" s="41">
        <f t="shared" si="6"/>
        <v>135607.42853440004</v>
      </c>
      <c r="U21" s="65">
        <f t="shared" si="70"/>
        <v>1187928.781</v>
      </c>
      <c r="V21" s="65">
        <f t="shared" si="7"/>
        <v>238512.06526</v>
      </c>
      <c r="W21" s="20">
        <f t="shared" si="8"/>
        <v>1426440.84626</v>
      </c>
      <c r="X21" s="20">
        <f t="shared" si="9"/>
        <v>58282.8653476</v>
      </c>
      <c r="Y21" s="20">
        <f t="shared" si="71"/>
        <v>37777.3870048</v>
      </c>
      <c r="AA21" s="65">
        <f t="shared" si="72"/>
        <v>91654.42</v>
      </c>
      <c r="AB21" s="65">
        <f t="shared" si="10"/>
        <v>18402.3532</v>
      </c>
      <c r="AC21" s="20">
        <f t="shared" si="11"/>
        <v>110056.7732</v>
      </c>
      <c r="AD21" s="20">
        <f t="shared" si="12"/>
        <v>4496.803432</v>
      </c>
      <c r="AE21" s="20">
        <f t="shared" si="73"/>
        <v>2914.707136</v>
      </c>
      <c r="AG21" s="33">
        <f t="shared" si="74"/>
        <v>113524.125</v>
      </c>
      <c r="AH21" s="33">
        <f t="shared" si="13"/>
        <v>22793.3475</v>
      </c>
      <c r="AI21" s="33">
        <f t="shared" si="14"/>
        <v>136317.4725</v>
      </c>
      <c r="AJ21" s="20">
        <f t="shared" si="15"/>
        <v>5569.78785</v>
      </c>
      <c r="AK21" s="20">
        <f t="shared" si="75"/>
        <v>3610.1868</v>
      </c>
      <c r="AM21" s="65">
        <f t="shared" si="76"/>
        <v>56247.7045</v>
      </c>
      <c r="AN21" s="65">
        <f t="shared" si="16"/>
        <v>11293.40107</v>
      </c>
      <c r="AO21" s="20">
        <f t="shared" si="17"/>
        <v>67541.10557</v>
      </c>
      <c r="AP21" s="20">
        <f t="shared" si="18"/>
        <v>2759.6581882</v>
      </c>
      <c r="AQ21" s="20">
        <f t="shared" si="77"/>
        <v>1788.7362736</v>
      </c>
      <c r="AS21" s="65">
        <f t="shared" si="78"/>
        <v>1025457.134</v>
      </c>
      <c r="AT21" s="65">
        <f t="shared" si="19"/>
        <v>205891.04564</v>
      </c>
      <c r="AU21" s="20">
        <f t="shared" si="20"/>
        <v>1231348.17964</v>
      </c>
      <c r="AV21" s="20">
        <f t="shared" si="21"/>
        <v>50311.5851864</v>
      </c>
      <c r="AW21" s="20">
        <f t="shared" si="79"/>
        <v>32610.617427200003</v>
      </c>
      <c r="AX21" s="33"/>
      <c r="AY21" s="65">
        <f t="shared" si="80"/>
        <v>135220.63749999998</v>
      </c>
      <c r="AZ21" s="65">
        <f t="shared" si="22"/>
        <v>27149.568249999997</v>
      </c>
      <c r="BA21" s="20">
        <f t="shared" si="23"/>
        <v>162370.20574999996</v>
      </c>
      <c r="BB21" s="20">
        <f t="shared" si="24"/>
        <v>6634.274995</v>
      </c>
      <c r="BC21" s="20">
        <f t="shared" si="81"/>
        <v>4300.158759999999</v>
      </c>
      <c r="BD21" s="33"/>
      <c r="BE21" s="51">
        <f t="shared" si="82"/>
        <v>40109.48500000001</v>
      </c>
      <c r="BF21" s="51">
        <f t="shared" si="25"/>
        <v>8053.173100000001</v>
      </c>
      <c r="BG21" s="33">
        <f t="shared" si="26"/>
        <v>48162.65810000001</v>
      </c>
      <c r="BH21" s="20">
        <f t="shared" si="27"/>
        <v>1967.8753060000001</v>
      </c>
      <c r="BI21" s="20">
        <f t="shared" si="83"/>
        <v>1275.5238880000002</v>
      </c>
      <c r="BJ21" s="33"/>
      <c r="BK21" s="33">
        <f t="shared" si="84"/>
        <v>17639.537500000002</v>
      </c>
      <c r="BL21" s="33">
        <f t="shared" si="28"/>
        <v>3541.6622500000003</v>
      </c>
      <c r="BM21" s="33">
        <f t="shared" si="29"/>
        <v>21181.199750000003</v>
      </c>
      <c r="BN21" s="20">
        <f t="shared" si="30"/>
        <v>865.441435</v>
      </c>
      <c r="BO21" s="20">
        <f t="shared" si="85"/>
        <v>560.95588</v>
      </c>
      <c r="BP21" s="33"/>
      <c r="BQ21" s="51">
        <f t="shared" si="86"/>
        <v>154587.8295</v>
      </c>
      <c r="BR21" s="51">
        <f t="shared" si="31"/>
        <v>31038.108569999997</v>
      </c>
      <c r="BS21" s="33">
        <f t="shared" si="32"/>
        <v>185625.93806999997</v>
      </c>
      <c r="BT21" s="20">
        <f t="shared" si="33"/>
        <v>7584.4796381999995</v>
      </c>
      <c r="BU21" s="20">
        <f t="shared" si="87"/>
        <v>4916.0558736</v>
      </c>
      <c r="BV21" s="33"/>
      <c r="BW21" s="51">
        <f t="shared" si="88"/>
        <v>11971.635</v>
      </c>
      <c r="BX21" s="51">
        <f t="shared" si="34"/>
        <v>2403.6621</v>
      </c>
      <c r="BY21" s="33">
        <f t="shared" si="35"/>
        <v>14375.2971</v>
      </c>
      <c r="BZ21" s="20">
        <f t="shared" si="36"/>
        <v>587.359446</v>
      </c>
      <c r="CA21" s="20">
        <f t="shared" si="89"/>
        <v>380.71060800000004</v>
      </c>
      <c r="CB21" s="33"/>
      <c r="CC21" s="51">
        <f t="shared" si="90"/>
        <v>515587.904</v>
      </c>
      <c r="CD21" s="51">
        <f t="shared" si="37"/>
        <v>103519.61984</v>
      </c>
      <c r="CE21" s="33">
        <f t="shared" si="38"/>
        <v>619107.5238399999</v>
      </c>
      <c r="CF21" s="20">
        <f t="shared" si="39"/>
        <v>25296.0790784</v>
      </c>
      <c r="CG21" s="20">
        <f t="shared" si="91"/>
        <v>16396.2386432</v>
      </c>
      <c r="CH21" s="33"/>
      <c r="CI21" s="51">
        <f t="shared" si="92"/>
        <v>21896.277</v>
      </c>
      <c r="CJ21" s="51">
        <f t="shared" si="40"/>
        <v>4396.32942</v>
      </c>
      <c r="CK21" s="33">
        <f t="shared" si="41"/>
        <v>26292.606419999996</v>
      </c>
      <c r="CL21" s="20">
        <f t="shared" si="42"/>
        <v>1074.2881092</v>
      </c>
      <c r="CM21" s="20">
        <f t="shared" si="93"/>
        <v>696.3246816</v>
      </c>
      <c r="CN21" s="33"/>
      <c r="CO21" s="33">
        <f t="shared" si="94"/>
        <v>60.261500000000005</v>
      </c>
      <c r="CP21" s="33">
        <f t="shared" si="43"/>
        <v>12.099290000000002</v>
      </c>
      <c r="CQ21" s="33">
        <f t="shared" si="44"/>
        <v>72.36079000000001</v>
      </c>
      <c r="CR21" s="20">
        <f t="shared" si="45"/>
        <v>2.9565854000000003</v>
      </c>
      <c r="CS21" s="20">
        <f t="shared" si="95"/>
        <v>1.9163792</v>
      </c>
      <c r="CT21" s="33"/>
      <c r="CU21" s="51">
        <f t="shared" si="96"/>
        <v>15207.2505</v>
      </c>
      <c r="CV21" s="51">
        <f t="shared" si="46"/>
        <v>3053.3082299999996</v>
      </c>
      <c r="CW21" s="33">
        <f t="shared" si="47"/>
        <v>18260.55873</v>
      </c>
      <c r="CX21" s="20">
        <f t="shared" si="48"/>
        <v>746.1071298</v>
      </c>
      <c r="CY21" s="20">
        <f t="shared" si="97"/>
        <v>483.6065904</v>
      </c>
      <c r="CZ21" s="33"/>
      <c r="DA21" s="51">
        <f t="shared" si="98"/>
        <v>38853.483499999995</v>
      </c>
      <c r="DB21" s="51">
        <f t="shared" si="49"/>
        <v>7800.993409999999</v>
      </c>
      <c r="DC21" s="33">
        <f t="shared" si="50"/>
        <v>46654.47691</v>
      </c>
      <c r="DD21" s="20">
        <f t="shared" si="51"/>
        <v>1906.2526166000002</v>
      </c>
      <c r="DE21" s="20">
        <f t="shared" si="99"/>
        <v>1235.5817168</v>
      </c>
      <c r="DF21" s="33"/>
      <c r="DG21" s="51">
        <f t="shared" si="100"/>
        <v>65667.953</v>
      </c>
      <c r="DH21" s="51">
        <f t="shared" si="52"/>
        <v>13184.79638</v>
      </c>
      <c r="DI21" s="33">
        <f t="shared" si="53"/>
        <v>78852.74938</v>
      </c>
      <c r="DJ21" s="20">
        <f t="shared" si="54"/>
        <v>3221.8399988</v>
      </c>
      <c r="DK21" s="20">
        <f t="shared" si="101"/>
        <v>2088.3101024</v>
      </c>
      <c r="DL21" s="33"/>
      <c r="DM21" s="51">
        <f t="shared" si="102"/>
        <v>540190.7289999999</v>
      </c>
      <c r="DN21" s="51">
        <f t="shared" si="55"/>
        <v>108459.36934</v>
      </c>
      <c r="DO21" s="33">
        <f t="shared" si="56"/>
        <v>648650.0983399999</v>
      </c>
      <c r="DP21" s="20">
        <f t="shared" si="57"/>
        <v>26503.1574484</v>
      </c>
      <c r="DQ21" s="20">
        <f t="shared" si="103"/>
        <v>17178.6344032</v>
      </c>
      <c r="DR21" s="33"/>
      <c r="DS21" s="51">
        <f t="shared" si="104"/>
        <v>10142.4375</v>
      </c>
      <c r="DT21" s="51">
        <f t="shared" si="58"/>
        <v>2036.39625</v>
      </c>
      <c r="DU21" s="33">
        <f t="shared" si="59"/>
        <v>12178.83375</v>
      </c>
      <c r="DV21" s="20">
        <f t="shared" si="60"/>
        <v>497.614275</v>
      </c>
      <c r="DW21" s="20">
        <f t="shared" si="105"/>
        <v>322.5402</v>
      </c>
      <c r="DX21" s="33"/>
      <c r="DY21" s="51">
        <f t="shared" si="106"/>
        <v>48336.36600000001</v>
      </c>
      <c r="DZ21" s="51">
        <f t="shared" si="61"/>
        <v>9704.96436</v>
      </c>
      <c r="EA21" s="33">
        <f t="shared" si="62"/>
        <v>58041.33036000001</v>
      </c>
      <c r="EB21" s="20">
        <f t="shared" si="63"/>
        <v>2371.5074136</v>
      </c>
      <c r="EC21" s="20">
        <f t="shared" si="107"/>
        <v>1537.1473727999999</v>
      </c>
      <c r="ED21" s="33"/>
      <c r="EE21" s="33">
        <f t="shared" si="108"/>
        <v>87038.484</v>
      </c>
      <c r="EF21" s="33">
        <f t="shared" si="64"/>
        <v>17475.566639999997</v>
      </c>
      <c r="EG21" s="33">
        <f t="shared" si="65"/>
        <v>104514.05064</v>
      </c>
      <c r="EH21" s="20">
        <f t="shared" si="66"/>
        <v>4270.3336464</v>
      </c>
      <c r="EI21" s="20">
        <f t="shared" si="109"/>
        <v>2767.9155072</v>
      </c>
      <c r="EJ21" s="33"/>
      <c r="EK21" s="51">
        <f t="shared" si="110"/>
        <v>86920.80799999999</v>
      </c>
      <c r="EL21" s="51">
        <f t="shared" si="67"/>
        <v>17451.93968</v>
      </c>
      <c r="EM21" s="33">
        <f t="shared" si="68"/>
        <v>104372.74767999999</v>
      </c>
      <c r="EN21" s="20">
        <f t="shared" si="69"/>
        <v>4264.560156799999</v>
      </c>
      <c r="EO21" s="20">
        <f t="shared" si="111"/>
        <v>2764.1732863999996</v>
      </c>
      <c r="EP21" s="33"/>
      <c r="EQ21" s="33"/>
      <c r="ER21" s="33"/>
      <c r="ES21" s="33"/>
    </row>
    <row r="22" spans="1:149" ht="12">
      <c r="A22" s="52">
        <v>44470</v>
      </c>
      <c r="D22" s="35">
        <v>834075</v>
      </c>
      <c r="E22" s="35">
        <f t="shared" si="0"/>
        <v>834075</v>
      </c>
      <c r="F22" s="35">
        <v>232802</v>
      </c>
      <c r="G22" s="35">
        <v>150896</v>
      </c>
      <c r="I22" s="51"/>
      <c r="J22" s="51">
        <v>84507.31129499999</v>
      </c>
      <c r="K22" s="51">
        <f t="shared" si="1"/>
        <v>84507.31129499999</v>
      </c>
      <c r="L22" s="51">
        <v>23587.172717200003</v>
      </c>
      <c r="M22" s="51">
        <v>15288.5714656</v>
      </c>
      <c r="O22" s="51">
        <f t="shared" si="2"/>
        <v>0</v>
      </c>
      <c r="P22" s="41">
        <f t="shared" si="3"/>
        <v>749567.6887049999</v>
      </c>
      <c r="Q22" s="33">
        <f t="shared" si="4"/>
        <v>749567.6887049999</v>
      </c>
      <c r="R22" s="41">
        <f t="shared" si="5"/>
        <v>209214.82728279993</v>
      </c>
      <c r="S22" s="41">
        <f t="shared" si="6"/>
        <v>135607.42853440004</v>
      </c>
      <c r="U22" s="65"/>
      <c r="V22" s="65">
        <f t="shared" si="7"/>
        <v>208813.845735</v>
      </c>
      <c r="W22" s="20">
        <f t="shared" si="8"/>
        <v>208813.845735</v>
      </c>
      <c r="X22" s="20">
        <f t="shared" si="9"/>
        <v>58282.8653476</v>
      </c>
      <c r="Y22" s="20">
        <f t="shared" si="71"/>
        <v>37777.3870048</v>
      </c>
      <c r="AA22" s="65"/>
      <c r="AB22" s="65">
        <f t="shared" si="10"/>
        <v>16110.9927</v>
      </c>
      <c r="AC22" s="20">
        <f t="shared" si="11"/>
        <v>16110.9927</v>
      </c>
      <c r="AD22" s="20">
        <f t="shared" si="12"/>
        <v>4496.803432</v>
      </c>
      <c r="AE22" s="20">
        <f t="shared" si="73"/>
        <v>2914.707136</v>
      </c>
      <c r="AH22" s="33">
        <f t="shared" si="13"/>
        <v>19955.244375</v>
      </c>
      <c r="AI22" s="33">
        <f t="shared" si="14"/>
        <v>19955.244375</v>
      </c>
      <c r="AJ22" s="20">
        <f t="shared" si="15"/>
        <v>5569.78785</v>
      </c>
      <c r="AK22" s="20">
        <f t="shared" si="75"/>
        <v>3610.1868</v>
      </c>
      <c r="AM22" s="65"/>
      <c r="AN22" s="65">
        <f t="shared" si="16"/>
        <v>9887.2084575</v>
      </c>
      <c r="AO22" s="20">
        <f t="shared" si="17"/>
        <v>9887.2084575</v>
      </c>
      <c r="AP22" s="20">
        <f t="shared" si="18"/>
        <v>2759.6581882</v>
      </c>
      <c r="AQ22" s="20">
        <f t="shared" si="77"/>
        <v>1788.7362736</v>
      </c>
      <c r="AS22" s="65"/>
      <c r="AT22" s="65">
        <f t="shared" si="19"/>
        <v>180254.61729</v>
      </c>
      <c r="AU22" s="20">
        <f t="shared" si="20"/>
        <v>180254.61729</v>
      </c>
      <c r="AV22" s="20">
        <f t="shared" si="21"/>
        <v>50311.5851864</v>
      </c>
      <c r="AW22" s="20">
        <f t="shared" si="79"/>
        <v>32610.617427200003</v>
      </c>
      <c r="AX22" s="33"/>
      <c r="AY22" s="65"/>
      <c r="AZ22" s="65">
        <f t="shared" si="22"/>
        <v>23769.052312499996</v>
      </c>
      <c r="BA22" s="20">
        <f t="shared" si="23"/>
        <v>23769.052312499996</v>
      </c>
      <c r="BB22" s="20">
        <f t="shared" si="24"/>
        <v>6634.274995</v>
      </c>
      <c r="BC22" s="20">
        <f t="shared" si="81"/>
        <v>4300.158759999999</v>
      </c>
      <c r="BD22" s="33"/>
      <c r="BE22" s="51"/>
      <c r="BF22" s="51">
        <f t="shared" si="25"/>
        <v>7050.435975</v>
      </c>
      <c r="BG22" s="33">
        <f t="shared" si="26"/>
        <v>7050.435975</v>
      </c>
      <c r="BH22" s="20">
        <f t="shared" si="27"/>
        <v>1967.8753060000001</v>
      </c>
      <c r="BI22" s="20">
        <f t="shared" si="83"/>
        <v>1275.5238880000002</v>
      </c>
      <c r="BJ22" s="33"/>
      <c r="BK22" s="33"/>
      <c r="BL22" s="33">
        <f t="shared" si="28"/>
        <v>3100.6738125</v>
      </c>
      <c r="BM22" s="33">
        <f t="shared" si="29"/>
        <v>3100.6738125</v>
      </c>
      <c r="BN22" s="20">
        <f t="shared" si="30"/>
        <v>865.441435</v>
      </c>
      <c r="BO22" s="20">
        <f t="shared" si="85"/>
        <v>560.95588</v>
      </c>
      <c r="BP22" s="33"/>
      <c r="BQ22" s="51"/>
      <c r="BR22" s="51">
        <f t="shared" si="31"/>
        <v>27173.4128325</v>
      </c>
      <c r="BS22" s="33">
        <f t="shared" si="32"/>
        <v>27173.4128325</v>
      </c>
      <c r="BT22" s="20">
        <f t="shared" si="33"/>
        <v>7584.4796381999995</v>
      </c>
      <c r="BU22" s="20">
        <f t="shared" si="87"/>
        <v>4916.0558736</v>
      </c>
      <c r="BV22" s="33"/>
      <c r="BW22" s="51"/>
      <c r="BX22" s="51">
        <f t="shared" si="34"/>
        <v>2104.3712250000003</v>
      </c>
      <c r="BY22" s="33">
        <f t="shared" si="35"/>
        <v>2104.3712250000003</v>
      </c>
      <c r="BZ22" s="20">
        <f t="shared" si="36"/>
        <v>587.359446</v>
      </c>
      <c r="CA22" s="20">
        <f t="shared" si="89"/>
        <v>380.71060800000004</v>
      </c>
      <c r="CB22" s="33"/>
      <c r="CC22" s="51"/>
      <c r="CD22" s="51">
        <f t="shared" si="37"/>
        <v>90629.92224</v>
      </c>
      <c r="CE22" s="33">
        <f t="shared" si="38"/>
        <v>90629.92224</v>
      </c>
      <c r="CF22" s="20">
        <f t="shared" si="39"/>
        <v>25296.0790784</v>
      </c>
      <c r="CG22" s="20">
        <f t="shared" si="91"/>
        <v>16396.2386432</v>
      </c>
      <c r="CH22" s="33"/>
      <c r="CI22" s="51"/>
      <c r="CJ22" s="51">
        <f t="shared" si="40"/>
        <v>3848.922495</v>
      </c>
      <c r="CK22" s="33">
        <f t="shared" si="41"/>
        <v>3848.922495</v>
      </c>
      <c r="CL22" s="20">
        <f t="shared" si="42"/>
        <v>1074.2881092</v>
      </c>
      <c r="CM22" s="20">
        <f t="shared" si="93"/>
        <v>696.3246816</v>
      </c>
      <c r="CN22" s="33"/>
      <c r="CO22" s="33"/>
      <c r="CP22" s="33">
        <f t="shared" si="43"/>
        <v>10.592752500000001</v>
      </c>
      <c r="CQ22" s="33">
        <f t="shared" si="44"/>
        <v>10.592752500000001</v>
      </c>
      <c r="CR22" s="20">
        <f t="shared" si="45"/>
        <v>2.9565854000000003</v>
      </c>
      <c r="CS22" s="20">
        <f t="shared" si="95"/>
        <v>1.9163792</v>
      </c>
      <c r="CT22" s="33"/>
      <c r="CU22" s="51"/>
      <c r="CV22" s="51">
        <f t="shared" si="46"/>
        <v>2673.1269675</v>
      </c>
      <c r="CW22" s="33">
        <f t="shared" si="47"/>
        <v>2673.1269675</v>
      </c>
      <c r="CX22" s="20">
        <f t="shared" si="48"/>
        <v>746.1071298</v>
      </c>
      <c r="CY22" s="20">
        <f t="shared" si="97"/>
        <v>483.6065904</v>
      </c>
      <c r="CZ22" s="33"/>
      <c r="DA22" s="51"/>
      <c r="DB22" s="51">
        <f t="shared" si="49"/>
        <v>6829.656322499999</v>
      </c>
      <c r="DC22" s="33">
        <f t="shared" si="50"/>
        <v>6829.656322499999</v>
      </c>
      <c r="DD22" s="20">
        <f t="shared" si="51"/>
        <v>1906.2526166000002</v>
      </c>
      <c r="DE22" s="20">
        <f t="shared" si="99"/>
        <v>1235.5817168</v>
      </c>
      <c r="DF22" s="33"/>
      <c r="DG22" s="51"/>
      <c r="DH22" s="51">
        <f t="shared" si="52"/>
        <v>11543.097555</v>
      </c>
      <c r="DI22" s="33">
        <f t="shared" si="53"/>
        <v>11543.097555</v>
      </c>
      <c r="DJ22" s="20">
        <f t="shared" si="54"/>
        <v>3221.8399988</v>
      </c>
      <c r="DK22" s="20">
        <f t="shared" si="101"/>
        <v>2088.3101024</v>
      </c>
      <c r="DL22" s="33"/>
      <c r="DM22" s="51"/>
      <c r="DN22" s="51">
        <f t="shared" si="55"/>
        <v>94954.60111500001</v>
      </c>
      <c r="DO22" s="33">
        <f t="shared" si="56"/>
        <v>94954.60111500001</v>
      </c>
      <c r="DP22" s="20">
        <f t="shared" si="57"/>
        <v>26503.1574484</v>
      </c>
      <c r="DQ22" s="20">
        <f t="shared" si="103"/>
        <v>17178.6344032</v>
      </c>
      <c r="DR22" s="33"/>
      <c r="DS22" s="51"/>
      <c r="DT22" s="51">
        <f t="shared" si="58"/>
        <v>1782.8353125</v>
      </c>
      <c r="DU22" s="33">
        <f t="shared" si="59"/>
        <v>1782.8353125</v>
      </c>
      <c r="DV22" s="20">
        <f t="shared" si="60"/>
        <v>497.614275</v>
      </c>
      <c r="DW22" s="20">
        <f t="shared" si="105"/>
        <v>322.5402</v>
      </c>
      <c r="DX22" s="33"/>
      <c r="DY22" s="51"/>
      <c r="DZ22" s="51">
        <f t="shared" si="61"/>
        <v>8496.55521</v>
      </c>
      <c r="EA22" s="33">
        <f t="shared" si="62"/>
        <v>8496.55521</v>
      </c>
      <c r="EB22" s="20">
        <f t="shared" si="63"/>
        <v>2371.5074136</v>
      </c>
      <c r="EC22" s="20">
        <f t="shared" si="107"/>
        <v>1537.1473727999999</v>
      </c>
      <c r="ED22" s="33"/>
      <c r="EE22" s="33"/>
      <c r="EF22" s="33">
        <f t="shared" si="64"/>
        <v>15299.604539999998</v>
      </c>
      <c r="EG22" s="33">
        <f t="shared" si="65"/>
        <v>15299.604539999998</v>
      </c>
      <c r="EH22" s="20">
        <f t="shared" si="66"/>
        <v>4270.3336464</v>
      </c>
      <c r="EI22" s="20">
        <f t="shared" si="109"/>
        <v>2767.9155072</v>
      </c>
      <c r="EJ22" s="33"/>
      <c r="EK22" s="51"/>
      <c r="EL22" s="51">
        <f t="shared" si="67"/>
        <v>15278.919479999999</v>
      </c>
      <c r="EM22" s="33">
        <f t="shared" si="68"/>
        <v>15278.919479999999</v>
      </c>
      <c r="EN22" s="20">
        <f t="shared" si="69"/>
        <v>4264.560156799999</v>
      </c>
      <c r="EO22" s="20">
        <f t="shared" si="111"/>
        <v>2764.1732863999996</v>
      </c>
      <c r="EP22" s="33"/>
      <c r="EQ22" s="33"/>
      <c r="ER22" s="33"/>
      <c r="ES22" s="33"/>
    </row>
    <row r="23" spans="1:149" s="53" customFormat="1" ht="12">
      <c r="A23" s="52">
        <v>44652</v>
      </c>
      <c r="C23" s="41">
        <v>4985000</v>
      </c>
      <c r="D23" s="41">
        <v>834075</v>
      </c>
      <c r="E23" s="35">
        <f t="shared" si="0"/>
        <v>5819075</v>
      </c>
      <c r="F23" s="35">
        <v>232802</v>
      </c>
      <c r="G23" s="35">
        <v>150896</v>
      </c>
      <c r="H23" s="51"/>
      <c r="I23" s="51">
        <v>505073.2209999999</v>
      </c>
      <c r="J23" s="51">
        <v>84507.31129499999</v>
      </c>
      <c r="K23" s="51">
        <f t="shared" si="1"/>
        <v>589580.5322949999</v>
      </c>
      <c r="L23" s="51">
        <v>23587.172717200003</v>
      </c>
      <c r="M23" s="51">
        <v>15288.5714656</v>
      </c>
      <c r="N23" s="51"/>
      <c r="O23" s="51">
        <f t="shared" si="2"/>
        <v>4479926.779</v>
      </c>
      <c r="P23" s="41">
        <f t="shared" si="3"/>
        <v>749567.6887049999</v>
      </c>
      <c r="Q23" s="33">
        <f t="shared" si="4"/>
        <v>5229494.467705</v>
      </c>
      <c r="R23" s="41">
        <f t="shared" si="5"/>
        <v>209214.82728279993</v>
      </c>
      <c r="S23" s="41">
        <f t="shared" si="6"/>
        <v>135607.42853440004</v>
      </c>
      <c r="T23" s="51"/>
      <c r="U23" s="65">
        <f t="shared" si="70"/>
        <v>1248013.693</v>
      </c>
      <c r="V23" s="65">
        <f t="shared" si="7"/>
        <v>208813.845735</v>
      </c>
      <c r="W23" s="20">
        <f t="shared" si="8"/>
        <v>1456827.538735</v>
      </c>
      <c r="X23" s="20">
        <f t="shared" si="9"/>
        <v>58282.8653476</v>
      </c>
      <c r="Y23" s="20">
        <f t="shared" si="71"/>
        <v>37777.3870048</v>
      </c>
      <c r="Z23" s="51"/>
      <c r="AA23" s="65">
        <f t="shared" si="72"/>
        <v>96290.26</v>
      </c>
      <c r="AB23" s="65">
        <f t="shared" si="10"/>
        <v>16110.9927</v>
      </c>
      <c r="AC23" s="20">
        <f t="shared" si="11"/>
        <v>112401.2527</v>
      </c>
      <c r="AD23" s="20">
        <f t="shared" si="12"/>
        <v>4496.803432</v>
      </c>
      <c r="AE23" s="20">
        <f t="shared" si="73"/>
        <v>2914.707136</v>
      </c>
      <c r="AF23" s="51"/>
      <c r="AG23" s="33">
        <f t="shared" si="74"/>
        <v>119266.125</v>
      </c>
      <c r="AH23" s="33">
        <f t="shared" si="13"/>
        <v>19955.244375</v>
      </c>
      <c r="AI23" s="33">
        <f t="shared" si="14"/>
        <v>139221.369375</v>
      </c>
      <c r="AJ23" s="20">
        <f t="shared" si="15"/>
        <v>5569.78785</v>
      </c>
      <c r="AK23" s="20">
        <f t="shared" si="75"/>
        <v>3610.1868</v>
      </c>
      <c r="AL23" s="51"/>
      <c r="AM23" s="65">
        <f t="shared" si="76"/>
        <v>59092.688500000004</v>
      </c>
      <c r="AN23" s="65">
        <f t="shared" si="16"/>
        <v>9887.2084575</v>
      </c>
      <c r="AO23" s="20">
        <f t="shared" si="17"/>
        <v>68979.89695750001</v>
      </c>
      <c r="AP23" s="20">
        <f t="shared" si="18"/>
        <v>2759.6581882</v>
      </c>
      <c r="AQ23" s="20">
        <f t="shared" si="77"/>
        <v>1788.7362736</v>
      </c>
      <c r="AR23" s="51"/>
      <c r="AS23" s="65">
        <f t="shared" si="78"/>
        <v>1077324.3020000001</v>
      </c>
      <c r="AT23" s="65">
        <f t="shared" si="19"/>
        <v>180254.61729</v>
      </c>
      <c r="AU23" s="20">
        <f t="shared" si="20"/>
        <v>1257578.91929</v>
      </c>
      <c r="AV23" s="20">
        <f t="shared" si="21"/>
        <v>50311.5851864</v>
      </c>
      <c r="AW23" s="20">
        <f t="shared" si="79"/>
        <v>32610.617427200003</v>
      </c>
      <c r="AX23" s="51"/>
      <c r="AY23" s="65">
        <f t="shared" si="80"/>
        <v>142060.03749999998</v>
      </c>
      <c r="AZ23" s="65">
        <f t="shared" si="22"/>
        <v>23769.052312499996</v>
      </c>
      <c r="BA23" s="20">
        <f t="shared" si="23"/>
        <v>165829.08981249997</v>
      </c>
      <c r="BB23" s="20">
        <f t="shared" si="24"/>
        <v>6634.274995</v>
      </c>
      <c r="BC23" s="20">
        <f t="shared" si="81"/>
        <v>4300.158759999999</v>
      </c>
      <c r="BD23" s="51"/>
      <c r="BE23" s="51">
        <f t="shared" si="82"/>
        <v>42138.205</v>
      </c>
      <c r="BF23" s="51">
        <f t="shared" si="25"/>
        <v>7050.435975</v>
      </c>
      <c r="BG23" s="33">
        <f t="shared" si="26"/>
        <v>49188.640975</v>
      </c>
      <c r="BH23" s="20">
        <f t="shared" si="27"/>
        <v>1967.8753060000001</v>
      </c>
      <c r="BI23" s="20">
        <f t="shared" si="83"/>
        <v>1275.5238880000002</v>
      </c>
      <c r="BJ23" s="51"/>
      <c r="BK23" s="33">
        <f t="shared" si="84"/>
        <v>18531.737500000003</v>
      </c>
      <c r="BL23" s="33">
        <f t="shared" si="28"/>
        <v>3100.6738125</v>
      </c>
      <c r="BM23" s="33">
        <f t="shared" si="29"/>
        <v>21632.411312500004</v>
      </c>
      <c r="BN23" s="20">
        <f t="shared" si="30"/>
        <v>865.441435</v>
      </c>
      <c r="BO23" s="20">
        <f t="shared" si="85"/>
        <v>560.95588</v>
      </c>
      <c r="BP23" s="51"/>
      <c r="BQ23" s="51">
        <f t="shared" si="86"/>
        <v>162406.8135</v>
      </c>
      <c r="BR23" s="51">
        <f t="shared" si="31"/>
        <v>27173.4128325</v>
      </c>
      <c r="BS23" s="33">
        <f t="shared" si="32"/>
        <v>189580.2263325</v>
      </c>
      <c r="BT23" s="20">
        <f t="shared" si="33"/>
        <v>7584.4796381999995</v>
      </c>
      <c r="BU23" s="20">
        <f t="shared" si="87"/>
        <v>4916.0558736</v>
      </c>
      <c r="BV23" s="51"/>
      <c r="BW23" s="51">
        <f t="shared" si="88"/>
        <v>12577.155000000002</v>
      </c>
      <c r="BX23" s="51">
        <f t="shared" si="34"/>
        <v>2104.3712250000003</v>
      </c>
      <c r="BY23" s="33">
        <f t="shared" si="35"/>
        <v>14681.526225000003</v>
      </c>
      <c r="BZ23" s="20">
        <f t="shared" si="36"/>
        <v>587.359446</v>
      </c>
      <c r="CA23" s="20">
        <f t="shared" si="89"/>
        <v>380.71060800000004</v>
      </c>
      <c r="CB23" s="51"/>
      <c r="CC23" s="51">
        <f t="shared" si="90"/>
        <v>541666.112</v>
      </c>
      <c r="CD23" s="51">
        <f t="shared" si="37"/>
        <v>90629.92224</v>
      </c>
      <c r="CE23" s="33">
        <f t="shared" si="38"/>
        <v>632296.03424</v>
      </c>
      <c r="CF23" s="20">
        <f t="shared" si="39"/>
        <v>25296.0790784</v>
      </c>
      <c r="CG23" s="20">
        <f t="shared" si="91"/>
        <v>16396.2386432</v>
      </c>
      <c r="CH23" s="51"/>
      <c r="CI23" s="51">
        <f t="shared" si="92"/>
        <v>23003.781000000003</v>
      </c>
      <c r="CJ23" s="51">
        <f t="shared" si="40"/>
        <v>3848.922495</v>
      </c>
      <c r="CK23" s="33">
        <f t="shared" si="41"/>
        <v>26852.703495</v>
      </c>
      <c r="CL23" s="20">
        <f t="shared" si="42"/>
        <v>1074.2881092</v>
      </c>
      <c r="CM23" s="20">
        <f t="shared" si="93"/>
        <v>696.3246816</v>
      </c>
      <c r="CN23" s="51"/>
      <c r="CO23" s="33">
        <f t="shared" si="94"/>
        <v>63.30950000000001</v>
      </c>
      <c r="CP23" s="33">
        <f t="shared" si="43"/>
        <v>10.592752500000001</v>
      </c>
      <c r="CQ23" s="33">
        <f t="shared" si="44"/>
        <v>73.9022525</v>
      </c>
      <c r="CR23" s="20">
        <f t="shared" si="45"/>
        <v>2.9565854000000003</v>
      </c>
      <c r="CS23" s="20">
        <f t="shared" si="95"/>
        <v>1.9163792</v>
      </c>
      <c r="CT23" s="51"/>
      <c r="CU23" s="51">
        <f t="shared" si="96"/>
        <v>15976.4265</v>
      </c>
      <c r="CV23" s="51">
        <f t="shared" si="46"/>
        <v>2673.1269675</v>
      </c>
      <c r="CW23" s="33">
        <f t="shared" si="47"/>
        <v>18649.553467499998</v>
      </c>
      <c r="CX23" s="20">
        <f t="shared" si="48"/>
        <v>746.1071298</v>
      </c>
      <c r="CY23" s="20">
        <f t="shared" si="97"/>
        <v>483.6065904</v>
      </c>
      <c r="CZ23" s="51"/>
      <c r="DA23" s="51">
        <f t="shared" si="98"/>
        <v>40818.6755</v>
      </c>
      <c r="DB23" s="51">
        <f t="shared" si="49"/>
        <v>6829.656322499999</v>
      </c>
      <c r="DC23" s="33">
        <f t="shared" si="50"/>
        <v>47648.3318225</v>
      </c>
      <c r="DD23" s="20">
        <f t="shared" si="51"/>
        <v>1906.2526166000002</v>
      </c>
      <c r="DE23" s="20">
        <f t="shared" si="99"/>
        <v>1235.5817168</v>
      </c>
      <c r="DF23" s="51"/>
      <c r="DG23" s="51">
        <f t="shared" si="100"/>
        <v>68989.409</v>
      </c>
      <c r="DH23" s="51">
        <f t="shared" si="52"/>
        <v>11543.097555</v>
      </c>
      <c r="DI23" s="33">
        <f t="shared" si="53"/>
        <v>80532.506555</v>
      </c>
      <c r="DJ23" s="20">
        <f t="shared" si="54"/>
        <v>3221.8399988</v>
      </c>
      <c r="DK23" s="20">
        <f t="shared" si="101"/>
        <v>2088.3101024</v>
      </c>
      <c r="DL23" s="51"/>
      <c r="DM23" s="51">
        <f t="shared" si="102"/>
        <v>567513.337</v>
      </c>
      <c r="DN23" s="51">
        <f t="shared" si="55"/>
        <v>94954.60111500001</v>
      </c>
      <c r="DO23" s="33">
        <f t="shared" si="56"/>
        <v>662467.938115</v>
      </c>
      <c r="DP23" s="20">
        <f t="shared" si="57"/>
        <v>26503.1574484</v>
      </c>
      <c r="DQ23" s="20">
        <f t="shared" si="103"/>
        <v>17178.6344032</v>
      </c>
      <c r="DR23" s="51"/>
      <c r="DS23" s="51">
        <f t="shared" si="104"/>
        <v>10655.4375</v>
      </c>
      <c r="DT23" s="51">
        <f t="shared" si="58"/>
        <v>1782.8353125</v>
      </c>
      <c r="DU23" s="33">
        <f t="shared" si="59"/>
        <v>12438.2728125</v>
      </c>
      <c r="DV23" s="20">
        <f t="shared" si="60"/>
        <v>497.614275</v>
      </c>
      <c r="DW23" s="20">
        <f t="shared" si="105"/>
        <v>322.5402</v>
      </c>
      <c r="DX23" s="51"/>
      <c r="DY23" s="51">
        <f t="shared" si="106"/>
        <v>50781.198</v>
      </c>
      <c r="DZ23" s="51">
        <f t="shared" si="61"/>
        <v>8496.55521</v>
      </c>
      <c r="EA23" s="33">
        <f t="shared" si="62"/>
        <v>59277.753209999995</v>
      </c>
      <c r="EB23" s="20">
        <f t="shared" si="63"/>
        <v>2371.5074136</v>
      </c>
      <c r="EC23" s="20">
        <f t="shared" si="107"/>
        <v>1537.1473727999999</v>
      </c>
      <c r="ED23" s="33"/>
      <c r="EE23" s="33">
        <f t="shared" si="108"/>
        <v>91440.852</v>
      </c>
      <c r="EF23" s="33">
        <f t="shared" si="64"/>
        <v>15299.604539999998</v>
      </c>
      <c r="EG23" s="33">
        <f t="shared" si="65"/>
        <v>106740.45654</v>
      </c>
      <c r="EH23" s="20">
        <f t="shared" si="66"/>
        <v>4270.3336464</v>
      </c>
      <c r="EI23" s="20">
        <f t="shared" si="109"/>
        <v>2767.9155072</v>
      </c>
      <c r="EJ23" s="51"/>
      <c r="EK23" s="51">
        <f t="shared" si="110"/>
        <v>91317.224</v>
      </c>
      <c r="EL23" s="51">
        <f t="shared" si="67"/>
        <v>15278.919479999999</v>
      </c>
      <c r="EM23" s="33">
        <f t="shared" si="68"/>
        <v>106596.14348</v>
      </c>
      <c r="EN23" s="20">
        <f t="shared" si="69"/>
        <v>4264.560156799999</v>
      </c>
      <c r="EO23" s="20">
        <f t="shared" si="111"/>
        <v>2764.1732863999996</v>
      </c>
      <c r="EP23" s="51"/>
      <c r="EQ23" s="33"/>
      <c r="ER23" s="33"/>
      <c r="ES23" s="33"/>
    </row>
    <row r="24" spans="1:149" s="53" customFormat="1" ht="12">
      <c r="A24" s="52">
        <v>44835</v>
      </c>
      <c r="C24" s="41"/>
      <c r="D24" s="41">
        <v>709450</v>
      </c>
      <c r="E24" s="35">
        <f t="shared" si="0"/>
        <v>709450</v>
      </c>
      <c r="F24" s="35">
        <v>232802</v>
      </c>
      <c r="G24" s="35">
        <v>150896</v>
      </c>
      <c r="H24" s="51"/>
      <c r="I24" s="51"/>
      <c r="J24" s="51">
        <v>71880.48076999998</v>
      </c>
      <c r="K24" s="51">
        <f t="shared" si="1"/>
        <v>71880.48076999998</v>
      </c>
      <c r="L24" s="51">
        <v>23587.172717200003</v>
      </c>
      <c r="M24" s="51">
        <v>15288.5714656</v>
      </c>
      <c r="N24" s="51"/>
      <c r="O24" s="51">
        <f t="shared" si="2"/>
        <v>0</v>
      </c>
      <c r="P24" s="41">
        <f t="shared" si="3"/>
        <v>637569.5192299999</v>
      </c>
      <c r="Q24" s="33">
        <f t="shared" si="4"/>
        <v>637569.5192299999</v>
      </c>
      <c r="R24" s="41">
        <f t="shared" si="5"/>
        <v>209214.82728279993</v>
      </c>
      <c r="S24" s="41">
        <f t="shared" si="6"/>
        <v>135607.42853440004</v>
      </c>
      <c r="T24" s="51"/>
      <c r="U24" s="65"/>
      <c r="V24" s="65">
        <f t="shared" si="7"/>
        <v>177613.50340999998</v>
      </c>
      <c r="W24" s="20">
        <f t="shared" si="8"/>
        <v>177613.50340999998</v>
      </c>
      <c r="X24" s="20">
        <f t="shared" si="9"/>
        <v>58282.8653476</v>
      </c>
      <c r="Y24" s="20">
        <f t="shared" si="71"/>
        <v>37777.3870048</v>
      </c>
      <c r="Z24" s="51"/>
      <c r="AA24" s="65"/>
      <c r="AB24" s="65">
        <f t="shared" si="10"/>
        <v>13703.7362</v>
      </c>
      <c r="AC24" s="20">
        <f t="shared" si="11"/>
        <v>13703.7362</v>
      </c>
      <c r="AD24" s="20">
        <f t="shared" si="12"/>
        <v>4496.803432</v>
      </c>
      <c r="AE24" s="20">
        <f t="shared" si="73"/>
        <v>2914.707136</v>
      </c>
      <c r="AF24" s="51"/>
      <c r="AG24" s="33"/>
      <c r="AH24" s="33">
        <f t="shared" si="13"/>
        <v>16973.59125</v>
      </c>
      <c r="AI24" s="33">
        <f t="shared" si="14"/>
        <v>16973.59125</v>
      </c>
      <c r="AJ24" s="20">
        <f t="shared" si="15"/>
        <v>5569.78785</v>
      </c>
      <c r="AK24" s="20">
        <f t="shared" si="75"/>
        <v>3610.1868</v>
      </c>
      <c r="AL24" s="51"/>
      <c r="AM24" s="65"/>
      <c r="AN24" s="65">
        <f t="shared" si="16"/>
        <v>8409.891245</v>
      </c>
      <c r="AO24" s="20">
        <f t="shared" si="17"/>
        <v>8409.891245</v>
      </c>
      <c r="AP24" s="20">
        <f t="shared" si="18"/>
        <v>2759.6581882</v>
      </c>
      <c r="AQ24" s="20">
        <f t="shared" si="77"/>
        <v>1788.7362736</v>
      </c>
      <c r="AR24" s="51"/>
      <c r="AS24" s="65"/>
      <c r="AT24" s="65">
        <f t="shared" si="19"/>
        <v>153321.50974</v>
      </c>
      <c r="AU24" s="20">
        <f t="shared" si="20"/>
        <v>153321.50974</v>
      </c>
      <c r="AV24" s="20">
        <f t="shared" si="21"/>
        <v>50311.5851864</v>
      </c>
      <c r="AW24" s="20">
        <f t="shared" si="79"/>
        <v>32610.617427200003</v>
      </c>
      <c r="AX24" s="51"/>
      <c r="AY24" s="65"/>
      <c r="AZ24" s="65">
        <f t="shared" si="22"/>
        <v>20217.551375</v>
      </c>
      <c r="BA24" s="20">
        <f t="shared" si="23"/>
        <v>20217.551375</v>
      </c>
      <c r="BB24" s="20">
        <f t="shared" si="24"/>
        <v>6634.274995</v>
      </c>
      <c r="BC24" s="20">
        <f t="shared" si="81"/>
        <v>4300.158759999999</v>
      </c>
      <c r="BD24" s="51"/>
      <c r="BE24" s="51"/>
      <c r="BF24" s="51">
        <f t="shared" si="25"/>
        <v>5996.980850000001</v>
      </c>
      <c r="BG24" s="33">
        <f t="shared" si="26"/>
        <v>5996.980850000001</v>
      </c>
      <c r="BH24" s="20">
        <f t="shared" si="27"/>
        <v>1967.8753060000001</v>
      </c>
      <c r="BI24" s="20">
        <f t="shared" si="83"/>
        <v>1275.5238880000002</v>
      </c>
      <c r="BJ24" s="51"/>
      <c r="BK24" s="33"/>
      <c r="BL24" s="33">
        <f t="shared" si="28"/>
        <v>2637.380375</v>
      </c>
      <c r="BM24" s="33">
        <f t="shared" si="29"/>
        <v>2637.380375</v>
      </c>
      <c r="BN24" s="20">
        <f t="shared" si="30"/>
        <v>865.441435</v>
      </c>
      <c r="BO24" s="20">
        <f t="shared" si="85"/>
        <v>560.95588</v>
      </c>
      <c r="BP24" s="51"/>
      <c r="BQ24" s="51"/>
      <c r="BR24" s="51">
        <f t="shared" si="31"/>
        <v>23113.242495</v>
      </c>
      <c r="BS24" s="33">
        <f t="shared" si="32"/>
        <v>23113.242495</v>
      </c>
      <c r="BT24" s="20">
        <f t="shared" si="33"/>
        <v>7584.4796381999995</v>
      </c>
      <c r="BU24" s="20">
        <f t="shared" si="87"/>
        <v>4916.0558736</v>
      </c>
      <c r="BV24" s="51"/>
      <c r="BW24" s="51"/>
      <c r="BX24" s="51">
        <f t="shared" si="34"/>
        <v>1789.9423500000003</v>
      </c>
      <c r="BY24" s="33">
        <f t="shared" si="35"/>
        <v>1789.9423500000003</v>
      </c>
      <c r="BZ24" s="20">
        <f t="shared" si="36"/>
        <v>587.359446</v>
      </c>
      <c r="CA24" s="20">
        <f t="shared" si="89"/>
        <v>380.71060800000004</v>
      </c>
      <c r="CB24" s="51"/>
      <c r="CC24" s="51"/>
      <c r="CD24" s="51">
        <f t="shared" si="37"/>
        <v>77088.26943999999</v>
      </c>
      <c r="CE24" s="33">
        <f t="shared" si="38"/>
        <v>77088.26943999999</v>
      </c>
      <c r="CF24" s="20">
        <f t="shared" si="39"/>
        <v>25296.0790784</v>
      </c>
      <c r="CG24" s="20">
        <f t="shared" si="91"/>
        <v>16396.2386432</v>
      </c>
      <c r="CH24" s="51"/>
      <c r="CI24" s="51"/>
      <c r="CJ24" s="51">
        <f t="shared" si="40"/>
        <v>3273.82797</v>
      </c>
      <c r="CK24" s="33">
        <f t="shared" si="41"/>
        <v>3273.82797</v>
      </c>
      <c r="CL24" s="20">
        <f t="shared" si="42"/>
        <v>1074.2881092</v>
      </c>
      <c r="CM24" s="20">
        <f t="shared" si="93"/>
        <v>696.3246816</v>
      </c>
      <c r="CN24" s="51"/>
      <c r="CO24" s="33"/>
      <c r="CP24" s="33">
        <f t="shared" si="43"/>
        <v>9.010015000000001</v>
      </c>
      <c r="CQ24" s="33">
        <f t="shared" si="44"/>
        <v>9.010015000000001</v>
      </c>
      <c r="CR24" s="20">
        <f t="shared" si="45"/>
        <v>2.9565854000000003</v>
      </c>
      <c r="CS24" s="20">
        <f t="shared" si="95"/>
        <v>1.9163792</v>
      </c>
      <c r="CT24" s="51"/>
      <c r="CU24" s="51"/>
      <c r="CV24" s="51">
        <f t="shared" si="46"/>
        <v>2273.716305</v>
      </c>
      <c r="CW24" s="33">
        <f t="shared" si="47"/>
        <v>2273.716305</v>
      </c>
      <c r="CX24" s="20">
        <f t="shared" si="48"/>
        <v>746.1071298</v>
      </c>
      <c r="CY24" s="20">
        <f t="shared" si="97"/>
        <v>483.6065904</v>
      </c>
      <c r="CZ24" s="51"/>
      <c r="DA24" s="51"/>
      <c r="DB24" s="51">
        <f t="shared" si="49"/>
        <v>5809.189434999999</v>
      </c>
      <c r="DC24" s="33">
        <f t="shared" si="50"/>
        <v>5809.189434999999</v>
      </c>
      <c r="DD24" s="20">
        <f t="shared" si="51"/>
        <v>1906.2526166000002</v>
      </c>
      <c r="DE24" s="20">
        <f t="shared" si="99"/>
        <v>1235.5817168</v>
      </c>
      <c r="DF24" s="51"/>
      <c r="DG24" s="51"/>
      <c r="DH24" s="51">
        <f t="shared" si="52"/>
        <v>9818.36233</v>
      </c>
      <c r="DI24" s="33">
        <f t="shared" si="53"/>
        <v>9818.36233</v>
      </c>
      <c r="DJ24" s="20">
        <f t="shared" si="54"/>
        <v>3221.8399988</v>
      </c>
      <c r="DK24" s="20">
        <f t="shared" si="101"/>
        <v>2088.3101024</v>
      </c>
      <c r="DL24" s="51"/>
      <c r="DM24" s="51"/>
      <c r="DN24" s="51">
        <f t="shared" si="55"/>
        <v>80766.76769000001</v>
      </c>
      <c r="DO24" s="33">
        <f t="shared" si="56"/>
        <v>80766.76769000001</v>
      </c>
      <c r="DP24" s="20">
        <f t="shared" si="57"/>
        <v>26503.1574484</v>
      </c>
      <c r="DQ24" s="20">
        <f t="shared" si="103"/>
        <v>17178.6344032</v>
      </c>
      <c r="DR24" s="51"/>
      <c r="DS24" s="51"/>
      <c r="DT24" s="51">
        <f t="shared" si="58"/>
        <v>1516.449375</v>
      </c>
      <c r="DU24" s="33">
        <f t="shared" si="59"/>
        <v>1516.449375</v>
      </c>
      <c r="DV24" s="20">
        <f t="shared" si="60"/>
        <v>497.614275</v>
      </c>
      <c r="DW24" s="20">
        <f t="shared" si="105"/>
        <v>322.5402</v>
      </c>
      <c r="DX24" s="51"/>
      <c r="DY24" s="51"/>
      <c r="DZ24" s="51">
        <f t="shared" si="61"/>
        <v>7227.02526</v>
      </c>
      <c r="EA24" s="33">
        <f t="shared" si="62"/>
        <v>7227.02526</v>
      </c>
      <c r="EB24" s="20">
        <f t="shared" si="63"/>
        <v>2371.5074136</v>
      </c>
      <c r="EC24" s="20">
        <f t="shared" si="107"/>
        <v>1537.1473727999999</v>
      </c>
      <c r="ED24" s="33"/>
      <c r="EE24" s="33"/>
      <c r="EF24" s="33">
        <f t="shared" si="64"/>
        <v>13013.58324</v>
      </c>
      <c r="EG24" s="33">
        <f t="shared" si="65"/>
        <v>13013.58324</v>
      </c>
      <c r="EH24" s="20">
        <f t="shared" si="66"/>
        <v>4270.3336464</v>
      </c>
      <c r="EI24" s="20">
        <f t="shared" si="109"/>
        <v>2767.9155072</v>
      </c>
      <c r="EJ24" s="51"/>
      <c r="EK24" s="51"/>
      <c r="EL24" s="51">
        <f t="shared" si="67"/>
        <v>12995.98888</v>
      </c>
      <c r="EM24" s="33">
        <f t="shared" si="68"/>
        <v>12995.98888</v>
      </c>
      <c r="EN24" s="20">
        <f t="shared" si="69"/>
        <v>4264.560156799999</v>
      </c>
      <c r="EO24" s="20">
        <f t="shared" si="111"/>
        <v>2764.1732863999996</v>
      </c>
      <c r="EP24" s="51"/>
      <c r="EQ24" s="33"/>
      <c r="ER24" s="33"/>
      <c r="ES24" s="33"/>
    </row>
    <row r="25" spans="1:149" s="53" customFormat="1" ht="12">
      <c r="A25" s="52">
        <v>45017</v>
      </c>
      <c r="C25" s="41">
        <v>5230000</v>
      </c>
      <c r="D25" s="41">
        <v>709450</v>
      </c>
      <c r="E25" s="35">
        <f t="shared" si="0"/>
        <v>5939450</v>
      </c>
      <c r="F25" s="35">
        <v>232802</v>
      </c>
      <c r="G25" s="35">
        <v>150896</v>
      </c>
      <c r="H25" s="51"/>
      <c r="I25" s="51">
        <v>529896.278</v>
      </c>
      <c r="J25" s="51">
        <v>71880.48076999998</v>
      </c>
      <c r="K25" s="51">
        <f t="shared" si="1"/>
        <v>601776.7587700001</v>
      </c>
      <c r="L25" s="51">
        <v>23587.172717200003</v>
      </c>
      <c r="M25" s="51">
        <v>15288.5714656</v>
      </c>
      <c r="N25" s="51"/>
      <c r="O25" s="51">
        <f t="shared" si="2"/>
        <v>4700103.721999998</v>
      </c>
      <c r="P25" s="41">
        <f t="shared" si="3"/>
        <v>637569.5192299999</v>
      </c>
      <c r="Q25" s="33">
        <f t="shared" si="4"/>
        <v>5337673.241229998</v>
      </c>
      <c r="R25" s="41">
        <f t="shared" si="5"/>
        <v>209214.82728279993</v>
      </c>
      <c r="S25" s="41">
        <f t="shared" si="6"/>
        <v>135607.42853440004</v>
      </c>
      <c r="T25" s="51"/>
      <c r="U25" s="65">
        <f t="shared" si="70"/>
        <v>1309350.374</v>
      </c>
      <c r="V25" s="65">
        <f t="shared" si="7"/>
        <v>177613.50340999998</v>
      </c>
      <c r="W25" s="20">
        <f t="shared" si="8"/>
        <v>1486963.87741</v>
      </c>
      <c r="X25" s="20">
        <f t="shared" si="9"/>
        <v>58282.8653476</v>
      </c>
      <c r="Y25" s="20">
        <f t="shared" si="71"/>
        <v>37777.3870048</v>
      </c>
      <c r="Z25" s="51"/>
      <c r="AA25" s="65">
        <f t="shared" si="72"/>
        <v>101022.68</v>
      </c>
      <c r="AB25" s="65">
        <f t="shared" si="10"/>
        <v>13703.7362</v>
      </c>
      <c r="AC25" s="20">
        <f t="shared" si="11"/>
        <v>114726.41619999999</v>
      </c>
      <c r="AD25" s="20">
        <f t="shared" si="12"/>
        <v>4496.803432</v>
      </c>
      <c r="AE25" s="20">
        <f t="shared" si="73"/>
        <v>2914.707136</v>
      </c>
      <c r="AF25" s="51"/>
      <c r="AG25" s="33">
        <f t="shared" si="74"/>
        <v>125127.75</v>
      </c>
      <c r="AH25" s="33">
        <f t="shared" si="13"/>
        <v>16973.59125</v>
      </c>
      <c r="AI25" s="33">
        <f t="shared" si="14"/>
        <v>142101.34125</v>
      </c>
      <c r="AJ25" s="20">
        <f t="shared" si="15"/>
        <v>5569.78785</v>
      </c>
      <c r="AK25" s="20">
        <f t="shared" si="75"/>
        <v>3610.1868</v>
      </c>
      <c r="AL25" s="51"/>
      <c r="AM25" s="65">
        <f t="shared" si="76"/>
        <v>61996.94300000001</v>
      </c>
      <c r="AN25" s="65">
        <f t="shared" si="16"/>
        <v>8409.891245</v>
      </c>
      <c r="AO25" s="20">
        <f t="shared" si="17"/>
        <v>70406.834245</v>
      </c>
      <c r="AP25" s="20">
        <f t="shared" si="18"/>
        <v>2759.6581882</v>
      </c>
      <c r="AQ25" s="20">
        <f t="shared" si="77"/>
        <v>1788.7362736</v>
      </c>
      <c r="AR25" s="51"/>
      <c r="AS25" s="65">
        <f t="shared" si="78"/>
        <v>1130272.0359999998</v>
      </c>
      <c r="AT25" s="65">
        <f t="shared" si="19"/>
        <v>153321.50974</v>
      </c>
      <c r="AU25" s="20">
        <f t="shared" si="20"/>
        <v>1283593.54574</v>
      </c>
      <c r="AV25" s="20">
        <f t="shared" si="21"/>
        <v>50311.5851864</v>
      </c>
      <c r="AW25" s="20">
        <f t="shared" si="79"/>
        <v>32610.617427200003</v>
      </c>
      <c r="AX25" s="51"/>
      <c r="AY25" s="65">
        <f t="shared" si="80"/>
        <v>149041.925</v>
      </c>
      <c r="AZ25" s="65">
        <f t="shared" si="22"/>
        <v>20217.551375</v>
      </c>
      <c r="BA25" s="20">
        <f t="shared" si="23"/>
        <v>169259.476375</v>
      </c>
      <c r="BB25" s="20">
        <f t="shared" si="24"/>
        <v>6634.274995</v>
      </c>
      <c r="BC25" s="20">
        <f t="shared" si="81"/>
        <v>4300.158759999999</v>
      </c>
      <c r="BD25" s="51"/>
      <c r="BE25" s="51">
        <f t="shared" si="82"/>
        <v>44209.19</v>
      </c>
      <c r="BF25" s="51">
        <f t="shared" si="25"/>
        <v>5996.980850000001</v>
      </c>
      <c r="BG25" s="33">
        <f t="shared" si="26"/>
        <v>50206.17085</v>
      </c>
      <c r="BH25" s="20">
        <f t="shared" si="27"/>
        <v>1967.8753060000001</v>
      </c>
      <c r="BI25" s="20">
        <f t="shared" si="83"/>
        <v>1275.5238880000002</v>
      </c>
      <c r="BJ25" s="51"/>
      <c r="BK25" s="33">
        <f t="shared" si="84"/>
        <v>19442.525</v>
      </c>
      <c r="BL25" s="33">
        <f t="shared" si="28"/>
        <v>2637.380375</v>
      </c>
      <c r="BM25" s="33">
        <f t="shared" si="29"/>
        <v>22079.905375000002</v>
      </c>
      <c r="BN25" s="20">
        <f t="shared" si="30"/>
        <v>865.441435</v>
      </c>
      <c r="BO25" s="20">
        <f t="shared" si="85"/>
        <v>560.95588</v>
      </c>
      <c r="BP25" s="51"/>
      <c r="BQ25" s="51">
        <f t="shared" si="86"/>
        <v>170388.693</v>
      </c>
      <c r="BR25" s="51">
        <f t="shared" si="31"/>
        <v>23113.242495</v>
      </c>
      <c r="BS25" s="33">
        <f t="shared" si="32"/>
        <v>193501.93549499998</v>
      </c>
      <c r="BT25" s="20">
        <f t="shared" si="33"/>
        <v>7584.4796381999995</v>
      </c>
      <c r="BU25" s="20">
        <f t="shared" si="87"/>
        <v>4916.0558736</v>
      </c>
      <c r="BV25" s="51"/>
      <c r="BW25" s="51">
        <f t="shared" si="88"/>
        <v>13195.290000000003</v>
      </c>
      <c r="BX25" s="51">
        <f t="shared" si="34"/>
        <v>1789.9423500000003</v>
      </c>
      <c r="BY25" s="33">
        <f t="shared" si="35"/>
        <v>14985.232350000002</v>
      </c>
      <c r="BZ25" s="20">
        <f t="shared" si="36"/>
        <v>587.359446</v>
      </c>
      <c r="CA25" s="20">
        <f t="shared" si="89"/>
        <v>380.71060800000004</v>
      </c>
      <c r="CB25" s="51"/>
      <c r="CC25" s="51">
        <f t="shared" si="90"/>
        <v>568287.6159999999</v>
      </c>
      <c r="CD25" s="51">
        <f t="shared" si="37"/>
        <v>77088.26943999999</v>
      </c>
      <c r="CE25" s="33">
        <f t="shared" si="38"/>
        <v>645375.8854399999</v>
      </c>
      <c r="CF25" s="20">
        <f t="shared" si="39"/>
        <v>25296.0790784</v>
      </c>
      <c r="CG25" s="20">
        <f t="shared" si="91"/>
        <v>16396.2386432</v>
      </c>
      <c r="CH25" s="51"/>
      <c r="CI25" s="51">
        <f t="shared" si="92"/>
        <v>24134.357999999997</v>
      </c>
      <c r="CJ25" s="51">
        <f t="shared" si="40"/>
        <v>3273.82797</v>
      </c>
      <c r="CK25" s="33">
        <f t="shared" si="41"/>
        <v>27408.185969999995</v>
      </c>
      <c r="CL25" s="20">
        <f t="shared" si="42"/>
        <v>1074.2881092</v>
      </c>
      <c r="CM25" s="20">
        <f t="shared" si="93"/>
        <v>696.3246816</v>
      </c>
      <c r="CN25" s="51"/>
      <c r="CO25" s="33">
        <f t="shared" si="94"/>
        <v>66.421</v>
      </c>
      <c r="CP25" s="33">
        <f t="shared" si="43"/>
        <v>9.010015000000001</v>
      </c>
      <c r="CQ25" s="33">
        <f t="shared" si="44"/>
        <v>75.431015</v>
      </c>
      <c r="CR25" s="20">
        <f t="shared" si="45"/>
        <v>2.9565854000000003</v>
      </c>
      <c r="CS25" s="20">
        <f t="shared" si="95"/>
        <v>1.9163792</v>
      </c>
      <c r="CT25" s="51"/>
      <c r="CU25" s="51">
        <f t="shared" si="96"/>
        <v>16761.627</v>
      </c>
      <c r="CV25" s="51">
        <f t="shared" si="46"/>
        <v>2273.716305</v>
      </c>
      <c r="CW25" s="33">
        <f t="shared" si="47"/>
        <v>19035.343305000002</v>
      </c>
      <c r="CX25" s="20">
        <f t="shared" si="48"/>
        <v>746.1071298</v>
      </c>
      <c r="CY25" s="20">
        <f t="shared" si="97"/>
        <v>483.6065904</v>
      </c>
      <c r="CZ25" s="51"/>
      <c r="DA25" s="51">
        <f t="shared" si="98"/>
        <v>42824.808999999994</v>
      </c>
      <c r="DB25" s="51">
        <f t="shared" si="49"/>
        <v>5809.189434999999</v>
      </c>
      <c r="DC25" s="33">
        <f t="shared" si="50"/>
        <v>48633.998434999994</v>
      </c>
      <c r="DD25" s="20">
        <f t="shared" si="51"/>
        <v>1906.2526166000002</v>
      </c>
      <c r="DE25" s="20">
        <f t="shared" si="99"/>
        <v>1235.5817168</v>
      </c>
      <c r="DF25" s="51"/>
      <c r="DG25" s="51">
        <f t="shared" si="100"/>
        <v>72380.062</v>
      </c>
      <c r="DH25" s="51">
        <f t="shared" si="52"/>
        <v>9818.36233</v>
      </c>
      <c r="DI25" s="33">
        <f t="shared" si="53"/>
        <v>82198.42433000001</v>
      </c>
      <c r="DJ25" s="20">
        <f t="shared" si="54"/>
        <v>3221.8399988</v>
      </c>
      <c r="DK25" s="20">
        <f t="shared" si="101"/>
        <v>2088.3101024</v>
      </c>
      <c r="DL25" s="51"/>
      <c r="DM25" s="51">
        <f t="shared" si="102"/>
        <v>595405.166</v>
      </c>
      <c r="DN25" s="51">
        <f t="shared" si="55"/>
        <v>80766.76769000001</v>
      </c>
      <c r="DO25" s="33">
        <f t="shared" si="56"/>
        <v>676171.93369</v>
      </c>
      <c r="DP25" s="20">
        <f t="shared" si="57"/>
        <v>26503.1574484</v>
      </c>
      <c r="DQ25" s="20">
        <f t="shared" si="103"/>
        <v>17178.6344032</v>
      </c>
      <c r="DR25" s="51"/>
      <c r="DS25" s="51">
        <f t="shared" si="104"/>
        <v>11179.125</v>
      </c>
      <c r="DT25" s="51">
        <f t="shared" si="58"/>
        <v>1516.449375</v>
      </c>
      <c r="DU25" s="33">
        <f t="shared" si="59"/>
        <v>12695.574375</v>
      </c>
      <c r="DV25" s="20">
        <f t="shared" si="60"/>
        <v>497.614275</v>
      </c>
      <c r="DW25" s="20">
        <f t="shared" si="105"/>
        <v>322.5402</v>
      </c>
      <c r="DX25" s="51"/>
      <c r="DY25" s="51">
        <f t="shared" si="106"/>
        <v>53276.96400000001</v>
      </c>
      <c r="DZ25" s="51">
        <f t="shared" si="61"/>
        <v>7227.02526</v>
      </c>
      <c r="EA25" s="33">
        <f t="shared" si="62"/>
        <v>60503.98926000001</v>
      </c>
      <c r="EB25" s="20">
        <f t="shared" si="63"/>
        <v>2371.5074136</v>
      </c>
      <c r="EC25" s="20">
        <f t="shared" si="107"/>
        <v>1537.1473727999999</v>
      </c>
      <c r="ED25" s="33"/>
      <c r="EE25" s="33">
        <f t="shared" si="108"/>
        <v>95934.936</v>
      </c>
      <c r="EF25" s="33">
        <f t="shared" si="64"/>
        <v>13013.58324</v>
      </c>
      <c r="EG25" s="33">
        <f t="shared" si="65"/>
        <v>108948.51924</v>
      </c>
      <c r="EH25" s="20">
        <f t="shared" si="66"/>
        <v>4270.3336464</v>
      </c>
      <c r="EI25" s="20">
        <f t="shared" si="109"/>
        <v>2767.9155072</v>
      </c>
      <c r="EJ25" s="51"/>
      <c r="EK25" s="51">
        <f t="shared" si="110"/>
        <v>95805.23199999999</v>
      </c>
      <c r="EL25" s="51">
        <f t="shared" si="67"/>
        <v>12995.98888</v>
      </c>
      <c r="EM25" s="33">
        <f t="shared" si="68"/>
        <v>108801.22088</v>
      </c>
      <c r="EN25" s="20">
        <f t="shared" si="69"/>
        <v>4264.560156799999</v>
      </c>
      <c r="EO25" s="20">
        <f t="shared" si="111"/>
        <v>2764.1732863999996</v>
      </c>
      <c r="EP25" s="51"/>
      <c r="EQ25" s="33"/>
      <c r="ER25" s="33"/>
      <c r="ES25" s="33"/>
    </row>
    <row r="26" spans="1:149" s="53" customFormat="1" ht="12">
      <c r="A26" s="52">
        <v>45200</v>
      </c>
      <c r="C26" s="41"/>
      <c r="D26" s="41">
        <v>578700</v>
      </c>
      <c r="E26" s="35">
        <f t="shared" si="0"/>
        <v>578700</v>
      </c>
      <c r="F26" s="35">
        <v>232802</v>
      </c>
      <c r="G26" s="35">
        <v>150896</v>
      </c>
      <c r="H26" s="51"/>
      <c r="I26" s="51"/>
      <c r="J26" s="51">
        <v>58633.07381999999</v>
      </c>
      <c r="K26" s="51">
        <f t="shared" si="1"/>
        <v>58633.07381999999</v>
      </c>
      <c r="L26" s="51">
        <v>23587.172717200003</v>
      </c>
      <c r="M26" s="51">
        <v>15288.5714656</v>
      </c>
      <c r="N26" s="51"/>
      <c r="O26" s="51">
        <f t="shared" si="2"/>
        <v>0</v>
      </c>
      <c r="P26" s="41">
        <f t="shared" si="3"/>
        <v>520066.92618</v>
      </c>
      <c r="Q26" s="33">
        <f t="shared" si="4"/>
        <v>520066.92618</v>
      </c>
      <c r="R26" s="41">
        <f t="shared" si="5"/>
        <v>209214.82728279993</v>
      </c>
      <c r="S26" s="41">
        <f t="shared" si="6"/>
        <v>135607.42853440004</v>
      </c>
      <c r="T26" s="51"/>
      <c r="U26" s="65"/>
      <c r="V26" s="65">
        <f t="shared" si="7"/>
        <v>144879.74406</v>
      </c>
      <c r="W26" s="20">
        <f t="shared" si="8"/>
        <v>144879.74406</v>
      </c>
      <c r="X26" s="20">
        <f t="shared" si="9"/>
        <v>58282.8653476</v>
      </c>
      <c r="Y26" s="20">
        <f t="shared" si="71"/>
        <v>37777.3870048</v>
      </c>
      <c r="Z26" s="51"/>
      <c r="AA26" s="65"/>
      <c r="AB26" s="65">
        <f t="shared" si="10"/>
        <v>11178.169199999998</v>
      </c>
      <c r="AC26" s="20">
        <f t="shared" si="11"/>
        <v>11178.169199999998</v>
      </c>
      <c r="AD26" s="20">
        <f t="shared" si="12"/>
        <v>4496.803432</v>
      </c>
      <c r="AE26" s="20">
        <f t="shared" si="73"/>
        <v>2914.707136</v>
      </c>
      <c r="AF26" s="51"/>
      <c r="AG26" s="33"/>
      <c r="AH26" s="33">
        <f t="shared" si="13"/>
        <v>13845.3975</v>
      </c>
      <c r="AI26" s="33">
        <f t="shared" si="14"/>
        <v>13845.3975</v>
      </c>
      <c r="AJ26" s="20">
        <f t="shared" si="15"/>
        <v>5569.78785</v>
      </c>
      <c r="AK26" s="20">
        <f t="shared" si="75"/>
        <v>3610.1868</v>
      </c>
      <c r="AL26" s="51"/>
      <c r="AM26" s="65"/>
      <c r="AN26" s="65">
        <f t="shared" si="16"/>
        <v>6859.96767</v>
      </c>
      <c r="AO26" s="20">
        <f t="shared" si="17"/>
        <v>6859.96767</v>
      </c>
      <c r="AP26" s="20">
        <f t="shared" si="18"/>
        <v>2759.6581882</v>
      </c>
      <c r="AQ26" s="20">
        <f t="shared" si="77"/>
        <v>1788.7362736</v>
      </c>
      <c r="AR26" s="51"/>
      <c r="AS26" s="65"/>
      <c r="AT26" s="65">
        <f t="shared" si="19"/>
        <v>125064.70883999999</v>
      </c>
      <c r="AU26" s="20">
        <f t="shared" si="20"/>
        <v>125064.70883999999</v>
      </c>
      <c r="AV26" s="20">
        <f t="shared" si="21"/>
        <v>50311.5851864</v>
      </c>
      <c r="AW26" s="20">
        <f t="shared" si="79"/>
        <v>32610.617427200003</v>
      </c>
      <c r="AX26" s="51"/>
      <c r="AY26" s="65"/>
      <c r="AZ26" s="65">
        <f t="shared" si="22"/>
        <v>16491.503249999998</v>
      </c>
      <c r="BA26" s="20">
        <f t="shared" si="23"/>
        <v>16491.503249999998</v>
      </c>
      <c r="BB26" s="20">
        <f t="shared" si="24"/>
        <v>6634.274995</v>
      </c>
      <c r="BC26" s="20">
        <f t="shared" si="81"/>
        <v>4300.158759999999</v>
      </c>
      <c r="BD26" s="51"/>
      <c r="BE26" s="51"/>
      <c r="BF26" s="51">
        <f t="shared" si="25"/>
        <v>4891.7511</v>
      </c>
      <c r="BG26" s="33">
        <f t="shared" si="26"/>
        <v>4891.7511</v>
      </c>
      <c r="BH26" s="20">
        <f t="shared" si="27"/>
        <v>1967.8753060000001</v>
      </c>
      <c r="BI26" s="20">
        <f t="shared" si="83"/>
        <v>1275.5238880000002</v>
      </c>
      <c r="BJ26" s="51"/>
      <c r="BK26" s="33"/>
      <c r="BL26" s="33">
        <f t="shared" si="28"/>
        <v>2151.31725</v>
      </c>
      <c r="BM26" s="33">
        <f t="shared" si="29"/>
        <v>2151.31725</v>
      </c>
      <c r="BN26" s="20">
        <f t="shared" si="30"/>
        <v>865.441435</v>
      </c>
      <c r="BO26" s="20">
        <f t="shared" si="85"/>
        <v>560.95588</v>
      </c>
      <c r="BP26" s="51"/>
      <c r="BQ26" s="51"/>
      <c r="BR26" s="51">
        <f t="shared" si="31"/>
        <v>18853.52517</v>
      </c>
      <c r="BS26" s="33">
        <f t="shared" si="32"/>
        <v>18853.52517</v>
      </c>
      <c r="BT26" s="20">
        <f t="shared" si="33"/>
        <v>7584.4796381999995</v>
      </c>
      <c r="BU26" s="20">
        <f t="shared" si="87"/>
        <v>4916.0558736</v>
      </c>
      <c r="BV26" s="51"/>
      <c r="BW26" s="51"/>
      <c r="BX26" s="51">
        <f t="shared" si="34"/>
        <v>1460.0601000000001</v>
      </c>
      <c r="BY26" s="33">
        <f t="shared" si="35"/>
        <v>1460.0601000000001</v>
      </c>
      <c r="BZ26" s="20">
        <f t="shared" si="36"/>
        <v>587.359446</v>
      </c>
      <c r="CA26" s="20">
        <f t="shared" si="89"/>
        <v>380.71060800000004</v>
      </c>
      <c r="CB26" s="51"/>
      <c r="CC26" s="51"/>
      <c r="CD26" s="51">
        <f t="shared" si="37"/>
        <v>62881.07903999999</v>
      </c>
      <c r="CE26" s="33">
        <f t="shared" si="38"/>
        <v>62881.07903999999</v>
      </c>
      <c r="CF26" s="20">
        <f t="shared" si="39"/>
        <v>25296.0790784</v>
      </c>
      <c r="CG26" s="20">
        <f t="shared" si="91"/>
        <v>16396.2386432</v>
      </c>
      <c r="CH26" s="51"/>
      <c r="CI26" s="51"/>
      <c r="CJ26" s="51">
        <f t="shared" si="40"/>
        <v>2670.46902</v>
      </c>
      <c r="CK26" s="33">
        <f t="shared" si="41"/>
        <v>2670.46902</v>
      </c>
      <c r="CL26" s="20">
        <f t="shared" si="42"/>
        <v>1074.2881092</v>
      </c>
      <c r="CM26" s="20">
        <f t="shared" si="93"/>
        <v>696.3246816</v>
      </c>
      <c r="CN26" s="51"/>
      <c r="CO26" s="33"/>
      <c r="CP26" s="33">
        <f t="shared" si="43"/>
        <v>7.34949</v>
      </c>
      <c r="CQ26" s="33">
        <f t="shared" si="44"/>
        <v>7.34949</v>
      </c>
      <c r="CR26" s="20">
        <f t="shared" si="45"/>
        <v>2.9565854000000003</v>
      </c>
      <c r="CS26" s="20">
        <f t="shared" si="95"/>
        <v>1.9163792</v>
      </c>
      <c r="CT26" s="51"/>
      <c r="CU26" s="51"/>
      <c r="CV26" s="51">
        <f t="shared" si="46"/>
        <v>1854.67563</v>
      </c>
      <c r="CW26" s="33">
        <f t="shared" si="47"/>
        <v>1854.67563</v>
      </c>
      <c r="CX26" s="20">
        <f t="shared" si="48"/>
        <v>746.1071298</v>
      </c>
      <c r="CY26" s="20">
        <f t="shared" si="97"/>
        <v>483.6065904</v>
      </c>
      <c r="CZ26" s="51"/>
      <c r="DA26" s="51"/>
      <c r="DB26" s="51">
        <f t="shared" si="49"/>
        <v>4738.56921</v>
      </c>
      <c r="DC26" s="33">
        <f t="shared" si="50"/>
        <v>4738.56921</v>
      </c>
      <c r="DD26" s="20">
        <f t="shared" si="51"/>
        <v>1906.2526166000002</v>
      </c>
      <c r="DE26" s="20">
        <f t="shared" si="99"/>
        <v>1235.5817168</v>
      </c>
      <c r="DF26" s="51"/>
      <c r="DG26" s="51"/>
      <c r="DH26" s="51">
        <f t="shared" si="52"/>
        <v>8008.86078</v>
      </c>
      <c r="DI26" s="33">
        <f t="shared" si="53"/>
        <v>8008.86078</v>
      </c>
      <c r="DJ26" s="20">
        <f t="shared" si="54"/>
        <v>3221.8399988</v>
      </c>
      <c r="DK26" s="20">
        <f t="shared" si="101"/>
        <v>2088.3101024</v>
      </c>
      <c r="DL26" s="51"/>
      <c r="DM26" s="51"/>
      <c r="DN26" s="51">
        <f t="shared" si="55"/>
        <v>65881.63854</v>
      </c>
      <c r="DO26" s="33">
        <f t="shared" si="56"/>
        <v>65881.63854</v>
      </c>
      <c r="DP26" s="20">
        <f t="shared" si="57"/>
        <v>26503.1574484</v>
      </c>
      <c r="DQ26" s="20">
        <f t="shared" si="103"/>
        <v>17178.6344032</v>
      </c>
      <c r="DR26" s="51"/>
      <c r="DS26" s="51"/>
      <c r="DT26" s="51">
        <f t="shared" si="58"/>
        <v>1236.97125</v>
      </c>
      <c r="DU26" s="33">
        <f t="shared" si="59"/>
        <v>1236.97125</v>
      </c>
      <c r="DV26" s="20">
        <f t="shared" si="60"/>
        <v>497.614275</v>
      </c>
      <c r="DW26" s="20">
        <f t="shared" si="105"/>
        <v>322.5402</v>
      </c>
      <c r="DX26" s="51"/>
      <c r="DY26" s="51"/>
      <c r="DZ26" s="51">
        <f t="shared" si="61"/>
        <v>5895.10116</v>
      </c>
      <c r="EA26" s="33">
        <f t="shared" si="62"/>
        <v>5895.10116</v>
      </c>
      <c r="EB26" s="20">
        <f t="shared" si="63"/>
        <v>2371.5074136</v>
      </c>
      <c r="EC26" s="20">
        <f t="shared" si="107"/>
        <v>1537.1473727999999</v>
      </c>
      <c r="ED26" s="33"/>
      <c r="EE26" s="33"/>
      <c r="EF26" s="33">
        <f t="shared" si="64"/>
        <v>10615.20984</v>
      </c>
      <c r="EG26" s="33">
        <f t="shared" si="65"/>
        <v>10615.20984</v>
      </c>
      <c r="EH26" s="20">
        <f t="shared" si="66"/>
        <v>4270.3336464</v>
      </c>
      <c r="EI26" s="20">
        <f t="shared" si="109"/>
        <v>2767.9155072</v>
      </c>
      <c r="EJ26" s="51"/>
      <c r="EK26" s="51"/>
      <c r="EL26" s="51">
        <f t="shared" si="67"/>
        <v>10600.85808</v>
      </c>
      <c r="EM26" s="33">
        <f t="shared" si="68"/>
        <v>10600.85808</v>
      </c>
      <c r="EN26" s="20">
        <f t="shared" si="69"/>
        <v>4264.560156799999</v>
      </c>
      <c r="EO26" s="20">
        <f t="shared" si="111"/>
        <v>2764.1732863999996</v>
      </c>
      <c r="EP26" s="51"/>
      <c r="EQ26" s="33"/>
      <c r="ER26" s="33"/>
      <c r="ES26" s="33"/>
    </row>
    <row r="27" spans="1:149" s="53" customFormat="1" ht="12">
      <c r="A27" s="52">
        <v>45383</v>
      </c>
      <c r="C27" s="41">
        <v>5495000</v>
      </c>
      <c r="D27" s="41">
        <v>578700</v>
      </c>
      <c r="E27" s="35">
        <f t="shared" si="0"/>
        <v>6073700</v>
      </c>
      <c r="F27" s="35">
        <v>232802</v>
      </c>
      <c r="G27" s="35">
        <v>150896</v>
      </c>
      <c r="H27" s="51"/>
      <c r="I27" s="51">
        <v>556745.7069999999</v>
      </c>
      <c r="J27" s="51">
        <v>58633.07381999999</v>
      </c>
      <c r="K27" s="51">
        <f t="shared" si="1"/>
        <v>615378.78082</v>
      </c>
      <c r="L27" s="51">
        <v>23587.172717200003</v>
      </c>
      <c r="M27" s="51">
        <v>15288.5714656</v>
      </c>
      <c r="N27" s="51"/>
      <c r="O27" s="51">
        <f t="shared" si="2"/>
        <v>4938254.293</v>
      </c>
      <c r="P27" s="41">
        <f t="shared" si="3"/>
        <v>520066.92618</v>
      </c>
      <c r="Q27" s="33">
        <f t="shared" si="4"/>
        <v>5458321.21918</v>
      </c>
      <c r="R27" s="41">
        <f t="shared" si="5"/>
        <v>209214.82728279993</v>
      </c>
      <c r="S27" s="41">
        <f t="shared" si="6"/>
        <v>135607.42853440004</v>
      </c>
      <c r="T27" s="51"/>
      <c r="U27" s="65">
        <f t="shared" si="70"/>
        <v>1375694.131</v>
      </c>
      <c r="V27" s="65">
        <f t="shared" si="7"/>
        <v>144879.74406</v>
      </c>
      <c r="W27" s="20">
        <f t="shared" si="8"/>
        <v>1520573.87506</v>
      </c>
      <c r="X27" s="20">
        <f t="shared" si="9"/>
        <v>58282.8653476</v>
      </c>
      <c r="Y27" s="20">
        <f t="shared" si="71"/>
        <v>37777.3870048</v>
      </c>
      <c r="Z27" s="51"/>
      <c r="AA27" s="65">
        <f t="shared" si="72"/>
        <v>106141.42</v>
      </c>
      <c r="AB27" s="65">
        <f t="shared" si="10"/>
        <v>11178.169199999998</v>
      </c>
      <c r="AC27" s="20">
        <f t="shared" si="11"/>
        <v>117319.5892</v>
      </c>
      <c r="AD27" s="20">
        <f t="shared" si="12"/>
        <v>4496.803432</v>
      </c>
      <c r="AE27" s="20">
        <f t="shared" si="73"/>
        <v>2914.707136</v>
      </c>
      <c r="AF27" s="51"/>
      <c r="AG27" s="33">
        <f t="shared" si="74"/>
        <v>131467.875</v>
      </c>
      <c r="AH27" s="33">
        <f t="shared" si="13"/>
        <v>13845.3975</v>
      </c>
      <c r="AI27" s="33">
        <f t="shared" si="14"/>
        <v>145313.2725</v>
      </c>
      <c r="AJ27" s="20">
        <f t="shared" si="15"/>
        <v>5569.78785</v>
      </c>
      <c r="AK27" s="20">
        <f t="shared" si="75"/>
        <v>3610.1868</v>
      </c>
      <c r="AL27" s="51"/>
      <c r="AM27" s="65">
        <f t="shared" si="76"/>
        <v>65138.279500000004</v>
      </c>
      <c r="AN27" s="65">
        <f t="shared" si="16"/>
        <v>6859.96767</v>
      </c>
      <c r="AO27" s="20">
        <f t="shared" si="17"/>
        <v>71998.24717</v>
      </c>
      <c r="AP27" s="20">
        <f t="shared" si="18"/>
        <v>2759.6581882</v>
      </c>
      <c r="AQ27" s="20">
        <f t="shared" si="77"/>
        <v>1788.7362736</v>
      </c>
      <c r="AR27" s="51"/>
      <c r="AS27" s="65">
        <f t="shared" si="78"/>
        <v>1187542.034</v>
      </c>
      <c r="AT27" s="65">
        <f t="shared" si="19"/>
        <v>125064.70883999999</v>
      </c>
      <c r="AU27" s="20">
        <f t="shared" si="20"/>
        <v>1312606.74284</v>
      </c>
      <c r="AV27" s="20">
        <f t="shared" si="21"/>
        <v>50311.5851864</v>
      </c>
      <c r="AW27" s="20">
        <f t="shared" si="79"/>
        <v>32610.617427200003</v>
      </c>
      <c r="AX27" s="51"/>
      <c r="AY27" s="65">
        <f t="shared" si="80"/>
        <v>156593.76249999998</v>
      </c>
      <c r="AZ27" s="65">
        <f t="shared" si="22"/>
        <v>16491.503249999998</v>
      </c>
      <c r="BA27" s="20">
        <f t="shared" si="23"/>
        <v>173085.26575</v>
      </c>
      <c r="BB27" s="20">
        <f t="shared" si="24"/>
        <v>6634.274995</v>
      </c>
      <c r="BC27" s="20">
        <f t="shared" si="81"/>
        <v>4300.158759999999</v>
      </c>
      <c r="BD27" s="51"/>
      <c r="BE27" s="51">
        <f t="shared" si="82"/>
        <v>46449.235</v>
      </c>
      <c r="BF27" s="51">
        <f t="shared" si="25"/>
        <v>4891.7511</v>
      </c>
      <c r="BG27" s="33">
        <f t="shared" si="26"/>
        <v>51340.9861</v>
      </c>
      <c r="BH27" s="20">
        <f t="shared" si="27"/>
        <v>1967.8753060000001</v>
      </c>
      <c r="BI27" s="20">
        <f t="shared" si="83"/>
        <v>1275.5238880000002</v>
      </c>
      <c r="BJ27" s="51"/>
      <c r="BK27" s="33">
        <f t="shared" si="84"/>
        <v>20427.662500000002</v>
      </c>
      <c r="BL27" s="33">
        <f t="shared" si="28"/>
        <v>2151.31725</v>
      </c>
      <c r="BM27" s="33">
        <f t="shared" si="29"/>
        <v>22578.979750000002</v>
      </c>
      <c r="BN27" s="20">
        <f t="shared" si="30"/>
        <v>865.441435</v>
      </c>
      <c r="BO27" s="20">
        <f t="shared" si="85"/>
        <v>560.95588</v>
      </c>
      <c r="BP27" s="51"/>
      <c r="BQ27" s="51">
        <f t="shared" si="86"/>
        <v>179022.1545</v>
      </c>
      <c r="BR27" s="51">
        <f t="shared" si="31"/>
        <v>18853.52517</v>
      </c>
      <c r="BS27" s="33">
        <f t="shared" si="32"/>
        <v>197875.67967</v>
      </c>
      <c r="BT27" s="20">
        <f t="shared" si="33"/>
        <v>7584.4796381999995</v>
      </c>
      <c r="BU27" s="20">
        <f t="shared" si="87"/>
        <v>4916.0558736</v>
      </c>
      <c r="BV27" s="51"/>
      <c r="BW27" s="51">
        <f t="shared" si="88"/>
        <v>13863.885000000002</v>
      </c>
      <c r="BX27" s="51">
        <f t="shared" si="34"/>
        <v>1460.0601000000001</v>
      </c>
      <c r="BY27" s="33">
        <f t="shared" si="35"/>
        <v>15323.945100000003</v>
      </c>
      <c r="BZ27" s="20">
        <f t="shared" si="36"/>
        <v>587.359446</v>
      </c>
      <c r="CA27" s="20">
        <f t="shared" si="89"/>
        <v>380.71060800000004</v>
      </c>
      <c r="CB27" s="51"/>
      <c r="CC27" s="51">
        <f t="shared" si="90"/>
        <v>597082.304</v>
      </c>
      <c r="CD27" s="51">
        <f t="shared" si="37"/>
        <v>62881.07903999999</v>
      </c>
      <c r="CE27" s="33">
        <f t="shared" si="38"/>
        <v>659963.38304</v>
      </c>
      <c r="CF27" s="20">
        <f t="shared" si="39"/>
        <v>25296.0790784</v>
      </c>
      <c r="CG27" s="20">
        <f t="shared" si="91"/>
        <v>16396.2386432</v>
      </c>
      <c r="CH27" s="51"/>
      <c r="CI27" s="51">
        <f t="shared" si="92"/>
        <v>25357.227</v>
      </c>
      <c r="CJ27" s="51">
        <f t="shared" si="40"/>
        <v>2670.46902</v>
      </c>
      <c r="CK27" s="33">
        <f t="shared" si="41"/>
        <v>28027.69602</v>
      </c>
      <c r="CL27" s="20">
        <f t="shared" si="42"/>
        <v>1074.2881092</v>
      </c>
      <c r="CM27" s="20">
        <f t="shared" si="93"/>
        <v>696.3246816</v>
      </c>
      <c r="CN27" s="51"/>
      <c r="CO27" s="33">
        <f t="shared" si="94"/>
        <v>69.7865</v>
      </c>
      <c r="CP27" s="33">
        <f t="shared" si="43"/>
        <v>7.34949</v>
      </c>
      <c r="CQ27" s="33">
        <f t="shared" si="44"/>
        <v>77.13599</v>
      </c>
      <c r="CR27" s="20">
        <f t="shared" si="45"/>
        <v>2.9565854000000003</v>
      </c>
      <c r="CS27" s="20">
        <f t="shared" si="95"/>
        <v>1.9163792</v>
      </c>
      <c r="CT27" s="51"/>
      <c r="CU27" s="51">
        <f t="shared" si="96"/>
        <v>17610.9255</v>
      </c>
      <c r="CV27" s="51">
        <f t="shared" si="46"/>
        <v>1854.67563</v>
      </c>
      <c r="CW27" s="33">
        <f t="shared" si="47"/>
        <v>19465.601130000003</v>
      </c>
      <c r="CX27" s="20">
        <f t="shared" si="48"/>
        <v>746.1071298</v>
      </c>
      <c r="CY27" s="20">
        <f t="shared" si="97"/>
        <v>483.6065904</v>
      </c>
      <c r="CZ27" s="51"/>
      <c r="DA27" s="51">
        <f t="shared" si="98"/>
        <v>44994.70849999999</v>
      </c>
      <c r="DB27" s="51">
        <f t="shared" si="49"/>
        <v>4738.56921</v>
      </c>
      <c r="DC27" s="33">
        <f t="shared" si="50"/>
        <v>49733.277709999995</v>
      </c>
      <c r="DD27" s="20">
        <f t="shared" si="51"/>
        <v>1906.2526166000002</v>
      </c>
      <c r="DE27" s="20">
        <f t="shared" si="99"/>
        <v>1235.5817168</v>
      </c>
      <c r="DF27" s="51"/>
      <c r="DG27" s="51">
        <f t="shared" si="100"/>
        <v>76047.503</v>
      </c>
      <c r="DH27" s="51">
        <f t="shared" si="52"/>
        <v>8008.86078</v>
      </c>
      <c r="DI27" s="33">
        <f t="shared" si="53"/>
        <v>84056.36378</v>
      </c>
      <c r="DJ27" s="20">
        <f t="shared" si="54"/>
        <v>3221.8399988</v>
      </c>
      <c r="DK27" s="20">
        <f t="shared" si="101"/>
        <v>2088.3101024</v>
      </c>
      <c r="DL27" s="51"/>
      <c r="DM27" s="51">
        <f t="shared" si="102"/>
        <v>625573.8790000001</v>
      </c>
      <c r="DN27" s="51">
        <f t="shared" si="55"/>
        <v>65881.63854</v>
      </c>
      <c r="DO27" s="33">
        <f t="shared" si="56"/>
        <v>691455.51754</v>
      </c>
      <c r="DP27" s="20">
        <f t="shared" si="57"/>
        <v>26503.1574484</v>
      </c>
      <c r="DQ27" s="20">
        <f t="shared" si="103"/>
        <v>17178.6344032</v>
      </c>
      <c r="DR27" s="51"/>
      <c r="DS27" s="51">
        <f t="shared" si="104"/>
        <v>11745.5625</v>
      </c>
      <c r="DT27" s="51">
        <f t="shared" si="58"/>
        <v>1236.97125</v>
      </c>
      <c r="DU27" s="33">
        <f t="shared" si="59"/>
        <v>12982.53375</v>
      </c>
      <c r="DV27" s="20">
        <f t="shared" si="60"/>
        <v>497.614275</v>
      </c>
      <c r="DW27" s="20">
        <f t="shared" si="105"/>
        <v>322.5402</v>
      </c>
      <c r="DX27" s="51"/>
      <c r="DY27" s="51">
        <f t="shared" si="106"/>
        <v>55976.46600000001</v>
      </c>
      <c r="DZ27" s="51">
        <f t="shared" si="61"/>
        <v>5895.10116</v>
      </c>
      <c r="EA27" s="33">
        <f t="shared" si="62"/>
        <v>61871.567160000006</v>
      </c>
      <c r="EB27" s="20">
        <f t="shared" si="63"/>
        <v>2371.5074136</v>
      </c>
      <c r="EC27" s="20">
        <f t="shared" si="107"/>
        <v>1537.1473727999999</v>
      </c>
      <c r="ED27" s="33"/>
      <c r="EE27" s="33">
        <f t="shared" si="108"/>
        <v>100795.884</v>
      </c>
      <c r="EF27" s="33">
        <f t="shared" si="64"/>
        <v>10615.20984</v>
      </c>
      <c r="EG27" s="33">
        <f t="shared" si="65"/>
        <v>111411.09384</v>
      </c>
      <c r="EH27" s="20">
        <f t="shared" si="66"/>
        <v>4270.3336464</v>
      </c>
      <c r="EI27" s="20">
        <f t="shared" si="109"/>
        <v>2767.9155072</v>
      </c>
      <c r="EJ27" s="51"/>
      <c r="EK27" s="51">
        <f t="shared" si="110"/>
        <v>100659.608</v>
      </c>
      <c r="EL27" s="51">
        <f t="shared" si="67"/>
        <v>10600.85808</v>
      </c>
      <c r="EM27" s="33">
        <f t="shared" si="68"/>
        <v>111260.46608</v>
      </c>
      <c r="EN27" s="20">
        <f t="shared" si="69"/>
        <v>4264.560156799999</v>
      </c>
      <c r="EO27" s="20">
        <f t="shared" si="111"/>
        <v>2764.1732863999996</v>
      </c>
      <c r="EP27" s="51"/>
      <c r="EQ27" s="33"/>
      <c r="ER27" s="33"/>
      <c r="ES27" s="33"/>
    </row>
    <row r="28" spans="1:149" s="53" customFormat="1" ht="12">
      <c r="A28" s="52">
        <v>45566</v>
      </c>
      <c r="C28" s="41"/>
      <c r="D28" s="41">
        <v>441325</v>
      </c>
      <c r="E28" s="35">
        <f t="shared" si="0"/>
        <v>441325</v>
      </c>
      <c r="F28" s="35">
        <v>232802</v>
      </c>
      <c r="G28" s="35">
        <v>150896</v>
      </c>
      <c r="H28" s="51"/>
      <c r="I28" s="51"/>
      <c r="J28" s="51">
        <v>44714.431145</v>
      </c>
      <c r="K28" s="51">
        <f t="shared" si="1"/>
        <v>44714.431145</v>
      </c>
      <c r="L28" s="51">
        <v>23587.172717200003</v>
      </c>
      <c r="M28" s="51">
        <v>15288.5714656</v>
      </c>
      <c r="N28" s="51"/>
      <c r="O28" s="51">
        <f t="shared" si="2"/>
        <v>0</v>
      </c>
      <c r="P28" s="41">
        <f t="shared" si="3"/>
        <v>396610.568855</v>
      </c>
      <c r="Q28" s="33">
        <f t="shared" si="4"/>
        <v>396610.568855</v>
      </c>
      <c r="R28" s="41">
        <f t="shared" si="5"/>
        <v>209214.82728279993</v>
      </c>
      <c r="S28" s="41">
        <f t="shared" si="6"/>
        <v>135607.42853440004</v>
      </c>
      <c r="T28" s="51"/>
      <c r="U28" s="65"/>
      <c r="V28" s="65">
        <f t="shared" si="7"/>
        <v>110487.39078500001</v>
      </c>
      <c r="W28" s="20">
        <f t="shared" si="8"/>
        <v>110487.39078500001</v>
      </c>
      <c r="X28" s="20">
        <f t="shared" si="9"/>
        <v>58282.8653476</v>
      </c>
      <c r="Y28" s="20">
        <f t="shared" si="71"/>
        <v>37777.3870048</v>
      </c>
      <c r="Z28" s="51"/>
      <c r="AA28" s="65"/>
      <c r="AB28" s="65">
        <f t="shared" si="10"/>
        <v>8524.6337</v>
      </c>
      <c r="AC28" s="20">
        <f t="shared" si="11"/>
        <v>8524.6337</v>
      </c>
      <c r="AD28" s="20">
        <f t="shared" si="12"/>
        <v>4496.803432</v>
      </c>
      <c r="AE28" s="20">
        <f t="shared" si="73"/>
        <v>2914.707136</v>
      </c>
      <c r="AF28" s="51"/>
      <c r="AG28" s="33"/>
      <c r="AH28" s="33">
        <f t="shared" si="13"/>
        <v>10558.700625</v>
      </c>
      <c r="AI28" s="33">
        <f t="shared" si="14"/>
        <v>10558.700625</v>
      </c>
      <c r="AJ28" s="20">
        <f t="shared" si="15"/>
        <v>5569.78785</v>
      </c>
      <c r="AK28" s="20">
        <f t="shared" si="75"/>
        <v>3610.1868</v>
      </c>
      <c r="AL28" s="51"/>
      <c r="AM28" s="65"/>
      <c r="AN28" s="65">
        <f t="shared" si="16"/>
        <v>5231.5106825</v>
      </c>
      <c r="AO28" s="20">
        <f t="shared" si="17"/>
        <v>5231.5106825</v>
      </c>
      <c r="AP28" s="20">
        <f t="shared" si="18"/>
        <v>2759.6581882</v>
      </c>
      <c r="AQ28" s="20">
        <f t="shared" si="77"/>
        <v>1788.7362736</v>
      </c>
      <c r="AR28" s="51"/>
      <c r="AS28" s="65"/>
      <c r="AT28" s="65">
        <f t="shared" si="19"/>
        <v>95376.15798999999</v>
      </c>
      <c r="AU28" s="20">
        <f t="shared" si="20"/>
        <v>95376.15798999999</v>
      </c>
      <c r="AV28" s="20">
        <f t="shared" si="21"/>
        <v>50311.5851864</v>
      </c>
      <c r="AW28" s="20">
        <f t="shared" si="79"/>
        <v>32610.617427200003</v>
      </c>
      <c r="AX28" s="51"/>
      <c r="AY28" s="65"/>
      <c r="AZ28" s="65">
        <f t="shared" si="22"/>
        <v>12576.6591875</v>
      </c>
      <c r="BA28" s="20">
        <f t="shared" si="23"/>
        <v>12576.6591875</v>
      </c>
      <c r="BB28" s="20">
        <f t="shared" si="24"/>
        <v>6634.274995</v>
      </c>
      <c r="BC28" s="20">
        <f t="shared" si="81"/>
        <v>4300.158759999999</v>
      </c>
      <c r="BD28" s="51"/>
      <c r="BE28" s="51"/>
      <c r="BF28" s="51">
        <f t="shared" si="25"/>
        <v>3730.520225</v>
      </c>
      <c r="BG28" s="33">
        <f t="shared" si="26"/>
        <v>3730.520225</v>
      </c>
      <c r="BH28" s="20">
        <f t="shared" si="27"/>
        <v>1967.8753060000001</v>
      </c>
      <c r="BI28" s="20">
        <f t="shared" si="83"/>
        <v>1275.5238880000002</v>
      </c>
      <c r="BJ28" s="51"/>
      <c r="BK28" s="33"/>
      <c r="BL28" s="33">
        <f t="shared" si="28"/>
        <v>1640.6256875000001</v>
      </c>
      <c r="BM28" s="33">
        <f t="shared" si="29"/>
        <v>1640.6256875000001</v>
      </c>
      <c r="BN28" s="20">
        <f t="shared" si="30"/>
        <v>865.441435</v>
      </c>
      <c r="BO28" s="20">
        <f t="shared" si="85"/>
        <v>560.95588</v>
      </c>
      <c r="BP28" s="51"/>
      <c r="BQ28" s="51"/>
      <c r="BR28" s="51">
        <f t="shared" si="31"/>
        <v>14377.9713075</v>
      </c>
      <c r="BS28" s="33">
        <f t="shared" si="32"/>
        <v>14377.9713075</v>
      </c>
      <c r="BT28" s="20">
        <f t="shared" si="33"/>
        <v>7584.4796381999995</v>
      </c>
      <c r="BU28" s="20">
        <f t="shared" si="87"/>
        <v>4916.0558736</v>
      </c>
      <c r="BV28" s="51"/>
      <c r="BW28" s="51"/>
      <c r="BX28" s="51">
        <f t="shared" si="34"/>
        <v>1113.4629750000001</v>
      </c>
      <c r="BY28" s="33">
        <f t="shared" si="35"/>
        <v>1113.4629750000001</v>
      </c>
      <c r="BZ28" s="20">
        <f t="shared" si="36"/>
        <v>587.359446</v>
      </c>
      <c r="CA28" s="20">
        <f t="shared" si="89"/>
        <v>380.71060800000004</v>
      </c>
      <c r="CB28" s="51"/>
      <c r="CC28" s="51"/>
      <c r="CD28" s="51">
        <f t="shared" si="37"/>
        <v>47954.02144</v>
      </c>
      <c r="CE28" s="33">
        <f t="shared" si="38"/>
        <v>47954.02144</v>
      </c>
      <c r="CF28" s="20">
        <f t="shared" si="39"/>
        <v>25296.0790784</v>
      </c>
      <c r="CG28" s="20">
        <f t="shared" si="91"/>
        <v>16396.2386432</v>
      </c>
      <c r="CH28" s="51"/>
      <c r="CI28" s="51"/>
      <c r="CJ28" s="51">
        <f t="shared" si="40"/>
        <v>2036.538345</v>
      </c>
      <c r="CK28" s="33">
        <f t="shared" si="41"/>
        <v>2036.538345</v>
      </c>
      <c r="CL28" s="20">
        <f t="shared" si="42"/>
        <v>1074.2881092</v>
      </c>
      <c r="CM28" s="20">
        <f t="shared" si="93"/>
        <v>696.3246816</v>
      </c>
      <c r="CN28" s="51"/>
      <c r="CO28" s="33"/>
      <c r="CP28" s="33">
        <f t="shared" si="43"/>
        <v>5.6048275</v>
      </c>
      <c r="CQ28" s="33">
        <f t="shared" si="44"/>
        <v>5.6048275</v>
      </c>
      <c r="CR28" s="20">
        <f t="shared" si="45"/>
        <v>2.9565854000000003</v>
      </c>
      <c r="CS28" s="20">
        <f t="shared" si="95"/>
        <v>1.9163792</v>
      </c>
      <c r="CT28" s="51"/>
      <c r="CU28" s="51"/>
      <c r="CV28" s="51">
        <f t="shared" si="46"/>
        <v>1414.4024924999999</v>
      </c>
      <c r="CW28" s="33">
        <f t="shared" si="47"/>
        <v>1414.4024924999999</v>
      </c>
      <c r="CX28" s="20">
        <f t="shared" si="48"/>
        <v>746.1071298</v>
      </c>
      <c r="CY28" s="20">
        <f t="shared" si="97"/>
        <v>483.6065904</v>
      </c>
      <c r="CZ28" s="51"/>
      <c r="DA28" s="51"/>
      <c r="DB28" s="51">
        <f t="shared" si="49"/>
        <v>3613.7014974999997</v>
      </c>
      <c r="DC28" s="33">
        <f t="shared" si="50"/>
        <v>3613.7014974999997</v>
      </c>
      <c r="DD28" s="20">
        <f t="shared" si="51"/>
        <v>1906.2526166000002</v>
      </c>
      <c r="DE28" s="20">
        <f t="shared" si="99"/>
        <v>1235.5817168</v>
      </c>
      <c r="DF28" s="51"/>
      <c r="DG28" s="51"/>
      <c r="DH28" s="51">
        <f t="shared" si="52"/>
        <v>6107.673205</v>
      </c>
      <c r="DI28" s="33">
        <f t="shared" si="53"/>
        <v>6107.673205</v>
      </c>
      <c r="DJ28" s="20">
        <f t="shared" si="54"/>
        <v>3221.8399988</v>
      </c>
      <c r="DK28" s="20">
        <f t="shared" si="101"/>
        <v>2088.3101024</v>
      </c>
      <c r="DL28" s="51"/>
      <c r="DM28" s="51"/>
      <c r="DN28" s="51">
        <f t="shared" si="55"/>
        <v>50242.29156500001</v>
      </c>
      <c r="DO28" s="33">
        <f t="shared" si="56"/>
        <v>50242.29156500001</v>
      </c>
      <c r="DP28" s="20">
        <f t="shared" si="57"/>
        <v>26503.1574484</v>
      </c>
      <c r="DQ28" s="20">
        <f t="shared" si="103"/>
        <v>17178.6344032</v>
      </c>
      <c r="DR28" s="51"/>
      <c r="DS28" s="51"/>
      <c r="DT28" s="51">
        <f t="shared" si="58"/>
        <v>943.3321875</v>
      </c>
      <c r="DU28" s="33">
        <f t="shared" si="59"/>
        <v>943.3321875</v>
      </c>
      <c r="DV28" s="20">
        <f t="shared" si="60"/>
        <v>497.614275</v>
      </c>
      <c r="DW28" s="20">
        <f t="shared" si="105"/>
        <v>322.5402</v>
      </c>
      <c r="DX28" s="51"/>
      <c r="DY28" s="51"/>
      <c r="DZ28" s="51">
        <f t="shared" si="61"/>
        <v>4495.68951</v>
      </c>
      <c r="EA28" s="33">
        <f t="shared" si="62"/>
        <v>4495.68951</v>
      </c>
      <c r="EB28" s="20">
        <f t="shared" si="63"/>
        <v>2371.5074136</v>
      </c>
      <c r="EC28" s="20">
        <f t="shared" si="107"/>
        <v>1537.1473727999999</v>
      </c>
      <c r="ED28" s="33"/>
      <c r="EE28" s="33"/>
      <c r="EF28" s="33">
        <f t="shared" si="64"/>
        <v>8095.312739999999</v>
      </c>
      <c r="EG28" s="33">
        <f t="shared" si="65"/>
        <v>8095.312739999999</v>
      </c>
      <c r="EH28" s="20">
        <f t="shared" si="66"/>
        <v>4270.3336464</v>
      </c>
      <c r="EI28" s="20">
        <f t="shared" si="109"/>
        <v>2767.9155072</v>
      </c>
      <c r="EJ28" s="51"/>
      <c r="EK28" s="51"/>
      <c r="EL28" s="51">
        <f t="shared" si="67"/>
        <v>8084.36788</v>
      </c>
      <c r="EM28" s="33">
        <f t="shared" si="68"/>
        <v>8084.36788</v>
      </c>
      <c r="EN28" s="20">
        <f t="shared" si="69"/>
        <v>4264.560156799999</v>
      </c>
      <c r="EO28" s="20">
        <f t="shared" si="111"/>
        <v>2764.1732863999996</v>
      </c>
      <c r="EP28" s="51"/>
      <c r="EQ28" s="33"/>
      <c r="ER28" s="33"/>
      <c r="ES28" s="33"/>
    </row>
    <row r="29" spans="1:149" s="53" customFormat="1" ht="12">
      <c r="A29" s="52">
        <v>45748</v>
      </c>
      <c r="C29" s="41">
        <v>5770000</v>
      </c>
      <c r="D29" s="41">
        <v>441325</v>
      </c>
      <c r="E29" s="35">
        <f t="shared" si="0"/>
        <v>6211325</v>
      </c>
      <c r="F29" s="35">
        <v>232802</v>
      </c>
      <c r="G29" s="35">
        <v>150896</v>
      </c>
      <c r="H29" s="51"/>
      <c r="I29" s="51">
        <v>584608.3220000003</v>
      </c>
      <c r="J29" s="51">
        <v>44714.431145</v>
      </c>
      <c r="K29" s="51">
        <f t="shared" si="1"/>
        <v>629322.7531450003</v>
      </c>
      <c r="L29" s="51">
        <v>23587.172717200003</v>
      </c>
      <c r="M29" s="51">
        <v>15288.5714656</v>
      </c>
      <c r="N29" s="51"/>
      <c r="O29" s="51">
        <f t="shared" si="2"/>
        <v>5185391.678000001</v>
      </c>
      <c r="P29" s="41">
        <f t="shared" si="3"/>
        <v>396610.568855</v>
      </c>
      <c r="Q29" s="33">
        <f t="shared" si="4"/>
        <v>5582002.246855001</v>
      </c>
      <c r="R29" s="41">
        <f t="shared" si="5"/>
        <v>209214.82728279993</v>
      </c>
      <c r="S29" s="41">
        <f t="shared" si="6"/>
        <v>135607.42853440004</v>
      </c>
      <c r="T29" s="51"/>
      <c r="U29" s="65">
        <f t="shared" si="70"/>
        <v>1444541.426</v>
      </c>
      <c r="V29" s="65">
        <f t="shared" si="7"/>
        <v>110487.39078500001</v>
      </c>
      <c r="W29" s="20">
        <f t="shared" si="8"/>
        <v>1555028.816785</v>
      </c>
      <c r="X29" s="20">
        <f t="shared" si="9"/>
        <v>58282.8653476</v>
      </c>
      <c r="Y29" s="20">
        <f t="shared" si="71"/>
        <v>37777.3870048</v>
      </c>
      <c r="Z29" s="51"/>
      <c r="AA29" s="65">
        <f t="shared" si="72"/>
        <v>111453.32</v>
      </c>
      <c r="AB29" s="65">
        <f t="shared" si="10"/>
        <v>8524.6337</v>
      </c>
      <c r="AC29" s="20">
        <f t="shared" si="11"/>
        <v>119977.95370000001</v>
      </c>
      <c r="AD29" s="20">
        <f t="shared" si="12"/>
        <v>4496.803432</v>
      </c>
      <c r="AE29" s="20">
        <f t="shared" si="73"/>
        <v>2914.707136</v>
      </c>
      <c r="AF29" s="51"/>
      <c r="AG29" s="33">
        <f t="shared" si="74"/>
        <v>138047.25</v>
      </c>
      <c r="AH29" s="33">
        <f t="shared" si="13"/>
        <v>10558.700625</v>
      </c>
      <c r="AI29" s="33">
        <f t="shared" si="14"/>
        <v>148605.950625</v>
      </c>
      <c r="AJ29" s="20">
        <f t="shared" si="15"/>
        <v>5569.78785</v>
      </c>
      <c r="AK29" s="20">
        <f t="shared" si="75"/>
        <v>3610.1868</v>
      </c>
      <c r="AL29" s="51"/>
      <c r="AM29" s="65">
        <f t="shared" si="76"/>
        <v>68398.157</v>
      </c>
      <c r="AN29" s="65">
        <f t="shared" si="16"/>
        <v>5231.5106825</v>
      </c>
      <c r="AO29" s="20">
        <f t="shared" si="17"/>
        <v>73629.6676825</v>
      </c>
      <c r="AP29" s="20">
        <f t="shared" si="18"/>
        <v>2759.6581882</v>
      </c>
      <c r="AQ29" s="20">
        <f t="shared" si="77"/>
        <v>1788.7362736</v>
      </c>
      <c r="AR29" s="51"/>
      <c r="AS29" s="65">
        <f t="shared" si="78"/>
        <v>1246973.1639999999</v>
      </c>
      <c r="AT29" s="65">
        <f t="shared" si="19"/>
        <v>95376.15798999999</v>
      </c>
      <c r="AU29" s="20">
        <f t="shared" si="20"/>
        <v>1342349.3219899999</v>
      </c>
      <c r="AV29" s="20">
        <f t="shared" si="21"/>
        <v>50311.5851864</v>
      </c>
      <c r="AW29" s="20">
        <f t="shared" si="79"/>
        <v>32610.617427200003</v>
      </c>
      <c r="AX29" s="51"/>
      <c r="AY29" s="65">
        <f t="shared" si="80"/>
        <v>164430.57499999998</v>
      </c>
      <c r="AZ29" s="65">
        <f t="shared" si="22"/>
        <v>12576.6591875</v>
      </c>
      <c r="BA29" s="20">
        <f t="shared" si="23"/>
        <v>177007.23418749997</v>
      </c>
      <c r="BB29" s="20">
        <f t="shared" si="24"/>
        <v>6634.274995</v>
      </c>
      <c r="BC29" s="20">
        <f t="shared" si="81"/>
        <v>4300.158759999999</v>
      </c>
      <c r="BD29" s="51"/>
      <c r="BE29" s="51">
        <f t="shared" si="82"/>
        <v>48773.81</v>
      </c>
      <c r="BF29" s="51">
        <f t="shared" si="25"/>
        <v>3730.520225</v>
      </c>
      <c r="BG29" s="33">
        <f t="shared" si="26"/>
        <v>52504.330225</v>
      </c>
      <c r="BH29" s="20">
        <f t="shared" si="27"/>
        <v>1967.8753060000001</v>
      </c>
      <c r="BI29" s="20">
        <f t="shared" si="83"/>
        <v>1275.5238880000002</v>
      </c>
      <c r="BJ29" s="51"/>
      <c r="BK29" s="33">
        <f t="shared" si="84"/>
        <v>21449.975</v>
      </c>
      <c r="BL29" s="33">
        <f t="shared" si="28"/>
        <v>1640.6256875000001</v>
      </c>
      <c r="BM29" s="33">
        <f t="shared" si="29"/>
        <v>23090.6006875</v>
      </c>
      <c r="BN29" s="20">
        <f t="shared" si="30"/>
        <v>865.441435</v>
      </c>
      <c r="BO29" s="20">
        <f t="shared" si="85"/>
        <v>560.95588</v>
      </c>
      <c r="BP29" s="51"/>
      <c r="BQ29" s="51">
        <f t="shared" si="86"/>
        <v>187981.407</v>
      </c>
      <c r="BR29" s="51">
        <f t="shared" si="31"/>
        <v>14377.9713075</v>
      </c>
      <c r="BS29" s="33">
        <f t="shared" si="32"/>
        <v>202359.3783075</v>
      </c>
      <c r="BT29" s="20">
        <f t="shared" si="33"/>
        <v>7584.4796381999995</v>
      </c>
      <c r="BU29" s="20">
        <f t="shared" si="87"/>
        <v>4916.0558736</v>
      </c>
      <c r="BV29" s="51"/>
      <c r="BW29" s="51">
        <f t="shared" si="88"/>
        <v>14557.710000000003</v>
      </c>
      <c r="BX29" s="51">
        <f t="shared" si="34"/>
        <v>1113.4629750000001</v>
      </c>
      <c r="BY29" s="33">
        <f t="shared" si="35"/>
        <v>15671.172975000003</v>
      </c>
      <c r="BZ29" s="20">
        <f t="shared" si="36"/>
        <v>587.359446</v>
      </c>
      <c r="CA29" s="20">
        <f t="shared" si="89"/>
        <v>380.71060800000004</v>
      </c>
      <c r="CB29" s="51"/>
      <c r="CC29" s="51">
        <f t="shared" si="90"/>
        <v>626963.584</v>
      </c>
      <c r="CD29" s="51">
        <f t="shared" si="37"/>
        <v>47954.02144</v>
      </c>
      <c r="CE29" s="33">
        <f t="shared" si="38"/>
        <v>674917.6054400001</v>
      </c>
      <c r="CF29" s="20">
        <f t="shared" si="39"/>
        <v>25296.0790784</v>
      </c>
      <c r="CG29" s="20">
        <f t="shared" si="91"/>
        <v>16396.2386432</v>
      </c>
      <c r="CH29" s="51"/>
      <c r="CI29" s="51">
        <f t="shared" si="92"/>
        <v>26626.242</v>
      </c>
      <c r="CJ29" s="51">
        <f t="shared" si="40"/>
        <v>2036.538345</v>
      </c>
      <c r="CK29" s="33">
        <f t="shared" si="41"/>
        <v>28662.780345</v>
      </c>
      <c r="CL29" s="20">
        <f t="shared" si="42"/>
        <v>1074.2881092</v>
      </c>
      <c r="CM29" s="20">
        <f t="shared" si="93"/>
        <v>696.3246816</v>
      </c>
      <c r="CN29" s="51"/>
      <c r="CO29" s="33">
        <f t="shared" si="94"/>
        <v>73.27900000000001</v>
      </c>
      <c r="CP29" s="33">
        <f t="shared" si="43"/>
        <v>5.6048275</v>
      </c>
      <c r="CQ29" s="33">
        <f t="shared" si="44"/>
        <v>78.88382750000001</v>
      </c>
      <c r="CR29" s="20">
        <f t="shared" si="45"/>
        <v>2.9565854000000003</v>
      </c>
      <c r="CS29" s="20">
        <f t="shared" si="95"/>
        <v>1.9163792</v>
      </c>
      <c r="CT29" s="51"/>
      <c r="CU29" s="51">
        <f t="shared" si="96"/>
        <v>18492.273</v>
      </c>
      <c r="CV29" s="51">
        <f t="shared" si="46"/>
        <v>1414.4024924999999</v>
      </c>
      <c r="CW29" s="33">
        <f t="shared" si="47"/>
        <v>19906.675492500002</v>
      </c>
      <c r="CX29" s="20">
        <f t="shared" si="48"/>
        <v>746.1071298</v>
      </c>
      <c r="CY29" s="20">
        <f t="shared" si="97"/>
        <v>483.6065904</v>
      </c>
      <c r="CZ29" s="51"/>
      <c r="DA29" s="51">
        <f t="shared" si="98"/>
        <v>47246.490999999995</v>
      </c>
      <c r="DB29" s="51">
        <f t="shared" si="49"/>
        <v>3613.7014974999997</v>
      </c>
      <c r="DC29" s="33">
        <f t="shared" si="50"/>
        <v>50860.19249749999</v>
      </c>
      <c r="DD29" s="20">
        <f t="shared" si="51"/>
        <v>1906.2526166000002</v>
      </c>
      <c r="DE29" s="20">
        <f t="shared" si="99"/>
        <v>1235.5817168</v>
      </c>
      <c r="DF29" s="51"/>
      <c r="DG29" s="51">
        <f t="shared" si="100"/>
        <v>79853.338</v>
      </c>
      <c r="DH29" s="51">
        <f t="shared" si="52"/>
        <v>6107.673205</v>
      </c>
      <c r="DI29" s="33">
        <f t="shared" si="53"/>
        <v>85961.011205</v>
      </c>
      <c r="DJ29" s="20">
        <f t="shared" si="54"/>
        <v>3221.8399988</v>
      </c>
      <c r="DK29" s="20">
        <f t="shared" si="101"/>
        <v>2088.3101024</v>
      </c>
      <c r="DL29" s="51"/>
      <c r="DM29" s="51">
        <f t="shared" si="102"/>
        <v>656881.0340000001</v>
      </c>
      <c r="DN29" s="51">
        <f t="shared" si="55"/>
        <v>50242.29156500001</v>
      </c>
      <c r="DO29" s="33">
        <f t="shared" si="56"/>
        <v>707123.3255650001</v>
      </c>
      <c r="DP29" s="20">
        <f t="shared" si="57"/>
        <v>26503.1574484</v>
      </c>
      <c r="DQ29" s="20">
        <f t="shared" si="103"/>
        <v>17178.6344032</v>
      </c>
      <c r="DR29" s="51"/>
      <c r="DS29" s="51">
        <f t="shared" si="104"/>
        <v>12333.375</v>
      </c>
      <c r="DT29" s="51">
        <f t="shared" si="58"/>
        <v>943.3321875</v>
      </c>
      <c r="DU29" s="33">
        <f t="shared" si="59"/>
        <v>13276.7071875</v>
      </c>
      <c r="DV29" s="20">
        <f t="shared" si="60"/>
        <v>497.614275</v>
      </c>
      <c r="DW29" s="20">
        <f t="shared" si="105"/>
        <v>322.5402</v>
      </c>
      <c r="DX29" s="51"/>
      <c r="DY29" s="51">
        <f t="shared" si="106"/>
        <v>58777.836</v>
      </c>
      <c r="DZ29" s="51">
        <f t="shared" si="61"/>
        <v>4495.68951</v>
      </c>
      <c r="EA29" s="33">
        <f t="shared" si="62"/>
        <v>63273.52551000001</v>
      </c>
      <c r="EB29" s="20">
        <f t="shared" si="63"/>
        <v>2371.5074136</v>
      </c>
      <c r="EC29" s="20">
        <f t="shared" si="107"/>
        <v>1537.1473727999999</v>
      </c>
      <c r="ED29" s="33"/>
      <c r="EE29" s="33">
        <f t="shared" si="108"/>
        <v>105840.26400000001</v>
      </c>
      <c r="EF29" s="33">
        <f t="shared" si="64"/>
        <v>8095.312739999999</v>
      </c>
      <c r="EG29" s="33">
        <f t="shared" si="65"/>
        <v>113935.57674</v>
      </c>
      <c r="EH29" s="20">
        <f t="shared" si="66"/>
        <v>4270.3336464</v>
      </c>
      <c r="EI29" s="20">
        <f t="shared" si="109"/>
        <v>2767.9155072</v>
      </c>
      <c r="EJ29" s="51"/>
      <c r="EK29" s="51">
        <f t="shared" si="110"/>
        <v>105697.16799999999</v>
      </c>
      <c r="EL29" s="51">
        <f t="shared" si="67"/>
        <v>8084.36788</v>
      </c>
      <c r="EM29" s="33">
        <f t="shared" si="68"/>
        <v>113781.53588</v>
      </c>
      <c r="EN29" s="20">
        <f t="shared" si="69"/>
        <v>4264.560156799999</v>
      </c>
      <c r="EO29" s="20">
        <f t="shared" si="111"/>
        <v>2764.1732863999996</v>
      </c>
      <c r="EP29" s="51"/>
      <c r="EQ29" s="33"/>
      <c r="ER29" s="33"/>
      <c r="ES29" s="33"/>
    </row>
    <row r="30" spans="1:149" s="53" customFormat="1" ht="12">
      <c r="A30" s="52">
        <v>45931</v>
      </c>
      <c r="C30" s="41"/>
      <c r="D30" s="41">
        <v>297075</v>
      </c>
      <c r="E30" s="35">
        <f t="shared" si="0"/>
        <v>297075</v>
      </c>
      <c r="F30" s="35">
        <v>232802</v>
      </c>
      <c r="G30" s="35">
        <v>150896</v>
      </c>
      <c r="H30" s="51"/>
      <c r="I30" s="51"/>
      <c r="J30" s="51">
        <v>30099.223095000005</v>
      </c>
      <c r="K30" s="51">
        <f t="shared" si="1"/>
        <v>30099.223095000005</v>
      </c>
      <c r="L30" s="51">
        <v>23587.172717200003</v>
      </c>
      <c r="M30" s="51">
        <v>15288.5714656</v>
      </c>
      <c r="N30" s="51"/>
      <c r="O30" s="51">
        <f t="shared" si="2"/>
        <v>0</v>
      </c>
      <c r="P30" s="41">
        <f t="shared" si="3"/>
        <v>266975.776905</v>
      </c>
      <c r="Q30" s="33">
        <f t="shared" si="4"/>
        <v>266975.776905</v>
      </c>
      <c r="R30" s="41">
        <f t="shared" si="5"/>
        <v>209214.82728279993</v>
      </c>
      <c r="S30" s="41">
        <f t="shared" si="6"/>
        <v>135607.42853440004</v>
      </c>
      <c r="T30" s="51"/>
      <c r="U30" s="65"/>
      <c r="V30" s="65">
        <f t="shared" si="7"/>
        <v>74373.855135</v>
      </c>
      <c r="W30" s="20">
        <f t="shared" si="8"/>
        <v>74373.855135</v>
      </c>
      <c r="X30" s="20">
        <f t="shared" si="9"/>
        <v>58282.8653476</v>
      </c>
      <c r="Y30" s="20">
        <f t="shared" si="71"/>
        <v>37777.3870048</v>
      </c>
      <c r="Z30" s="51"/>
      <c r="AA30" s="65"/>
      <c r="AB30" s="65">
        <f t="shared" si="10"/>
        <v>5738.3007</v>
      </c>
      <c r="AC30" s="20">
        <f t="shared" si="11"/>
        <v>5738.3007</v>
      </c>
      <c r="AD30" s="20">
        <f t="shared" si="12"/>
        <v>4496.803432</v>
      </c>
      <c r="AE30" s="20">
        <f t="shared" si="73"/>
        <v>2914.707136</v>
      </c>
      <c r="AF30" s="51"/>
      <c r="AG30" s="33"/>
      <c r="AH30" s="33">
        <f t="shared" si="13"/>
        <v>7107.519375</v>
      </c>
      <c r="AI30" s="33">
        <f t="shared" si="14"/>
        <v>7107.519375</v>
      </c>
      <c r="AJ30" s="20">
        <f t="shared" si="15"/>
        <v>5569.78785</v>
      </c>
      <c r="AK30" s="20">
        <f t="shared" si="75"/>
        <v>3610.1868</v>
      </c>
      <c r="AL30" s="51"/>
      <c r="AM30" s="65"/>
      <c r="AN30" s="65">
        <f t="shared" si="16"/>
        <v>3521.5567575</v>
      </c>
      <c r="AO30" s="20">
        <f t="shared" si="17"/>
        <v>3521.5567575</v>
      </c>
      <c r="AP30" s="20">
        <f t="shared" si="18"/>
        <v>2759.6581882</v>
      </c>
      <c r="AQ30" s="20">
        <f t="shared" si="77"/>
        <v>1788.7362736</v>
      </c>
      <c r="AR30" s="51"/>
      <c r="AS30" s="65"/>
      <c r="AT30" s="65">
        <f t="shared" si="19"/>
        <v>64201.82889</v>
      </c>
      <c r="AU30" s="20">
        <f t="shared" si="20"/>
        <v>64201.82889</v>
      </c>
      <c r="AV30" s="20">
        <f t="shared" si="21"/>
        <v>50311.5851864</v>
      </c>
      <c r="AW30" s="20">
        <f t="shared" si="79"/>
        <v>32610.617427200003</v>
      </c>
      <c r="AX30" s="51"/>
      <c r="AY30" s="65"/>
      <c r="AZ30" s="65">
        <f t="shared" si="22"/>
        <v>8465.894812499999</v>
      </c>
      <c r="BA30" s="20">
        <f t="shared" si="23"/>
        <v>8465.894812499999</v>
      </c>
      <c r="BB30" s="20">
        <f t="shared" si="24"/>
        <v>6634.274995</v>
      </c>
      <c r="BC30" s="20">
        <f t="shared" si="81"/>
        <v>4300.158759999999</v>
      </c>
      <c r="BD30" s="51"/>
      <c r="BE30" s="51"/>
      <c r="BF30" s="51">
        <f t="shared" si="25"/>
        <v>2511.1749750000004</v>
      </c>
      <c r="BG30" s="33">
        <f t="shared" si="26"/>
        <v>2511.1749750000004</v>
      </c>
      <c r="BH30" s="20">
        <f t="shared" si="27"/>
        <v>1967.8753060000001</v>
      </c>
      <c r="BI30" s="20">
        <f t="shared" si="83"/>
        <v>1275.5238880000002</v>
      </c>
      <c r="BJ30" s="51"/>
      <c r="BK30" s="33"/>
      <c r="BL30" s="33">
        <f t="shared" si="28"/>
        <v>1104.3763125</v>
      </c>
      <c r="BM30" s="33">
        <f t="shared" si="29"/>
        <v>1104.3763125</v>
      </c>
      <c r="BN30" s="20">
        <f t="shared" si="30"/>
        <v>865.441435</v>
      </c>
      <c r="BO30" s="20">
        <f t="shared" si="85"/>
        <v>560.95588</v>
      </c>
      <c r="BP30" s="51"/>
      <c r="BQ30" s="51"/>
      <c r="BR30" s="51">
        <f t="shared" si="31"/>
        <v>9678.436132499999</v>
      </c>
      <c r="BS30" s="33">
        <f t="shared" si="32"/>
        <v>9678.436132499999</v>
      </c>
      <c r="BT30" s="20">
        <f t="shared" si="33"/>
        <v>7584.4796381999995</v>
      </c>
      <c r="BU30" s="20">
        <f t="shared" si="87"/>
        <v>4916.0558736</v>
      </c>
      <c r="BV30" s="51"/>
      <c r="BW30" s="51"/>
      <c r="BX30" s="51">
        <f t="shared" si="34"/>
        <v>749.5202250000001</v>
      </c>
      <c r="BY30" s="33">
        <f t="shared" si="35"/>
        <v>749.5202250000001</v>
      </c>
      <c r="BZ30" s="20">
        <f t="shared" si="36"/>
        <v>587.359446</v>
      </c>
      <c r="CA30" s="20">
        <f t="shared" si="89"/>
        <v>380.71060800000004</v>
      </c>
      <c r="CB30" s="51"/>
      <c r="CC30" s="51"/>
      <c r="CD30" s="51">
        <f t="shared" si="37"/>
        <v>32279.931839999997</v>
      </c>
      <c r="CE30" s="33">
        <f t="shared" si="38"/>
        <v>32279.931839999997</v>
      </c>
      <c r="CF30" s="20">
        <f t="shared" si="39"/>
        <v>25296.0790784</v>
      </c>
      <c r="CG30" s="20">
        <f t="shared" si="91"/>
        <v>16396.2386432</v>
      </c>
      <c r="CH30" s="51"/>
      <c r="CI30" s="51"/>
      <c r="CJ30" s="51">
        <f t="shared" si="40"/>
        <v>1370.8822949999999</v>
      </c>
      <c r="CK30" s="33">
        <f t="shared" si="41"/>
        <v>1370.8822949999999</v>
      </c>
      <c r="CL30" s="20">
        <f t="shared" si="42"/>
        <v>1074.2881092</v>
      </c>
      <c r="CM30" s="20">
        <f t="shared" si="93"/>
        <v>696.3246816</v>
      </c>
      <c r="CN30" s="51"/>
      <c r="CO30" s="33"/>
      <c r="CP30" s="33">
        <f t="shared" si="43"/>
        <v>3.7728525000000004</v>
      </c>
      <c r="CQ30" s="33">
        <f t="shared" si="44"/>
        <v>3.7728525000000004</v>
      </c>
      <c r="CR30" s="20">
        <f t="shared" si="45"/>
        <v>2.9565854000000003</v>
      </c>
      <c r="CS30" s="20">
        <f t="shared" si="95"/>
        <v>1.9163792</v>
      </c>
      <c r="CT30" s="51"/>
      <c r="CU30" s="51"/>
      <c r="CV30" s="51">
        <f t="shared" si="46"/>
        <v>952.0956675</v>
      </c>
      <c r="CW30" s="33">
        <f t="shared" si="47"/>
        <v>952.0956675</v>
      </c>
      <c r="CX30" s="20">
        <f t="shared" si="48"/>
        <v>746.1071298</v>
      </c>
      <c r="CY30" s="20">
        <f t="shared" si="97"/>
        <v>483.6065904</v>
      </c>
      <c r="CZ30" s="51"/>
      <c r="DA30" s="51"/>
      <c r="DB30" s="51">
        <f t="shared" si="49"/>
        <v>2432.5392224999996</v>
      </c>
      <c r="DC30" s="33">
        <f t="shared" si="50"/>
        <v>2432.5392224999996</v>
      </c>
      <c r="DD30" s="20">
        <f t="shared" si="51"/>
        <v>1906.2526166000002</v>
      </c>
      <c r="DE30" s="20">
        <f t="shared" si="99"/>
        <v>1235.5817168</v>
      </c>
      <c r="DF30" s="51"/>
      <c r="DG30" s="51"/>
      <c r="DH30" s="51">
        <f t="shared" si="52"/>
        <v>4111.339755</v>
      </c>
      <c r="DI30" s="33">
        <f t="shared" si="53"/>
        <v>4111.339755</v>
      </c>
      <c r="DJ30" s="20">
        <f t="shared" si="54"/>
        <v>3221.8399988</v>
      </c>
      <c r="DK30" s="20">
        <f t="shared" si="101"/>
        <v>2088.3101024</v>
      </c>
      <c r="DL30" s="51"/>
      <c r="DM30" s="51"/>
      <c r="DN30" s="51">
        <f t="shared" si="55"/>
        <v>33820.265715</v>
      </c>
      <c r="DO30" s="33">
        <f t="shared" si="56"/>
        <v>33820.265715</v>
      </c>
      <c r="DP30" s="20">
        <f t="shared" si="57"/>
        <v>26503.1574484</v>
      </c>
      <c r="DQ30" s="20">
        <f t="shared" si="103"/>
        <v>17178.6344032</v>
      </c>
      <c r="DR30" s="51"/>
      <c r="DS30" s="51"/>
      <c r="DT30" s="51">
        <f t="shared" si="58"/>
        <v>634.9978125</v>
      </c>
      <c r="DU30" s="33">
        <f t="shared" si="59"/>
        <v>634.9978125</v>
      </c>
      <c r="DV30" s="20">
        <f t="shared" si="60"/>
        <v>497.614275</v>
      </c>
      <c r="DW30" s="20">
        <f t="shared" si="105"/>
        <v>322.5402</v>
      </c>
      <c r="DX30" s="51"/>
      <c r="DY30" s="51"/>
      <c r="DZ30" s="51">
        <f t="shared" si="61"/>
        <v>3026.2436100000004</v>
      </c>
      <c r="EA30" s="33">
        <f t="shared" si="62"/>
        <v>3026.2436100000004</v>
      </c>
      <c r="EB30" s="20">
        <f t="shared" si="63"/>
        <v>2371.5074136</v>
      </c>
      <c r="EC30" s="20">
        <f t="shared" si="107"/>
        <v>1537.1473727999999</v>
      </c>
      <c r="ED30" s="33"/>
      <c r="EE30" s="33"/>
      <c r="EF30" s="33">
        <f t="shared" si="64"/>
        <v>5449.30614</v>
      </c>
      <c r="EG30" s="33">
        <f t="shared" si="65"/>
        <v>5449.30614</v>
      </c>
      <c r="EH30" s="20">
        <f t="shared" si="66"/>
        <v>4270.3336464</v>
      </c>
      <c r="EI30" s="20">
        <f t="shared" si="109"/>
        <v>2767.9155072</v>
      </c>
      <c r="EJ30" s="51"/>
      <c r="EK30" s="51"/>
      <c r="EL30" s="51">
        <f t="shared" si="67"/>
        <v>5441.93868</v>
      </c>
      <c r="EM30" s="33">
        <f t="shared" si="68"/>
        <v>5441.93868</v>
      </c>
      <c r="EN30" s="20">
        <f t="shared" si="69"/>
        <v>4264.560156799999</v>
      </c>
      <c r="EO30" s="20">
        <f t="shared" si="111"/>
        <v>2764.1732863999996</v>
      </c>
      <c r="EP30" s="51"/>
      <c r="EQ30" s="33"/>
      <c r="ER30" s="33"/>
      <c r="ES30" s="33"/>
    </row>
    <row r="31" spans="1:149" s="53" customFormat="1" ht="12">
      <c r="A31" s="52">
        <v>46113</v>
      </c>
      <c r="C31" s="41">
        <v>6060000</v>
      </c>
      <c r="D31" s="41">
        <v>297075</v>
      </c>
      <c r="E31" s="35">
        <f t="shared" si="0"/>
        <v>6357075</v>
      </c>
      <c r="F31" s="35">
        <v>232802</v>
      </c>
      <c r="G31" s="35">
        <v>150896</v>
      </c>
      <c r="H31" s="51"/>
      <c r="I31" s="51">
        <v>613990.7159999999</v>
      </c>
      <c r="J31" s="51">
        <v>30099.223095000005</v>
      </c>
      <c r="K31" s="51">
        <f t="shared" si="1"/>
        <v>644089.9390949999</v>
      </c>
      <c r="L31" s="51">
        <v>23587.172717200003</v>
      </c>
      <c r="M31" s="51">
        <v>15288.5714656</v>
      </c>
      <c r="N31" s="51"/>
      <c r="O31" s="51">
        <f t="shared" si="2"/>
        <v>5446009.284000001</v>
      </c>
      <c r="P31" s="41">
        <f t="shared" si="3"/>
        <v>266975.776905</v>
      </c>
      <c r="Q31" s="33">
        <f t="shared" si="4"/>
        <v>5712985.060905001</v>
      </c>
      <c r="R31" s="41">
        <f t="shared" si="5"/>
        <v>209214.82728279993</v>
      </c>
      <c r="S31" s="41">
        <f t="shared" si="6"/>
        <v>135607.42853440004</v>
      </c>
      <c r="T31" s="51"/>
      <c r="U31" s="65">
        <f t="shared" si="70"/>
        <v>1517144.0280000002</v>
      </c>
      <c r="V31" s="65">
        <f t="shared" si="7"/>
        <v>74373.855135</v>
      </c>
      <c r="W31" s="20">
        <f t="shared" si="8"/>
        <v>1591517.8831350002</v>
      </c>
      <c r="X31" s="20">
        <f t="shared" si="9"/>
        <v>58282.8653476</v>
      </c>
      <c r="Y31" s="20">
        <f t="shared" si="71"/>
        <v>37777.3870048</v>
      </c>
      <c r="Z31" s="51"/>
      <c r="AA31" s="65">
        <f t="shared" si="72"/>
        <v>117054.96</v>
      </c>
      <c r="AB31" s="65">
        <f t="shared" si="10"/>
        <v>5738.3007</v>
      </c>
      <c r="AC31" s="20">
        <f t="shared" si="11"/>
        <v>122793.26070000001</v>
      </c>
      <c r="AD31" s="20">
        <f t="shared" si="12"/>
        <v>4496.803432</v>
      </c>
      <c r="AE31" s="20">
        <f t="shared" si="73"/>
        <v>2914.707136</v>
      </c>
      <c r="AF31" s="51"/>
      <c r="AG31" s="33">
        <f t="shared" si="74"/>
        <v>144985.5</v>
      </c>
      <c r="AH31" s="33">
        <f t="shared" si="13"/>
        <v>7107.519375</v>
      </c>
      <c r="AI31" s="33">
        <f t="shared" si="14"/>
        <v>152093.019375</v>
      </c>
      <c r="AJ31" s="20">
        <f t="shared" si="15"/>
        <v>5569.78785</v>
      </c>
      <c r="AK31" s="20">
        <f t="shared" si="75"/>
        <v>3610.1868</v>
      </c>
      <c r="AL31" s="51"/>
      <c r="AM31" s="65">
        <f t="shared" si="76"/>
        <v>71835.846</v>
      </c>
      <c r="AN31" s="65">
        <f t="shared" si="16"/>
        <v>3521.5567575</v>
      </c>
      <c r="AO31" s="20">
        <f t="shared" si="17"/>
        <v>75357.40275750001</v>
      </c>
      <c r="AP31" s="20">
        <f t="shared" si="18"/>
        <v>2759.6581882</v>
      </c>
      <c r="AQ31" s="20">
        <f t="shared" si="77"/>
        <v>1788.7362736</v>
      </c>
      <c r="AR31" s="51"/>
      <c r="AS31" s="65">
        <f t="shared" si="78"/>
        <v>1309645.9919999999</v>
      </c>
      <c r="AT31" s="65">
        <f t="shared" si="19"/>
        <v>64201.82889</v>
      </c>
      <c r="AU31" s="20">
        <f t="shared" si="20"/>
        <v>1373847.8208899999</v>
      </c>
      <c r="AV31" s="20">
        <f t="shared" si="21"/>
        <v>50311.5851864</v>
      </c>
      <c r="AW31" s="20">
        <f t="shared" si="79"/>
        <v>32610.617427200003</v>
      </c>
      <c r="AX31" s="51"/>
      <c r="AY31" s="65">
        <f t="shared" si="80"/>
        <v>172694.85</v>
      </c>
      <c r="AZ31" s="65">
        <f t="shared" si="22"/>
        <v>8465.894812499999</v>
      </c>
      <c r="BA31" s="20">
        <f t="shared" si="23"/>
        <v>181160.7448125</v>
      </c>
      <c r="BB31" s="20">
        <f t="shared" si="24"/>
        <v>6634.274995</v>
      </c>
      <c r="BC31" s="20">
        <f t="shared" si="81"/>
        <v>4300.158759999999</v>
      </c>
      <c r="BD31" s="51"/>
      <c r="BE31" s="51">
        <f t="shared" si="82"/>
        <v>51225.18</v>
      </c>
      <c r="BF31" s="51">
        <f t="shared" si="25"/>
        <v>2511.1749750000004</v>
      </c>
      <c r="BG31" s="33">
        <f t="shared" si="26"/>
        <v>53736.354975</v>
      </c>
      <c r="BH31" s="20">
        <f t="shared" si="27"/>
        <v>1967.8753060000001</v>
      </c>
      <c r="BI31" s="20">
        <f t="shared" si="83"/>
        <v>1275.5238880000002</v>
      </c>
      <c r="BJ31" s="51"/>
      <c r="BK31" s="33">
        <f t="shared" si="84"/>
        <v>22528.05</v>
      </c>
      <c r="BL31" s="33">
        <f t="shared" si="28"/>
        <v>1104.3763125</v>
      </c>
      <c r="BM31" s="33">
        <f t="shared" si="29"/>
        <v>23632.4263125</v>
      </c>
      <c r="BN31" s="20">
        <f t="shared" si="30"/>
        <v>865.441435</v>
      </c>
      <c r="BO31" s="20">
        <f t="shared" si="85"/>
        <v>560.95588</v>
      </c>
      <c r="BP31" s="51"/>
      <c r="BQ31" s="51">
        <f t="shared" si="86"/>
        <v>197429.346</v>
      </c>
      <c r="BR31" s="51">
        <f t="shared" si="31"/>
        <v>9678.436132499999</v>
      </c>
      <c r="BS31" s="33">
        <f t="shared" si="32"/>
        <v>207107.7821325</v>
      </c>
      <c r="BT31" s="20">
        <f t="shared" si="33"/>
        <v>7584.4796381999995</v>
      </c>
      <c r="BU31" s="20">
        <f t="shared" si="87"/>
        <v>4916.0558736</v>
      </c>
      <c r="BV31" s="51"/>
      <c r="BW31" s="51">
        <f t="shared" si="88"/>
        <v>15289.380000000003</v>
      </c>
      <c r="BX31" s="51">
        <f t="shared" si="34"/>
        <v>749.5202250000001</v>
      </c>
      <c r="BY31" s="33">
        <f t="shared" si="35"/>
        <v>16038.900225000003</v>
      </c>
      <c r="BZ31" s="20">
        <f t="shared" si="36"/>
        <v>587.359446</v>
      </c>
      <c r="CA31" s="20">
        <f t="shared" si="89"/>
        <v>380.71060800000004</v>
      </c>
      <c r="CB31" s="51"/>
      <c r="CC31" s="51">
        <f t="shared" si="90"/>
        <v>658474.752</v>
      </c>
      <c r="CD31" s="51">
        <f t="shared" si="37"/>
        <v>32279.931839999997</v>
      </c>
      <c r="CE31" s="33">
        <f t="shared" si="38"/>
        <v>690754.68384</v>
      </c>
      <c r="CF31" s="20">
        <f t="shared" si="39"/>
        <v>25296.0790784</v>
      </c>
      <c r="CG31" s="20">
        <f t="shared" si="91"/>
        <v>16396.2386432</v>
      </c>
      <c r="CH31" s="51"/>
      <c r="CI31" s="51">
        <f t="shared" si="92"/>
        <v>27964.476000000002</v>
      </c>
      <c r="CJ31" s="51">
        <f t="shared" si="40"/>
        <v>1370.8822949999999</v>
      </c>
      <c r="CK31" s="33">
        <f t="shared" si="41"/>
        <v>29335.358295</v>
      </c>
      <c r="CL31" s="20">
        <f t="shared" si="42"/>
        <v>1074.2881092</v>
      </c>
      <c r="CM31" s="20">
        <f t="shared" si="93"/>
        <v>696.3246816</v>
      </c>
      <c r="CN31" s="51"/>
      <c r="CO31" s="33">
        <f t="shared" si="94"/>
        <v>76.962</v>
      </c>
      <c r="CP31" s="33">
        <f t="shared" si="43"/>
        <v>3.7728525000000004</v>
      </c>
      <c r="CQ31" s="33">
        <f t="shared" si="44"/>
        <v>80.7348525</v>
      </c>
      <c r="CR31" s="20">
        <f t="shared" si="45"/>
        <v>2.9565854000000003</v>
      </c>
      <c r="CS31" s="20">
        <f t="shared" si="95"/>
        <v>1.9163792</v>
      </c>
      <c r="CT31" s="51"/>
      <c r="CU31" s="51">
        <f t="shared" si="96"/>
        <v>19421.694</v>
      </c>
      <c r="CV31" s="51">
        <f t="shared" si="46"/>
        <v>952.0956675</v>
      </c>
      <c r="CW31" s="33">
        <f t="shared" si="47"/>
        <v>20373.7896675</v>
      </c>
      <c r="CX31" s="20">
        <f t="shared" si="48"/>
        <v>746.1071298</v>
      </c>
      <c r="CY31" s="20">
        <f t="shared" si="97"/>
        <v>483.6065904</v>
      </c>
      <c r="CZ31" s="51"/>
      <c r="DA31" s="51">
        <f t="shared" si="98"/>
        <v>49621.098</v>
      </c>
      <c r="DB31" s="51">
        <f t="shared" si="49"/>
        <v>2432.5392224999996</v>
      </c>
      <c r="DC31" s="33">
        <f t="shared" si="50"/>
        <v>52053.637222499994</v>
      </c>
      <c r="DD31" s="20">
        <f t="shared" si="51"/>
        <v>1906.2526166000002</v>
      </c>
      <c r="DE31" s="20">
        <f t="shared" si="99"/>
        <v>1235.5817168</v>
      </c>
      <c r="DF31" s="51"/>
      <c r="DG31" s="51">
        <f t="shared" si="100"/>
        <v>83866.764</v>
      </c>
      <c r="DH31" s="51">
        <f t="shared" si="52"/>
        <v>4111.339755</v>
      </c>
      <c r="DI31" s="33">
        <f t="shared" si="53"/>
        <v>87978.10375499999</v>
      </c>
      <c r="DJ31" s="20">
        <f t="shared" si="54"/>
        <v>3221.8399988</v>
      </c>
      <c r="DK31" s="20">
        <f t="shared" si="101"/>
        <v>2088.3101024</v>
      </c>
      <c r="DL31" s="51"/>
      <c r="DM31" s="51">
        <f t="shared" si="102"/>
        <v>689895.8520000001</v>
      </c>
      <c r="DN31" s="51">
        <f t="shared" si="55"/>
        <v>33820.265715</v>
      </c>
      <c r="DO31" s="33">
        <f t="shared" si="56"/>
        <v>723716.1177150001</v>
      </c>
      <c r="DP31" s="20">
        <f t="shared" si="57"/>
        <v>26503.1574484</v>
      </c>
      <c r="DQ31" s="20">
        <f t="shared" si="103"/>
        <v>17178.6344032</v>
      </c>
      <c r="DR31" s="51"/>
      <c r="DS31" s="51">
        <f t="shared" si="104"/>
        <v>12953.25</v>
      </c>
      <c r="DT31" s="51">
        <f t="shared" si="58"/>
        <v>634.9978125</v>
      </c>
      <c r="DU31" s="33">
        <f t="shared" si="59"/>
        <v>13588.2478125</v>
      </c>
      <c r="DV31" s="20">
        <f t="shared" si="60"/>
        <v>497.614275</v>
      </c>
      <c r="DW31" s="20">
        <f t="shared" si="105"/>
        <v>322.5402</v>
      </c>
      <c r="DX31" s="51"/>
      <c r="DY31" s="51">
        <f t="shared" si="106"/>
        <v>61732.008</v>
      </c>
      <c r="DZ31" s="51">
        <f t="shared" si="61"/>
        <v>3026.2436100000004</v>
      </c>
      <c r="EA31" s="33">
        <f t="shared" si="62"/>
        <v>64758.25161</v>
      </c>
      <c r="EB31" s="20">
        <f t="shared" si="63"/>
        <v>2371.5074136</v>
      </c>
      <c r="EC31" s="20">
        <f t="shared" si="107"/>
        <v>1537.1473727999999</v>
      </c>
      <c r="ED31" s="33"/>
      <c r="EE31" s="33">
        <f t="shared" si="108"/>
        <v>111159.79199999999</v>
      </c>
      <c r="EF31" s="33">
        <f t="shared" si="64"/>
        <v>5449.30614</v>
      </c>
      <c r="EG31" s="33">
        <f t="shared" si="65"/>
        <v>116609.09813999999</v>
      </c>
      <c r="EH31" s="20">
        <f t="shared" si="66"/>
        <v>4270.3336464</v>
      </c>
      <c r="EI31" s="20">
        <f t="shared" si="109"/>
        <v>2767.9155072</v>
      </c>
      <c r="EJ31" s="51"/>
      <c r="EK31" s="51">
        <f t="shared" si="110"/>
        <v>111009.504</v>
      </c>
      <c r="EL31" s="51">
        <f t="shared" si="67"/>
        <v>5441.93868</v>
      </c>
      <c r="EM31" s="33">
        <f t="shared" si="68"/>
        <v>116451.44268000001</v>
      </c>
      <c r="EN31" s="20">
        <f t="shared" si="69"/>
        <v>4264.560156799999</v>
      </c>
      <c r="EO31" s="20">
        <f t="shared" si="111"/>
        <v>2764.1732863999996</v>
      </c>
      <c r="EP31" s="51"/>
      <c r="EQ31" s="33"/>
      <c r="ER31" s="33"/>
      <c r="ES31" s="33"/>
    </row>
    <row r="32" spans="1:149" s="53" customFormat="1" ht="12">
      <c r="A32" s="19">
        <v>46296</v>
      </c>
      <c r="C32" s="41"/>
      <c r="D32" s="41">
        <v>191025</v>
      </c>
      <c r="E32" s="35">
        <f t="shared" si="0"/>
        <v>191025</v>
      </c>
      <c r="F32" s="35">
        <v>232802</v>
      </c>
      <c r="G32" s="35">
        <v>150896</v>
      </c>
      <c r="H32" s="51"/>
      <c r="I32" s="51"/>
      <c r="J32" s="51">
        <v>19354.385565</v>
      </c>
      <c r="K32" s="51">
        <f t="shared" si="1"/>
        <v>19354.385565</v>
      </c>
      <c r="L32" s="51">
        <v>23587.172717200003</v>
      </c>
      <c r="M32" s="51">
        <v>15288.5714656</v>
      </c>
      <c r="N32" s="51"/>
      <c r="O32" s="51">
        <f t="shared" si="2"/>
        <v>0</v>
      </c>
      <c r="P32" s="41">
        <f t="shared" si="3"/>
        <v>171670.614435</v>
      </c>
      <c r="Q32" s="33">
        <f t="shared" si="4"/>
        <v>171670.614435</v>
      </c>
      <c r="R32" s="41">
        <f t="shared" si="5"/>
        <v>209214.82728279993</v>
      </c>
      <c r="S32" s="41">
        <f t="shared" si="6"/>
        <v>135607.42853440004</v>
      </c>
      <c r="T32" s="51"/>
      <c r="U32" s="65"/>
      <c r="V32" s="65">
        <f t="shared" si="7"/>
        <v>47823.834644999995</v>
      </c>
      <c r="W32" s="20">
        <f t="shared" si="8"/>
        <v>47823.834644999995</v>
      </c>
      <c r="X32" s="20">
        <f t="shared" si="9"/>
        <v>58282.8653476</v>
      </c>
      <c r="Y32" s="20">
        <f t="shared" si="71"/>
        <v>37777.3870048</v>
      </c>
      <c r="Z32" s="51"/>
      <c r="AA32" s="65"/>
      <c r="AB32" s="65">
        <f t="shared" si="10"/>
        <v>3689.8389</v>
      </c>
      <c r="AC32" s="20">
        <f t="shared" si="11"/>
        <v>3689.8389</v>
      </c>
      <c r="AD32" s="20">
        <f t="shared" si="12"/>
        <v>4496.803432</v>
      </c>
      <c r="AE32" s="20">
        <f t="shared" si="73"/>
        <v>2914.707136</v>
      </c>
      <c r="AF32" s="51"/>
      <c r="AG32" s="33"/>
      <c r="AH32" s="33">
        <f t="shared" si="13"/>
        <v>4570.273125</v>
      </c>
      <c r="AI32" s="33">
        <f t="shared" si="14"/>
        <v>4570.273125</v>
      </c>
      <c r="AJ32" s="20">
        <f t="shared" si="15"/>
        <v>5569.78785</v>
      </c>
      <c r="AK32" s="20">
        <f t="shared" si="75"/>
        <v>3610.1868</v>
      </c>
      <c r="AL32" s="51"/>
      <c r="AM32" s="65"/>
      <c r="AN32" s="65">
        <f t="shared" si="16"/>
        <v>2264.4294525</v>
      </c>
      <c r="AO32" s="20">
        <f t="shared" si="17"/>
        <v>2264.4294525</v>
      </c>
      <c r="AP32" s="20">
        <f t="shared" si="18"/>
        <v>2759.6581882</v>
      </c>
      <c r="AQ32" s="20">
        <f t="shared" si="77"/>
        <v>1788.7362736</v>
      </c>
      <c r="AR32" s="51"/>
      <c r="AS32" s="65"/>
      <c r="AT32" s="65">
        <f t="shared" si="19"/>
        <v>41283.02403</v>
      </c>
      <c r="AU32" s="20">
        <f t="shared" si="20"/>
        <v>41283.02403</v>
      </c>
      <c r="AV32" s="20">
        <f t="shared" si="21"/>
        <v>50311.5851864</v>
      </c>
      <c r="AW32" s="20">
        <f t="shared" si="79"/>
        <v>32610.617427200003</v>
      </c>
      <c r="AX32" s="51"/>
      <c r="AY32" s="65"/>
      <c r="AZ32" s="65">
        <f t="shared" si="22"/>
        <v>5443.734937499999</v>
      </c>
      <c r="BA32" s="20">
        <f t="shared" si="23"/>
        <v>5443.734937499999</v>
      </c>
      <c r="BB32" s="20">
        <f t="shared" si="24"/>
        <v>6634.274995</v>
      </c>
      <c r="BC32" s="20">
        <f t="shared" si="81"/>
        <v>4300.158759999999</v>
      </c>
      <c r="BD32" s="51"/>
      <c r="BE32" s="51"/>
      <c r="BF32" s="51">
        <f t="shared" si="25"/>
        <v>1614.734325</v>
      </c>
      <c r="BG32" s="33">
        <f t="shared" si="26"/>
        <v>1614.734325</v>
      </c>
      <c r="BH32" s="20">
        <f t="shared" si="27"/>
        <v>1967.8753060000001</v>
      </c>
      <c r="BI32" s="20">
        <f t="shared" si="83"/>
        <v>1275.5238880000002</v>
      </c>
      <c r="BJ32" s="51"/>
      <c r="BK32" s="33"/>
      <c r="BL32" s="33">
        <f t="shared" si="28"/>
        <v>710.1354375000001</v>
      </c>
      <c r="BM32" s="33">
        <f t="shared" si="29"/>
        <v>710.1354375000001</v>
      </c>
      <c r="BN32" s="20">
        <f t="shared" si="30"/>
        <v>865.441435</v>
      </c>
      <c r="BO32" s="20">
        <f t="shared" si="85"/>
        <v>560.95588</v>
      </c>
      <c r="BP32" s="51"/>
      <c r="BQ32" s="51"/>
      <c r="BR32" s="51">
        <f t="shared" si="31"/>
        <v>6223.4225774999995</v>
      </c>
      <c r="BS32" s="33">
        <f t="shared" si="32"/>
        <v>6223.4225774999995</v>
      </c>
      <c r="BT32" s="20">
        <f t="shared" si="33"/>
        <v>7584.4796381999995</v>
      </c>
      <c r="BU32" s="20">
        <f t="shared" si="87"/>
        <v>4916.0558736</v>
      </c>
      <c r="BV32" s="51"/>
      <c r="BW32" s="51"/>
      <c r="BX32" s="51">
        <f t="shared" si="34"/>
        <v>481.95607500000006</v>
      </c>
      <c r="BY32" s="33">
        <f t="shared" si="35"/>
        <v>481.95607500000006</v>
      </c>
      <c r="BZ32" s="20">
        <f t="shared" si="36"/>
        <v>587.359446</v>
      </c>
      <c r="CA32" s="20">
        <f t="shared" si="89"/>
        <v>380.71060800000004</v>
      </c>
      <c r="CB32" s="51"/>
      <c r="CC32" s="51"/>
      <c r="CD32" s="51">
        <f t="shared" si="37"/>
        <v>20756.623679999997</v>
      </c>
      <c r="CE32" s="33">
        <f t="shared" si="38"/>
        <v>20756.623679999997</v>
      </c>
      <c r="CF32" s="20">
        <f t="shared" si="39"/>
        <v>25296.0790784</v>
      </c>
      <c r="CG32" s="20">
        <f t="shared" si="91"/>
        <v>16396.2386432</v>
      </c>
      <c r="CH32" s="51"/>
      <c r="CI32" s="51"/>
      <c r="CJ32" s="51">
        <f t="shared" si="40"/>
        <v>881.503965</v>
      </c>
      <c r="CK32" s="33">
        <f t="shared" si="41"/>
        <v>881.503965</v>
      </c>
      <c r="CL32" s="20">
        <f t="shared" si="42"/>
        <v>1074.2881092</v>
      </c>
      <c r="CM32" s="20">
        <f t="shared" si="93"/>
        <v>696.3246816</v>
      </c>
      <c r="CN32" s="51"/>
      <c r="CO32" s="33"/>
      <c r="CP32" s="33">
        <f t="shared" si="43"/>
        <v>2.4260175</v>
      </c>
      <c r="CQ32" s="33">
        <f t="shared" si="44"/>
        <v>2.4260175</v>
      </c>
      <c r="CR32" s="20">
        <f t="shared" si="45"/>
        <v>2.9565854000000003</v>
      </c>
      <c r="CS32" s="20">
        <f t="shared" si="95"/>
        <v>1.9163792</v>
      </c>
      <c r="CT32" s="51"/>
      <c r="CU32" s="51"/>
      <c r="CV32" s="51">
        <f t="shared" si="46"/>
        <v>612.2160225</v>
      </c>
      <c r="CW32" s="33">
        <f t="shared" si="47"/>
        <v>612.2160225</v>
      </c>
      <c r="CX32" s="20">
        <f t="shared" si="48"/>
        <v>746.1071298</v>
      </c>
      <c r="CY32" s="20">
        <f t="shared" si="97"/>
        <v>483.6065904</v>
      </c>
      <c r="CZ32" s="51"/>
      <c r="DA32" s="51"/>
      <c r="DB32" s="51">
        <f t="shared" si="49"/>
        <v>1564.1700074999999</v>
      </c>
      <c r="DC32" s="33">
        <f t="shared" si="50"/>
        <v>1564.1700074999999</v>
      </c>
      <c r="DD32" s="20">
        <f t="shared" si="51"/>
        <v>1906.2526166000002</v>
      </c>
      <c r="DE32" s="20">
        <f t="shared" si="99"/>
        <v>1235.5817168</v>
      </c>
      <c r="DF32" s="51"/>
      <c r="DG32" s="51"/>
      <c r="DH32" s="51">
        <f t="shared" si="52"/>
        <v>2643.671385</v>
      </c>
      <c r="DI32" s="33">
        <f t="shared" si="53"/>
        <v>2643.671385</v>
      </c>
      <c r="DJ32" s="20">
        <f t="shared" si="54"/>
        <v>3221.8399988</v>
      </c>
      <c r="DK32" s="20">
        <f t="shared" si="101"/>
        <v>2088.3101024</v>
      </c>
      <c r="DL32" s="51"/>
      <c r="DM32" s="51"/>
      <c r="DN32" s="51">
        <f t="shared" si="55"/>
        <v>21747.088305</v>
      </c>
      <c r="DO32" s="33">
        <f t="shared" si="56"/>
        <v>21747.088305</v>
      </c>
      <c r="DP32" s="20">
        <f t="shared" si="57"/>
        <v>26503.1574484</v>
      </c>
      <c r="DQ32" s="20">
        <f t="shared" si="103"/>
        <v>17178.6344032</v>
      </c>
      <c r="DR32" s="51"/>
      <c r="DS32" s="51"/>
      <c r="DT32" s="51">
        <f t="shared" si="58"/>
        <v>408.3159375</v>
      </c>
      <c r="DU32" s="33">
        <f t="shared" si="59"/>
        <v>408.3159375</v>
      </c>
      <c r="DV32" s="20">
        <f t="shared" si="60"/>
        <v>497.614275</v>
      </c>
      <c r="DW32" s="20">
        <f t="shared" si="105"/>
        <v>322.5402</v>
      </c>
      <c r="DX32" s="51"/>
      <c r="DY32" s="51"/>
      <c r="DZ32" s="51">
        <f t="shared" si="61"/>
        <v>1945.9334700000002</v>
      </c>
      <c r="EA32" s="33">
        <f t="shared" si="62"/>
        <v>1945.9334700000002</v>
      </c>
      <c r="EB32" s="20">
        <f t="shared" si="63"/>
        <v>2371.5074136</v>
      </c>
      <c r="EC32" s="20">
        <f t="shared" si="107"/>
        <v>1537.1473727999999</v>
      </c>
      <c r="ED32" s="33"/>
      <c r="EE32" s="33"/>
      <c r="EF32" s="33">
        <f t="shared" si="64"/>
        <v>3504.00978</v>
      </c>
      <c r="EG32" s="33">
        <f t="shared" si="65"/>
        <v>3504.00978</v>
      </c>
      <c r="EH32" s="20">
        <f t="shared" si="66"/>
        <v>4270.3336464</v>
      </c>
      <c r="EI32" s="20">
        <f t="shared" si="109"/>
        <v>2767.9155072</v>
      </c>
      <c r="EJ32" s="51"/>
      <c r="EK32" s="51"/>
      <c r="EL32" s="51">
        <f t="shared" si="67"/>
        <v>3499.27236</v>
      </c>
      <c r="EM32" s="33">
        <f t="shared" si="68"/>
        <v>3499.27236</v>
      </c>
      <c r="EN32" s="20">
        <f t="shared" si="69"/>
        <v>4264.560156799999</v>
      </c>
      <c r="EO32" s="20">
        <f t="shared" si="111"/>
        <v>2764.1732863999996</v>
      </c>
      <c r="EP32" s="51"/>
      <c r="EQ32" s="33"/>
      <c r="ER32" s="33"/>
      <c r="ES32" s="33"/>
    </row>
    <row r="33" spans="1:149" s="53" customFormat="1" ht="12">
      <c r="A33" s="19">
        <v>46478</v>
      </c>
      <c r="C33" s="41">
        <v>6275000</v>
      </c>
      <c r="D33" s="41">
        <v>191025</v>
      </c>
      <c r="E33" s="35">
        <f t="shared" si="0"/>
        <v>6466025</v>
      </c>
      <c r="F33" s="35">
        <v>232802</v>
      </c>
      <c r="G33" s="35">
        <v>150896</v>
      </c>
      <c r="H33" s="51"/>
      <c r="I33" s="51">
        <v>635774.215</v>
      </c>
      <c r="J33" s="51">
        <v>19354.385565</v>
      </c>
      <c r="K33" s="51">
        <f t="shared" si="1"/>
        <v>655128.600565</v>
      </c>
      <c r="L33" s="51">
        <v>23587.172717200003</v>
      </c>
      <c r="M33" s="51">
        <v>15288.5714656</v>
      </c>
      <c r="N33" s="51"/>
      <c r="O33" s="51">
        <f t="shared" si="2"/>
        <v>5639225.784999999</v>
      </c>
      <c r="P33" s="41">
        <f t="shared" si="3"/>
        <v>171670.614435</v>
      </c>
      <c r="Q33" s="33">
        <f t="shared" si="4"/>
        <v>5810896.399435</v>
      </c>
      <c r="R33" s="41">
        <f t="shared" si="5"/>
        <v>209214.82728279993</v>
      </c>
      <c r="S33" s="41">
        <f t="shared" si="6"/>
        <v>135607.42853440004</v>
      </c>
      <c r="T33" s="51"/>
      <c r="U33" s="65">
        <f t="shared" si="70"/>
        <v>1570970.095</v>
      </c>
      <c r="V33" s="65">
        <f t="shared" si="7"/>
        <v>47823.834644999995</v>
      </c>
      <c r="W33" s="20">
        <f t="shared" si="8"/>
        <v>1618793.929645</v>
      </c>
      <c r="X33" s="20">
        <f t="shared" si="9"/>
        <v>58282.8653476</v>
      </c>
      <c r="Y33" s="20">
        <f t="shared" si="71"/>
        <v>37777.3870048</v>
      </c>
      <c r="Z33" s="51"/>
      <c r="AA33" s="65">
        <f t="shared" si="72"/>
        <v>121207.9</v>
      </c>
      <c r="AB33" s="65">
        <f t="shared" si="10"/>
        <v>3689.8389</v>
      </c>
      <c r="AC33" s="20">
        <f t="shared" si="11"/>
        <v>124897.7389</v>
      </c>
      <c r="AD33" s="20">
        <f t="shared" si="12"/>
        <v>4496.803432</v>
      </c>
      <c r="AE33" s="20">
        <f t="shared" si="73"/>
        <v>2914.707136</v>
      </c>
      <c r="AF33" s="51"/>
      <c r="AG33" s="33">
        <f t="shared" si="74"/>
        <v>150129.375</v>
      </c>
      <c r="AH33" s="33">
        <f t="shared" si="13"/>
        <v>4570.273125</v>
      </c>
      <c r="AI33" s="33">
        <f t="shared" si="14"/>
        <v>154699.648125</v>
      </c>
      <c r="AJ33" s="20">
        <f t="shared" si="15"/>
        <v>5569.78785</v>
      </c>
      <c r="AK33" s="20">
        <f t="shared" si="75"/>
        <v>3610.1868</v>
      </c>
      <c r="AL33" s="51"/>
      <c r="AM33" s="65">
        <f t="shared" si="76"/>
        <v>74384.47750000001</v>
      </c>
      <c r="AN33" s="65">
        <f t="shared" si="16"/>
        <v>2264.4294525</v>
      </c>
      <c r="AO33" s="20">
        <f t="shared" si="17"/>
        <v>76648.90695250001</v>
      </c>
      <c r="AP33" s="20">
        <f t="shared" si="18"/>
        <v>2759.6581882</v>
      </c>
      <c r="AQ33" s="20">
        <f t="shared" si="77"/>
        <v>1788.7362736</v>
      </c>
      <c r="AR33" s="51"/>
      <c r="AS33" s="65">
        <f t="shared" si="78"/>
        <v>1356110.33</v>
      </c>
      <c r="AT33" s="65">
        <f t="shared" si="19"/>
        <v>41283.02403</v>
      </c>
      <c r="AU33" s="20">
        <f t="shared" si="20"/>
        <v>1397393.35403</v>
      </c>
      <c r="AV33" s="20">
        <f t="shared" si="21"/>
        <v>50311.5851864</v>
      </c>
      <c r="AW33" s="20">
        <f t="shared" si="79"/>
        <v>32610.617427200003</v>
      </c>
      <c r="AX33" s="51"/>
      <c r="AY33" s="65">
        <f t="shared" si="80"/>
        <v>178821.8125</v>
      </c>
      <c r="AZ33" s="65">
        <f t="shared" si="22"/>
        <v>5443.734937499999</v>
      </c>
      <c r="BA33" s="20">
        <f t="shared" si="23"/>
        <v>184265.5474375</v>
      </c>
      <c r="BB33" s="20">
        <f t="shared" si="24"/>
        <v>6634.274995</v>
      </c>
      <c r="BC33" s="20">
        <f t="shared" si="81"/>
        <v>4300.158759999999</v>
      </c>
      <c r="BD33" s="51"/>
      <c r="BE33" s="51">
        <f t="shared" si="82"/>
        <v>53042.575</v>
      </c>
      <c r="BF33" s="51">
        <f t="shared" si="25"/>
        <v>1614.734325</v>
      </c>
      <c r="BG33" s="33">
        <f t="shared" si="26"/>
        <v>54657.309324999995</v>
      </c>
      <c r="BH33" s="20">
        <f t="shared" si="27"/>
        <v>1967.8753060000001</v>
      </c>
      <c r="BI33" s="20">
        <f t="shared" si="83"/>
        <v>1275.5238880000002</v>
      </c>
      <c r="BJ33" s="51"/>
      <c r="BK33" s="33">
        <f t="shared" si="84"/>
        <v>23327.3125</v>
      </c>
      <c r="BL33" s="33">
        <f t="shared" si="28"/>
        <v>710.1354375000001</v>
      </c>
      <c r="BM33" s="33">
        <f t="shared" si="29"/>
        <v>24037.4479375</v>
      </c>
      <c r="BN33" s="20">
        <f t="shared" si="30"/>
        <v>865.441435</v>
      </c>
      <c r="BO33" s="20">
        <f t="shared" si="85"/>
        <v>560.95588</v>
      </c>
      <c r="BP33" s="51"/>
      <c r="BQ33" s="51">
        <f t="shared" si="86"/>
        <v>204433.8525</v>
      </c>
      <c r="BR33" s="51">
        <f t="shared" si="31"/>
        <v>6223.4225774999995</v>
      </c>
      <c r="BS33" s="33">
        <f t="shared" si="32"/>
        <v>210657.2750775</v>
      </c>
      <c r="BT33" s="20">
        <f t="shared" si="33"/>
        <v>7584.4796381999995</v>
      </c>
      <c r="BU33" s="20">
        <f t="shared" si="87"/>
        <v>4916.0558736</v>
      </c>
      <c r="BV33" s="51"/>
      <c r="BW33" s="51">
        <f t="shared" si="88"/>
        <v>15831.825000000003</v>
      </c>
      <c r="BX33" s="51">
        <f t="shared" si="34"/>
        <v>481.95607500000006</v>
      </c>
      <c r="BY33" s="33">
        <f t="shared" si="35"/>
        <v>16313.781075000003</v>
      </c>
      <c r="BZ33" s="20">
        <f t="shared" si="36"/>
        <v>587.359446</v>
      </c>
      <c r="CA33" s="20">
        <f t="shared" si="89"/>
        <v>380.71060800000004</v>
      </c>
      <c r="CB33" s="51"/>
      <c r="CC33" s="51">
        <f t="shared" si="90"/>
        <v>681836.48</v>
      </c>
      <c r="CD33" s="51">
        <f t="shared" si="37"/>
        <v>20756.623679999997</v>
      </c>
      <c r="CE33" s="33">
        <f t="shared" si="38"/>
        <v>702593.10368</v>
      </c>
      <c r="CF33" s="20">
        <f t="shared" si="39"/>
        <v>25296.0790784</v>
      </c>
      <c r="CG33" s="20">
        <f t="shared" si="91"/>
        <v>16396.2386432</v>
      </c>
      <c r="CH33" s="51"/>
      <c r="CI33" s="51">
        <f t="shared" si="92"/>
        <v>28956.615</v>
      </c>
      <c r="CJ33" s="51">
        <f t="shared" si="40"/>
        <v>881.503965</v>
      </c>
      <c r="CK33" s="33">
        <f t="shared" si="41"/>
        <v>29838.118965</v>
      </c>
      <c r="CL33" s="20">
        <f t="shared" si="42"/>
        <v>1074.2881092</v>
      </c>
      <c r="CM33" s="20">
        <f t="shared" si="93"/>
        <v>696.3246816</v>
      </c>
      <c r="CN33" s="51"/>
      <c r="CO33" s="33">
        <f t="shared" si="94"/>
        <v>79.69250000000001</v>
      </c>
      <c r="CP33" s="33">
        <f t="shared" si="43"/>
        <v>2.4260175</v>
      </c>
      <c r="CQ33" s="33">
        <f t="shared" si="44"/>
        <v>82.11851750000001</v>
      </c>
      <c r="CR33" s="20">
        <f t="shared" si="45"/>
        <v>2.9565854000000003</v>
      </c>
      <c r="CS33" s="20">
        <f t="shared" si="95"/>
        <v>1.9163792</v>
      </c>
      <c r="CT33" s="51"/>
      <c r="CU33" s="51">
        <f t="shared" si="96"/>
        <v>20110.7475</v>
      </c>
      <c r="CV33" s="51">
        <f t="shared" si="46"/>
        <v>612.2160225</v>
      </c>
      <c r="CW33" s="33">
        <f t="shared" si="47"/>
        <v>20722.963522500002</v>
      </c>
      <c r="CX33" s="20">
        <f t="shared" si="48"/>
        <v>746.1071298</v>
      </c>
      <c r="CY33" s="20">
        <f t="shared" si="97"/>
        <v>483.6065904</v>
      </c>
      <c r="CZ33" s="51"/>
      <c r="DA33" s="51">
        <f t="shared" si="98"/>
        <v>51381.5825</v>
      </c>
      <c r="DB33" s="51">
        <f t="shared" si="49"/>
        <v>1564.1700074999999</v>
      </c>
      <c r="DC33" s="33">
        <f t="shared" si="50"/>
        <v>52945.752507499994</v>
      </c>
      <c r="DD33" s="20">
        <f t="shared" si="51"/>
        <v>1906.2526166000002</v>
      </c>
      <c r="DE33" s="20">
        <f t="shared" si="99"/>
        <v>1235.5817168</v>
      </c>
      <c r="DF33" s="51"/>
      <c r="DG33" s="51">
        <f t="shared" si="100"/>
        <v>86842.235</v>
      </c>
      <c r="DH33" s="51">
        <f t="shared" si="52"/>
        <v>2643.671385</v>
      </c>
      <c r="DI33" s="33">
        <f t="shared" si="53"/>
        <v>89485.906385</v>
      </c>
      <c r="DJ33" s="20">
        <f t="shared" si="54"/>
        <v>3221.8399988</v>
      </c>
      <c r="DK33" s="20">
        <f t="shared" si="101"/>
        <v>2088.3101024</v>
      </c>
      <c r="DL33" s="51"/>
      <c r="DM33" s="51">
        <f t="shared" si="102"/>
        <v>714372.355</v>
      </c>
      <c r="DN33" s="51">
        <f t="shared" si="55"/>
        <v>21747.088305</v>
      </c>
      <c r="DO33" s="33">
        <f t="shared" si="56"/>
        <v>736119.443305</v>
      </c>
      <c r="DP33" s="20">
        <f t="shared" si="57"/>
        <v>26503.1574484</v>
      </c>
      <c r="DQ33" s="20">
        <f t="shared" si="103"/>
        <v>17178.6344032</v>
      </c>
      <c r="DR33" s="51"/>
      <c r="DS33" s="51">
        <f t="shared" si="104"/>
        <v>13412.8125</v>
      </c>
      <c r="DT33" s="51">
        <f t="shared" si="58"/>
        <v>408.3159375</v>
      </c>
      <c r="DU33" s="33">
        <f t="shared" si="59"/>
        <v>13821.1284375</v>
      </c>
      <c r="DV33" s="20">
        <f t="shared" si="60"/>
        <v>497.614275</v>
      </c>
      <c r="DW33" s="20">
        <f t="shared" si="105"/>
        <v>322.5402</v>
      </c>
      <c r="DX33" s="51"/>
      <c r="DY33" s="51">
        <f t="shared" si="106"/>
        <v>63922.17</v>
      </c>
      <c r="DZ33" s="51">
        <f t="shared" si="61"/>
        <v>1945.9334700000002</v>
      </c>
      <c r="EA33" s="33">
        <f t="shared" si="62"/>
        <v>65868.10347</v>
      </c>
      <c r="EB33" s="20">
        <f t="shared" si="63"/>
        <v>2371.5074136</v>
      </c>
      <c r="EC33" s="20">
        <f t="shared" si="107"/>
        <v>1537.1473727999999</v>
      </c>
      <c r="ED33" s="33"/>
      <c r="EE33" s="33">
        <f t="shared" si="108"/>
        <v>115103.58</v>
      </c>
      <c r="EF33" s="33">
        <f t="shared" si="64"/>
        <v>3504.00978</v>
      </c>
      <c r="EG33" s="33">
        <f t="shared" si="65"/>
        <v>118607.58978</v>
      </c>
      <c r="EH33" s="20">
        <f t="shared" si="66"/>
        <v>4270.3336464</v>
      </c>
      <c r="EI33" s="20">
        <f t="shared" si="109"/>
        <v>2767.9155072</v>
      </c>
      <c r="EJ33" s="51"/>
      <c r="EK33" s="51">
        <f t="shared" si="110"/>
        <v>114947.96</v>
      </c>
      <c r="EL33" s="51">
        <f t="shared" si="67"/>
        <v>3499.27236</v>
      </c>
      <c r="EM33" s="33">
        <f t="shared" si="68"/>
        <v>118447.23236000001</v>
      </c>
      <c r="EN33" s="20">
        <f t="shared" si="69"/>
        <v>4264.560156799999</v>
      </c>
      <c r="EO33" s="20">
        <f t="shared" si="111"/>
        <v>2764.1732863999996</v>
      </c>
      <c r="EP33" s="51"/>
      <c r="EQ33" s="33"/>
      <c r="ER33" s="33"/>
      <c r="ES33" s="33"/>
    </row>
    <row r="34" spans="1:149" ht="12">
      <c r="A34" s="19">
        <v>46661</v>
      </c>
      <c r="C34" s="41"/>
      <c r="D34" s="41">
        <v>96900</v>
      </c>
      <c r="E34" s="35">
        <f t="shared" si="0"/>
        <v>96900</v>
      </c>
      <c r="F34" s="35">
        <v>232802</v>
      </c>
      <c r="G34" s="35">
        <v>150896</v>
      </c>
      <c r="I34" s="51"/>
      <c r="J34" s="51">
        <v>9817.772340000001</v>
      </c>
      <c r="K34" s="51">
        <f t="shared" si="1"/>
        <v>9817.772340000001</v>
      </c>
      <c r="L34" s="51">
        <v>23587.172717200003</v>
      </c>
      <c r="M34" s="51">
        <v>15288.5714656</v>
      </c>
      <c r="O34" s="51">
        <f t="shared" si="2"/>
        <v>0</v>
      </c>
      <c r="P34" s="41">
        <f t="shared" si="3"/>
        <v>87082.22766</v>
      </c>
      <c r="Q34" s="33">
        <f t="shared" si="4"/>
        <v>87082.22766</v>
      </c>
      <c r="R34" s="41">
        <f t="shared" si="5"/>
        <v>209214.82728279993</v>
      </c>
      <c r="S34" s="41">
        <f t="shared" si="6"/>
        <v>135607.42853440004</v>
      </c>
      <c r="U34" s="65"/>
      <c r="V34" s="65">
        <f t="shared" si="7"/>
        <v>24259.28322</v>
      </c>
      <c r="W34" s="20">
        <f t="shared" si="8"/>
        <v>24259.28322</v>
      </c>
      <c r="X34" s="20">
        <f t="shared" si="9"/>
        <v>58282.8653476</v>
      </c>
      <c r="Y34" s="20">
        <f t="shared" si="71"/>
        <v>37777.3870048</v>
      </c>
      <c r="AA34" s="65"/>
      <c r="AB34" s="65">
        <f t="shared" si="10"/>
        <v>1871.7204000000002</v>
      </c>
      <c r="AC34" s="20">
        <f t="shared" si="11"/>
        <v>1871.7204000000002</v>
      </c>
      <c r="AD34" s="20">
        <f t="shared" si="12"/>
        <v>4496.803432</v>
      </c>
      <c r="AE34" s="20">
        <f t="shared" si="73"/>
        <v>2914.707136</v>
      </c>
      <c r="AH34" s="33">
        <f t="shared" si="13"/>
        <v>2318.3325</v>
      </c>
      <c r="AI34" s="33">
        <f t="shared" si="14"/>
        <v>2318.3325</v>
      </c>
      <c r="AJ34" s="20">
        <f t="shared" si="15"/>
        <v>5569.78785</v>
      </c>
      <c r="AK34" s="20">
        <f t="shared" si="75"/>
        <v>3610.1868</v>
      </c>
      <c r="AM34" s="65"/>
      <c r="AN34" s="65">
        <f t="shared" si="16"/>
        <v>1148.66229</v>
      </c>
      <c r="AO34" s="20">
        <f t="shared" si="17"/>
        <v>1148.66229</v>
      </c>
      <c r="AP34" s="20">
        <f t="shared" si="18"/>
        <v>2759.6581882</v>
      </c>
      <c r="AQ34" s="20">
        <f t="shared" si="77"/>
        <v>1788.7362736</v>
      </c>
      <c r="AS34" s="65"/>
      <c r="AT34" s="65">
        <f t="shared" si="19"/>
        <v>20941.369079999997</v>
      </c>
      <c r="AU34" s="20">
        <f t="shared" si="20"/>
        <v>20941.369079999997</v>
      </c>
      <c r="AV34" s="20">
        <f t="shared" si="21"/>
        <v>50311.5851864</v>
      </c>
      <c r="AW34" s="20">
        <f t="shared" si="79"/>
        <v>32610.617427200003</v>
      </c>
      <c r="AX34" s="33"/>
      <c r="AY34" s="65"/>
      <c r="AZ34" s="65">
        <f t="shared" si="22"/>
        <v>2761.40775</v>
      </c>
      <c r="BA34" s="20">
        <f t="shared" si="23"/>
        <v>2761.40775</v>
      </c>
      <c r="BB34" s="20">
        <f t="shared" si="24"/>
        <v>6634.274995</v>
      </c>
      <c r="BC34" s="20">
        <f t="shared" si="81"/>
        <v>4300.158759999999</v>
      </c>
      <c r="BD34" s="33"/>
      <c r="BE34" s="51"/>
      <c r="BF34" s="51">
        <f t="shared" si="25"/>
        <v>819.0957000000001</v>
      </c>
      <c r="BG34" s="33">
        <f t="shared" si="26"/>
        <v>819.0957000000001</v>
      </c>
      <c r="BH34" s="20">
        <f t="shared" si="27"/>
        <v>1967.8753060000001</v>
      </c>
      <c r="BI34" s="20">
        <f t="shared" si="83"/>
        <v>1275.5238880000002</v>
      </c>
      <c r="BJ34" s="33"/>
      <c r="BK34" s="33"/>
      <c r="BL34" s="33">
        <f t="shared" si="28"/>
        <v>360.22575000000006</v>
      </c>
      <c r="BM34" s="33">
        <f t="shared" si="29"/>
        <v>360.22575000000006</v>
      </c>
      <c r="BN34" s="20">
        <f t="shared" si="30"/>
        <v>865.441435</v>
      </c>
      <c r="BO34" s="20">
        <f t="shared" si="85"/>
        <v>560.95588</v>
      </c>
      <c r="BP34" s="33"/>
      <c r="BQ34" s="51"/>
      <c r="BR34" s="51">
        <f t="shared" si="31"/>
        <v>3156.91479</v>
      </c>
      <c r="BS34" s="33">
        <f t="shared" si="32"/>
        <v>3156.91479</v>
      </c>
      <c r="BT34" s="20">
        <f t="shared" si="33"/>
        <v>7584.4796381999995</v>
      </c>
      <c r="BU34" s="20">
        <f t="shared" si="87"/>
        <v>4916.0558736</v>
      </c>
      <c r="BV34" s="33"/>
      <c r="BW34" s="51"/>
      <c r="BX34" s="51">
        <f t="shared" si="34"/>
        <v>244.47870000000003</v>
      </c>
      <c r="BY34" s="33">
        <f t="shared" si="35"/>
        <v>244.47870000000003</v>
      </c>
      <c r="BZ34" s="20">
        <f t="shared" si="36"/>
        <v>587.359446</v>
      </c>
      <c r="CA34" s="20">
        <f t="shared" si="89"/>
        <v>380.71060800000004</v>
      </c>
      <c r="CB34" s="33"/>
      <c r="CC34" s="51"/>
      <c r="CD34" s="51">
        <f t="shared" si="37"/>
        <v>10529.076479999998</v>
      </c>
      <c r="CE34" s="33">
        <f t="shared" si="38"/>
        <v>10529.076479999998</v>
      </c>
      <c r="CF34" s="20">
        <f t="shared" si="39"/>
        <v>25296.0790784</v>
      </c>
      <c r="CG34" s="20">
        <f t="shared" si="91"/>
        <v>16396.2386432</v>
      </c>
      <c r="CH34" s="33"/>
      <c r="CI34" s="51"/>
      <c r="CJ34" s="51">
        <f t="shared" si="40"/>
        <v>447.15473999999995</v>
      </c>
      <c r="CK34" s="33">
        <f t="shared" si="41"/>
        <v>447.15473999999995</v>
      </c>
      <c r="CL34" s="20">
        <f t="shared" si="42"/>
        <v>1074.2881092</v>
      </c>
      <c r="CM34" s="20">
        <f t="shared" si="93"/>
        <v>696.3246816</v>
      </c>
      <c r="CN34" s="33"/>
      <c r="CO34" s="33"/>
      <c r="CP34" s="33">
        <f t="shared" si="43"/>
        <v>1.2306300000000001</v>
      </c>
      <c r="CQ34" s="33">
        <f t="shared" si="44"/>
        <v>1.2306300000000001</v>
      </c>
      <c r="CR34" s="20">
        <f t="shared" si="45"/>
        <v>2.9565854000000003</v>
      </c>
      <c r="CS34" s="20">
        <f t="shared" si="95"/>
        <v>1.9163792</v>
      </c>
      <c r="CT34" s="33"/>
      <c r="CU34" s="51"/>
      <c r="CV34" s="51">
        <f t="shared" si="46"/>
        <v>310.55481</v>
      </c>
      <c r="CW34" s="33">
        <f t="shared" si="47"/>
        <v>310.55481</v>
      </c>
      <c r="CX34" s="20">
        <f t="shared" si="48"/>
        <v>746.1071298</v>
      </c>
      <c r="CY34" s="20">
        <f t="shared" si="97"/>
        <v>483.6065904</v>
      </c>
      <c r="CZ34" s="33"/>
      <c r="DA34" s="51"/>
      <c r="DB34" s="51">
        <f t="shared" si="49"/>
        <v>793.4462699999999</v>
      </c>
      <c r="DC34" s="33">
        <f t="shared" si="50"/>
        <v>793.4462699999999</v>
      </c>
      <c r="DD34" s="20">
        <f t="shared" si="51"/>
        <v>1906.2526166000002</v>
      </c>
      <c r="DE34" s="20">
        <f t="shared" si="99"/>
        <v>1235.5817168</v>
      </c>
      <c r="DF34" s="33"/>
      <c r="DG34" s="51"/>
      <c r="DH34" s="51">
        <f t="shared" si="52"/>
        <v>1341.03786</v>
      </c>
      <c r="DI34" s="33">
        <f t="shared" si="53"/>
        <v>1341.03786</v>
      </c>
      <c r="DJ34" s="20">
        <f t="shared" si="54"/>
        <v>3221.8399988</v>
      </c>
      <c r="DK34" s="20">
        <f t="shared" si="101"/>
        <v>2088.3101024</v>
      </c>
      <c r="DL34" s="33"/>
      <c r="DM34" s="51"/>
      <c r="DN34" s="51">
        <f t="shared" si="55"/>
        <v>11031.50298</v>
      </c>
      <c r="DO34" s="33">
        <f t="shared" si="56"/>
        <v>11031.50298</v>
      </c>
      <c r="DP34" s="20">
        <f t="shared" si="57"/>
        <v>26503.1574484</v>
      </c>
      <c r="DQ34" s="20">
        <f t="shared" si="103"/>
        <v>17178.6344032</v>
      </c>
      <c r="DR34" s="33"/>
      <c r="DS34" s="51"/>
      <c r="DT34" s="51">
        <f t="shared" si="58"/>
        <v>207.12375</v>
      </c>
      <c r="DU34" s="33">
        <f t="shared" si="59"/>
        <v>207.12375</v>
      </c>
      <c r="DV34" s="20">
        <f t="shared" si="60"/>
        <v>497.614275</v>
      </c>
      <c r="DW34" s="20">
        <f t="shared" si="105"/>
        <v>322.5402</v>
      </c>
      <c r="DX34" s="33"/>
      <c r="DY34" s="51"/>
      <c r="DZ34" s="51">
        <f t="shared" si="61"/>
        <v>987.1009200000001</v>
      </c>
      <c r="EA34" s="33">
        <f t="shared" si="62"/>
        <v>987.1009200000001</v>
      </c>
      <c r="EB34" s="20">
        <f t="shared" si="63"/>
        <v>2371.5074136</v>
      </c>
      <c r="EC34" s="20">
        <f t="shared" si="107"/>
        <v>1537.1473727999999</v>
      </c>
      <c r="ED34" s="33"/>
      <c r="EE34" s="33"/>
      <c r="EF34" s="33">
        <f t="shared" si="64"/>
        <v>1777.4560800000002</v>
      </c>
      <c r="EG34" s="33">
        <f t="shared" si="65"/>
        <v>1777.4560800000002</v>
      </c>
      <c r="EH34" s="20">
        <f t="shared" si="66"/>
        <v>4270.3336464</v>
      </c>
      <c r="EI34" s="20">
        <f t="shared" si="109"/>
        <v>2767.9155072</v>
      </c>
      <c r="EJ34" s="33"/>
      <c r="EK34" s="51"/>
      <c r="EL34" s="51">
        <f t="shared" si="67"/>
        <v>1775.05296</v>
      </c>
      <c r="EM34" s="33">
        <f t="shared" si="68"/>
        <v>1775.05296</v>
      </c>
      <c r="EN34" s="20">
        <f t="shared" si="69"/>
        <v>4264.560156799999</v>
      </c>
      <c r="EO34" s="20">
        <f t="shared" si="111"/>
        <v>2764.1732863999996</v>
      </c>
      <c r="EP34" s="33"/>
      <c r="EQ34" s="33"/>
      <c r="ER34" s="33"/>
      <c r="ES34" s="33"/>
    </row>
    <row r="35" spans="1:149" ht="12">
      <c r="A35" s="19">
        <v>46844</v>
      </c>
      <c r="C35" s="41">
        <v>6460000</v>
      </c>
      <c r="D35" s="41">
        <v>96900</v>
      </c>
      <c r="E35" s="35">
        <f t="shared" si="0"/>
        <v>6556900</v>
      </c>
      <c r="F35" s="35">
        <v>232802</v>
      </c>
      <c r="G35" s="35">
        <v>150896</v>
      </c>
      <c r="I35" s="51">
        <v>654518.1560000001</v>
      </c>
      <c r="J35" s="51">
        <v>9817.772340000001</v>
      </c>
      <c r="K35" s="51">
        <f t="shared" si="1"/>
        <v>664335.9283400001</v>
      </c>
      <c r="L35" s="51">
        <v>23587.172717200003</v>
      </c>
      <c r="M35" s="51">
        <v>15288.5714656</v>
      </c>
      <c r="O35" s="51">
        <f t="shared" si="2"/>
        <v>5805481.844</v>
      </c>
      <c r="P35" s="41">
        <f t="shared" si="3"/>
        <v>87082.22766</v>
      </c>
      <c r="Q35" s="33">
        <f t="shared" si="4"/>
        <v>5892564.07166</v>
      </c>
      <c r="R35" s="41">
        <f t="shared" si="5"/>
        <v>209214.82728279993</v>
      </c>
      <c r="S35" s="41">
        <f t="shared" si="6"/>
        <v>135607.42853440004</v>
      </c>
      <c r="U35" s="65">
        <f t="shared" si="70"/>
        <v>1617285.5480000002</v>
      </c>
      <c r="V35" s="65">
        <f t="shared" si="7"/>
        <v>24259.28322</v>
      </c>
      <c r="W35" s="20">
        <f t="shared" si="8"/>
        <v>1641544.8312200003</v>
      </c>
      <c r="X35" s="20">
        <f t="shared" si="9"/>
        <v>58282.8653476</v>
      </c>
      <c r="Y35" s="20">
        <f t="shared" si="71"/>
        <v>37777.3870048</v>
      </c>
      <c r="AA35" s="65">
        <f t="shared" si="72"/>
        <v>124781.36</v>
      </c>
      <c r="AB35" s="65">
        <f t="shared" si="10"/>
        <v>1871.7204000000002</v>
      </c>
      <c r="AC35" s="20">
        <f t="shared" si="11"/>
        <v>126653.0804</v>
      </c>
      <c r="AD35" s="20">
        <f t="shared" si="12"/>
        <v>4496.803432</v>
      </c>
      <c r="AE35" s="20">
        <f t="shared" si="73"/>
        <v>2914.707136</v>
      </c>
      <c r="AG35" s="33">
        <f t="shared" si="74"/>
        <v>154555.5</v>
      </c>
      <c r="AH35" s="33">
        <f t="shared" si="13"/>
        <v>2318.3325</v>
      </c>
      <c r="AI35" s="33">
        <f t="shared" si="14"/>
        <v>156873.8325</v>
      </c>
      <c r="AJ35" s="20">
        <f t="shared" si="15"/>
        <v>5569.78785</v>
      </c>
      <c r="AK35" s="20">
        <f t="shared" si="75"/>
        <v>3610.1868</v>
      </c>
      <c r="AM35" s="65">
        <f t="shared" si="76"/>
        <v>76577.486</v>
      </c>
      <c r="AN35" s="65">
        <f t="shared" si="16"/>
        <v>1148.66229</v>
      </c>
      <c r="AO35" s="20">
        <f t="shared" si="17"/>
        <v>77726.14829</v>
      </c>
      <c r="AP35" s="20">
        <f t="shared" si="18"/>
        <v>2759.6581882</v>
      </c>
      <c r="AQ35" s="20">
        <f t="shared" si="77"/>
        <v>1788.7362736</v>
      </c>
      <c r="AS35" s="65">
        <f t="shared" si="78"/>
        <v>1396091.2719999999</v>
      </c>
      <c r="AT35" s="65">
        <f t="shared" si="19"/>
        <v>20941.369079999997</v>
      </c>
      <c r="AU35" s="20">
        <f t="shared" si="20"/>
        <v>1417032.64108</v>
      </c>
      <c r="AV35" s="20">
        <f t="shared" si="21"/>
        <v>50311.5851864</v>
      </c>
      <c r="AW35" s="20">
        <f t="shared" si="79"/>
        <v>32610.617427200003</v>
      </c>
      <c r="AX35" s="33"/>
      <c r="AY35" s="65">
        <f t="shared" si="80"/>
        <v>184093.85</v>
      </c>
      <c r="AZ35" s="65">
        <f t="shared" si="22"/>
        <v>2761.40775</v>
      </c>
      <c r="BA35" s="20">
        <f t="shared" si="23"/>
        <v>186855.25775000002</v>
      </c>
      <c r="BB35" s="20">
        <f t="shared" si="24"/>
        <v>6634.274995</v>
      </c>
      <c r="BC35" s="20">
        <f t="shared" si="81"/>
        <v>4300.158759999999</v>
      </c>
      <c r="BD35" s="33"/>
      <c r="BE35" s="51">
        <f t="shared" si="82"/>
        <v>54606.38</v>
      </c>
      <c r="BF35" s="51">
        <f t="shared" si="25"/>
        <v>819.0957000000001</v>
      </c>
      <c r="BG35" s="33">
        <f t="shared" si="26"/>
        <v>55425.475699999995</v>
      </c>
      <c r="BH35" s="20">
        <f t="shared" si="27"/>
        <v>1967.8753060000001</v>
      </c>
      <c r="BI35" s="20">
        <f t="shared" si="83"/>
        <v>1275.5238880000002</v>
      </c>
      <c r="BJ35" s="33"/>
      <c r="BK35" s="33">
        <f t="shared" si="84"/>
        <v>24015.05</v>
      </c>
      <c r="BL35" s="33">
        <f t="shared" si="28"/>
        <v>360.22575000000006</v>
      </c>
      <c r="BM35" s="33">
        <f t="shared" si="29"/>
        <v>24375.27575</v>
      </c>
      <c r="BN35" s="20">
        <f t="shared" si="30"/>
        <v>865.441435</v>
      </c>
      <c r="BO35" s="20">
        <f t="shared" si="85"/>
        <v>560.95588</v>
      </c>
      <c r="BP35" s="33"/>
      <c r="BQ35" s="51">
        <f t="shared" si="86"/>
        <v>210460.98599999998</v>
      </c>
      <c r="BR35" s="51">
        <f t="shared" si="31"/>
        <v>3156.91479</v>
      </c>
      <c r="BS35" s="33">
        <f t="shared" si="32"/>
        <v>213617.90078999999</v>
      </c>
      <c r="BT35" s="20">
        <f t="shared" si="33"/>
        <v>7584.4796381999995</v>
      </c>
      <c r="BU35" s="20">
        <f t="shared" si="87"/>
        <v>4916.0558736</v>
      </c>
      <c r="BV35" s="33"/>
      <c r="BW35" s="51">
        <f t="shared" si="88"/>
        <v>16298.580000000002</v>
      </c>
      <c r="BX35" s="51">
        <f t="shared" si="34"/>
        <v>244.47870000000003</v>
      </c>
      <c r="BY35" s="33">
        <f t="shared" si="35"/>
        <v>16543.0587</v>
      </c>
      <c r="BZ35" s="20">
        <f t="shared" si="36"/>
        <v>587.359446</v>
      </c>
      <c r="CA35" s="20">
        <f t="shared" si="89"/>
        <v>380.71060800000004</v>
      </c>
      <c r="CB35" s="33"/>
      <c r="CC35" s="51">
        <f t="shared" si="90"/>
        <v>701938.4319999999</v>
      </c>
      <c r="CD35" s="51">
        <f t="shared" si="37"/>
        <v>10529.076479999998</v>
      </c>
      <c r="CE35" s="33">
        <f t="shared" si="38"/>
        <v>712467.50848</v>
      </c>
      <c r="CF35" s="20">
        <f t="shared" si="39"/>
        <v>25296.0790784</v>
      </c>
      <c r="CG35" s="20">
        <f t="shared" si="91"/>
        <v>16396.2386432</v>
      </c>
      <c r="CH35" s="33"/>
      <c r="CI35" s="51">
        <f t="shared" si="92"/>
        <v>29810.316000000003</v>
      </c>
      <c r="CJ35" s="51">
        <f t="shared" si="40"/>
        <v>447.15473999999995</v>
      </c>
      <c r="CK35" s="33">
        <f t="shared" si="41"/>
        <v>30257.470740000004</v>
      </c>
      <c r="CL35" s="20">
        <f t="shared" si="42"/>
        <v>1074.2881092</v>
      </c>
      <c r="CM35" s="20">
        <f t="shared" si="93"/>
        <v>696.3246816</v>
      </c>
      <c r="CN35" s="33"/>
      <c r="CO35" s="33">
        <f t="shared" si="94"/>
        <v>82.042</v>
      </c>
      <c r="CP35" s="33">
        <f t="shared" si="43"/>
        <v>1.2306300000000001</v>
      </c>
      <c r="CQ35" s="33">
        <f t="shared" si="44"/>
        <v>83.27263</v>
      </c>
      <c r="CR35" s="20">
        <f t="shared" si="45"/>
        <v>2.9565854000000003</v>
      </c>
      <c r="CS35" s="20">
        <f t="shared" si="95"/>
        <v>1.9163792</v>
      </c>
      <c r="CT35" s="33"/>
      <c r="CU35" s="51">
        <f t="shared" si="96"/>
        <v>20703.654</v>
      </c>
      <c r="CV35" s="51">
        <f t="shared" si="46"/>
        <v>310.55481</v>
      </c>
      <c r="CW35" s="33">
        <f t="shared" si="47"/>
        <v>21014.20881</v>
      </c>
      <c r="CX35" s="20">
        <f t="shared" si="48"/>
        <v>746.1071298</v>
      </c>
      <c r="CY35" s="20">
        <f t="shared" si="97"/>
        <v>483.6065904</v>
      </c>
      <c r="CZ35" s="33"/>
      <c r="DA35" s="51">
        <f t="shared" si="98"/>
        <v>52896.418</v>
      </c>
      <c r="DB35" s="51">
        <f t="shared" si="49"/>
        <v>793.4462699999999</v>
      </c>
      <c r="DC35" s="33">
        <f t="shared" si="50"/>
        <v>53689.86427</v>
      </c>
      <c r="DD35" s="20">
        <f t="shared" si="51"/>
        <v>1906.2526166000002</v>
      </c>
      <c r="DE35" s="20">
        <f t="shared" si="99"/>
        <v>1235.5817168</v>
      </c>
      <c r="DF35" s="33"/>
      <c r="DG35" s="51">
        <f t="shared" si="100"/>
        <v>89402.524</v>
      </c>
      <c r="DH35" s="51">
        <f t="shared" si="52"/>
        <v>1341.03786</v>
      </c>
      <c r="DI35" s="33">
        <f t="shared" si="53"/>
        <v>90743.56186</v>
      </c>
      <c r="DJ35" s="20">
        <f t="shared" si="54"/>
        <v>3221.8399988</v>
      </c>
      <c r="DK35" s="20">
        <f t="shared" si="101"/>
        <v>2088.3101024</v>
      </c>
      <c r="DL35" s="33"/>
      <c r="DM35" s="51">
        <f t="shared" si="102"/>
        <v>735433.532</v>
      </c>
      <c r="DN35" s="51">
        <f t="shared" si="55"/>
        <v>11031.50298</v>
      </c>
      <c r="DO35" s="33">
        <f t="shared" si="56"/>
        <v>746465.03498</v>
      </c>
      <c r="DP35" s="20">
        <f t="shared" si="57"/>
        <v>26503.1574484</v>
      </c>
      <c r="DQ35" s="20">
        <f t="shared" si="103"/>
        <v>17178.6344032</v>
      </c>
      <c r="DR35" s="33"/>
      <c r="DS35" s="51">
        <f t="shared" si="104"/>
        <v>13808.25</v>
      </c>
      <c r="DT35" s="51">
        <f t="shared" si="58"/>
        <v>207.12375</v>
      </c>
      <c r="DU35" s="33">
        <f t="shared" si="59"/>
        <v>14015.37375</v>
      </c>
      <c r="DV35" s="20">
        <f t="shared" si="60"/>
        <v>497.614275</v>
      </c>
      <c r="DW35" s="20">
        <f t="shared" si="105"/>
        <v>322.5402</v>
      </c>
      <c r="DX35" s="33"/>
      <c r="DY35" s="51">
        <f t="shared" si="106"/>
        <v>65806.728</v>
      </c>
      <c r="DZ35" s="51">
        <f t="shared" si="61"/>
        <v>987.1009200000001</v>
      </c>
      <c r="EA35" s="33">
        <f t="shared" si="62"/>
        <v>66793.82892</v>
      </c>
      <c r="EB35" s="20">
        <f t="shared" si="63"/>
        <v>2371.5074136</v>
      </c>
      <c r="EC35" s="20">
        <f t="shared" si="107"/>
        <v>1537.1473727999999</v>
      </c>
      <c r="ED35" s="33"/>
      <c r="EE35" s="33">
        <f t="shared" si="108"/>
        <v>118497.07199999999</v>
      </c>
      <c r="EF35" s="33">
        <f t="shared" si="64"/>
        <v>1777.4560800000002</v>
      </c>
      <c r="EG35" s="33">
        <f t="shared" si="65"/>
        <v>120274.52807999999</v>
      </c>
      <c r="EH35" s="20">
        <f t="shared" si="66"/>
        <v>4270.3336464</v>
      </c>
      <c r="EI35" s="20">
        <f t="shared" si="109"/>
        <v>2767.9155072</v>
      </c>
      <c r="EJ35" s="33"/>
      <c r="EK35" s="51">
        <f t="shared" si="110"/>
        <v>118336.86399999999</v>
      </c>
      <c r="EL35" s="51">
        <f t="shared" si="67"/>
        <v>1775.05296</v>
      </c>
      <c r="EM35" s="33">
        <f t="shared" si="68"/>
        <v>120111.91695999999</v>
      </c>
      <c r="EN35" s="20">
        <f t="shared" si="69"/>
        <v>4264.560156799999</v>
      </c>
      <c r="EO35" s="20">
        <f t="shared" si="111"/>
        <v>2764.1732863999996</v>
      </c>
      <c r="EP35" s="33"/>
      <c r="EQ35" s="33"/>
      <c r="ER35" s="33"/>
      <c r="ES35" s="33"/>
    </row>
    <row r="36" spans="3:149" ht="12">
      <c r="C36" s="41"/>
      <c r="D36" s="41"/>
      <c r="E36" s="41"/>
      <c r="F36" s="41"/>
      <c r="G36" s="41"/>
      <c r="S36" s="33"/>
      <c r="U36" s="20"/>
      <c r="V36" s="20"/>
      <c r="W36" s="20"/>
      <c r="X36" s="20"/>
      <c r="Y36" s="20"/>
      <c r="AA36" s="20"/>
      <c r="AB36" s="20"/>
      <c r="AC36" s="20"/>
      <c r="AD36" s="20"/>
      <c r="AE36" s="20"/>
      <c r="AK36" s="20"/>
      <c r="AM36" s="20"/>
      <c r="AN36" s="20"/>
      <c r="AO36" s="20"/>
      <c r="AP36" s="20"/>
      <c r="AQ36" s="20"/>
      <c r="AS36" s="20"/>
      <c r="AT36" s="20"/>
      <c r="AU36" s="20"/>
      <c r="AV36" s="20"/>
      <c r="AW36" s="20"/>
      <c r="AX36" s="33"/>
      <c r="AY36" s="20"/>
      <c r="AZ36" s="20"/>
      <c r="BA36" s="20"/>
      <c r="BB36" s="20"/>
      <c r="BC36" s="20"/>
      <c r="BD36" s="33"/>
      <c r="BE36" s="33"/>
      <c r="BF36" s="33"/>
      <c r="BG36" s="33"/>
      <c r="BH36" s="33"/>
      <c r="BJ36" s="33"/>
      <c r="BK36" s="33"/>
      <c r="BL36" s="33"/>
      <c r="BM36" s="33"/>
      <c r="BN36" s="33"/>
      <c r="BP36" s="33"/>
      <c r="BQ36" s="33"/>
      <c r="BR36" s="33"/>
      <c r="BS36" s="33"/>
      <c r="BT36" s="33"/>
      <c r="BV36" s="33"/>
      <c r="BW36" s="33"/>
      <c r="BX36" s="33"/>
      <c r="BY36" s="33"/>
      <c r="BZ36" s="33"/>
      <c r="CB36" s="33"/>
      <c r="CC36" s="33"/>
      <c r="CD36" s="33"/>
      <c r="CE36" s="33"/>
      <c r="CF36" s="33"/>
      <c r="CH36" s="33"/>
      <c r="CI36" s="33"/>
      <c r="CJ36" s="33"/>
      <c r="CK36" s="33"/>
      <c r="CL36" s="33"/>
      <c r="CN36" s="33"/>
      <c r="CO36" s="33"/>
      <c r="CP36" s="33"/>
      <c r="CQ36" s="33"/>
      <c r="CR36" s="33"/>
      <c r="CT36" s="33"/>
      <c r="CU36" s="33"/>
      <c r="CV36" s="33"/>
      <c r="CW36" s="33"/>
      <c r="CX36" s="33"/>
      <c r="CZ36" s="33"/>
      <c r="DA36" s="33"/>
      <c r="DB36" s="33"/>
      <c r="DC36" s="33"/>
      <c r="DD36" s="33"/>
      <c r="DF36" s="33"/>
      <c r="DG36" s="33"/>
      <c r="DH36" s="33"/>
      <c r="DI36" s="33"/>
      <c r="DJ36" s="33"/>
      <c r="DL36" s="33"/>
      <c r="DM36" s="33"/>
      <c r="DN36" s="33"/>
      <c r="DO36" s="33"/>
      <c r="DP36" s="33"/>
      <c r="DR36" s="33"/>
      <c r="DS36" s="33"/>
      <c r="DT36" s="33"/>
      <c r="DU36" s="33"/>
      <c r="DV36" s="33"/>
      <c r="DX36" s="33"/>
      <c r="DY36" s="33"/>
      <c r="DZ36" s="33"/>
      <c r="EA36" s="33"/>
      <c r="EB36" s="33"/>
      <c r="ED36" s="33"/>
      <c r="EE36" s="33"/>
      <c r="EF36" s="33"/>
      <c r="EG36" s="33"/>
      <c r="EH36" s="33"/>
      <c r="EJ36" s="33"/>
      <c r="EK36" s="33"/>
      <c r="EL36" s="33"/>
      <c r="EM36" s="33"/>
      <c r="EN36" s="33"/>
      <c r="EP36" s="33"/>
      <c r="EQ36" s="33"/>
      <c r="ER36" s="33"/>
      <c r="ES36" s="33"/>
    </row>
    <row r="37" spans="1:149" ht="12.75" thickBot="1">
      <c r="A37" s="31" t="s">
        <v>4</v>
      </c>
      <c r="C37" s="50">
        <f>SUM(C8:C36)</f>
        <v>45020000</v>
      </c>
      <c r="D37" s="50">
        <f>SUM(D8:D36)</f>
        <v>17872405</v>
      </c>
      <c r="E37" s="50">
        <f>SUM(E8:E36)</f>
        <v>62892405</v>
      </c>
      <c r="F37" s="50">
        <f>SUM(F8:F36)</f>
        <v>6052855</v>
      </c>
      <c r="G37" s="50">
        <f>SUM(G8:G36)</f>
        <v>3923306</v>
      </c>
      <c r="I37" s="50">
        <f>SUM(I8:I36)</f>
        <v>4561363.372</v>
      </c>
      <c r="J37" s="50">
        <f>SUM(J8:J36)</f>
        <v>1810807.0532329998</v>
      </c>
      <c r="K37" s="50">
        <f>SUM(K8:K36)</f>
        <v>6372170.425232998</v>
      </c>
      <c r="L37" s="50">
        <f>SUM(L8:L36)</f>
        <v>613266.7946030002</v>
      </c>
      <c r="M37" s="50">
        <f>SUM(M8:M36)</f>
        <v>397503.8712915999</v>
      </c>
      <c r="O37" s="50">
        <f>SUM(O8:O36)</f>
        <v>40458636.628</v>
      </c>
      <c r="P37" s="50">
        <f>SUM(P8:P36)</f>
        <v>16061597.946767002</v>
      </c>
      <c r="Q37" s="50">
        <f>SUM(Q8:Q36)</f>
        <v>56520234.574767</v>
      </c>
      <c r="R37" s="50">
        <f>SUM(R8:R36)</f>
        <v>5439588.205397</v>
      </c>
      <c r="S37" s="50">
        <f>SUM(S8:S36)</f>
        <v>3525802.1287084017</v>
      </c>
      <c r="U37" s="50">
        <f>SUM(U8:U36)</f>
        <v>11270928.076000001</v>
      </c>
      <c r="V37" s="50">
        <f>SUM(V8:V36)</f>
        <v>4474424.506889</v>
      </c>
      <c r="W37" s="50">
        <f>SUM(W8:W36)</f>
        <v>15745352.582889002</v>
      </c>
      <c r="X37" s="50">
        <f>SUM(X8:X36)</f>
        <v>1515355.2500990003</v>
      </c>
      <c r="Y37" s="50">
        <f>SUM(Y8:Y36)</f>
        <v>982214.5656628005</v>
      </c>
      <c r="AA37" s="50">
        <f>SUM(AA8:AA36)</f>
        <v>869606.32</v>
      </c>
      <c r="AB37" s="50">
        <f>SUM(AB8:AB36)</f>
        <v>345223.37498</v>
      </c>
      <c r="AC37" s="50">
        <f>SUM(AC8:AC36)</f>
        <v>1214829.6949800004</v>
      </c>
      <c r="AD37" s="50">
        <f>SUM(AD8:AD36)</f>
        <v>116916.94718</v>
      </c>
      <c r="AE37" s="50">
        <f>SUM(AE8:AE36)</f>
        <v>75782.57869599997</v>
      </c>
      <c r="AG37" s="50">
        <f>SUM(AG8:AG36)</f>
        <v>1077103.5</v>
      </c>
      <c r="AH37" s="50">
        <f>SUM(AH8:AH36)</f>
        <v>427597.28962500003</v>
      </c>
      <c r="AI37" s="50">
        <f>SUM(AI8:AI36)</f>
        <v>1504700.7896250004</v>
      </c>
      <c r="AJ37" s="50">
        <f>SUM(AJ8:AJ36)</f>
        <v>144814.5558749999</v>
      </c>
      <c r="AK37" s="50">
        <f>SUM(AK8:AK36)</f>
        <v>93865.09605</v>
      </c>
      <c r="AM37" s="50">
        <f>SUM(AM8:AM36)</f>
        <v>533671.582</v>
      </c>
      <c r="AN37" s="50">
        <f>SUM(AN8:AN36)</f>
        <v>211861.27611049995</v>
      </c>
      <c r="AO37" s="50">
        <f>SUM(AO8:AO36)</f>
        <v>745532.8581104999</v>
      </c>
      <c r="AP37" s="50">
        <f>SUM(AP8:AP36)</f>
        <v>71751.14845550004</v>
      </c>
      <c r="AQ37" s="50">
        <f>SUM(AQ8:AQ36)</f>
        <v>46507.26165459999</v>
      </c>
      <c r="AS37" s="50">
        <f>SUM(AS8:AS36)</f>
        <v>9729416.263999999</v>
      </c>
      <c r="AT37" s="50">
        <f>SUM(AT8:AT36)</f>
        <v>3862462.6362460004</v>
      </c>
      <c r="AU37" s="50">
        <f>SUM(AU8:AU36)</f>
        <v>13591878.900245998</v>
      </c>
      <c r="AV37" s="50">
        <f>SUM(AV8:AV36)</f>
        <v>1308101.8631859997</v>
      </c>
      <c r="AW37" s="50">
        <f>SUM(AW8:AW36)</f>
        <v>847878.2142391998</v>
      </c>
      <c r="AX37" s="33"/>
      <c r="AY37" s="50">
        <f>SUM(AY8:AY36)</f>
        <v>1282957.45</v>
      </c>
      <c r="AZ37" s="50">
        <f>SUM(AZ8:AZ36)</f>
        <v>509318.8614875001</v>
      </c>
      <c r="BA37" s="50">
        <f>SUM(BA8:BA36)</f>
        <v>1792276.3114875</v>
      </c>
      <c r="BB37" s="50">
        <f>SUM(BB8:BB36)</f>
        <v>172491.2353624999</v>
      </c>
      <c r="BC37" s="50">
        <f>SUM(BC8:BC36)</f>
        <v>111804.41273500003</v>
      </c>
      <c r="BD37" s="33"/>
      <c r="BE37" s="50">
        <f>SUM(BE8:BE36)</f>
        <v>380554.06</v>
      </c>
      <c r="BF37" s="50">
        <f>SUM(BF8:BF36)</f>
        <v>151075.439465</v>
      </c>
      <c r="BG37" s="50">
        <f>SUM(BG8:BG36)</f>
        <v>531629.4994649999</v>
      </c>
      <c r="BH37" s="50">
        <f>SUM(BH8:BH36)</f>
        <v>51164.78331500003</v>
      </c>
      <c r="BI37" s="50">
        <f>SUM(BI8:BI36)</f>
        <v>33163.705618</v>
      </c>
      <c r="BJ37" s="33"/>
      <c r="BK37" s="50">
        <f>SUM(BK8:BK36)</f>
        <v>167361.84999999998</v>
      </c>
      <c r="BL37" s="50">
        <f>SUM(BL8:BL36)</f>
        <v>66440.6655875</v>
      </c>
      <c r="BM37" s="50">
        <f>SUM(BM8:BM36)</f>
        <v>233802.5155875</v>
      </c>
      <c r="BN37" s="50">
        <f>SUM(BN8:BN36)</f>
        <v>22501.48846250001</v>
      </c>
      <c r="BO37" s="50">
        <f>SUM(BO8:BO36)</f>
        <v>14584.89005499999</v>
      </c>
      <c r="BP37" s="33"/>
      <c r="BQ37" s="50">
        <f>SUM(BQ8:BQ36)</f>
        <v>1466711.0820000002</v>
      </c>
      <c r="BR37" s="50">
        <f>SUM(BR8:BR36)</f>
        <v>582266.8697354997</v>
      </c>
      <c r="BS37" s="50">
        <f>SUM(BS8:BS36)</f>
        <v>2048977.9517354998</v>
      </c>
      <c r="BT37" s="50">
        <f>SUM(BT8:BT36)</f>
        <v>197196.56833049998</v>
      </c>
      <c r="BU37" s="50">
        <f>SUM(BU8:BU36)</f>
        <v>127817.77850459995</v>
      </c>
      <c r="BV37" s="33"/>
      <c r="BW37" s="50">
        <f>SUM(BW8:BW36)</f>
        <v>113585.46</v>
      </c>
      <c r="BX37" s="50">
        <f>SUM(BX8:BX36)</f>
        <v>45092.07781500001</v>
      </c>
      <c r="BY37" s="50">
        <f>SUM(BY8:BY36)</f>
        <v>158677.53781500002</v>
      </c>
      <c r="BZ37" s="50">
        <f>SUM(BZ8:BZ36)</f>
        <v>15271.353165000008</v>
      </c>
      <c r="CA37" s="50">
        <f>SUM(CA8:CA36)</f>
        <v>9898.501038</v>
      </c>
      <c r="CB37" s="33"/>
      <c r="CC37" s="50">
        <f>SUM(CC8:CC36)</f>
        <v>4891837.183999999</v>
      </c>
      <c r="CD37" s="50">
        <f>SUM(CD8:CD36)</f>
        <v>1942001.2293760001</v>
      </c>
      <c r="CE37" s="50">
        <f>SUM(CE8:CE36)</f>
        <v>6833838.413376001</v>
      </c>
      <c r="CF37" s="50">
        <f>SUM(CF8:CF36)</f>
        <v>657698.382016</v>
      </c>
      <c r="CG37" s="50">
        <f>SUM(CG8:CG36)</f>
        <v>426303.2913152001</v>
      </c>
      <c r="CH37" s="33"/>
      <c r="CI37" s="50">
        <f>SUM(CI8:CI36)</f>
        <v>207749.292</v>
      </c>
      <c r="CJ37" s="50">
        <f>SUM(CJ8:CJ36)</f>
        <v>82474.000113</v>
      </c>
      <c r="CK37" s="50">
        <f>SUM(CK8:CK36)</f>
        <v>290223.29211300006</v>
      </c>
      <c r="CL37" s="50">
        <f>SUM(CL8:CL36)</f>
        <v>27931.504682999992</v>
      </c>
      <c r="CM37" s="50">
        <f>SUM(CM8:CM36)</f>
        <v>18104.48786759999</v>
      </c>
      <c r="CN37" s="33"/>
      <c r="CO37" s="50">
        <f>SUM(CO8:CO36)</f>
        <v>571.754</v>
      </c>
      <c r="CP37" s="50">
        <f>SUM(CP8:CP36)</f>
        <v>226.97954349999998</v>
      </c>
      <c r="CQ37" s="50">
        <f>SUM(CQ8:CQ36)</f>
        <v>798.7335435000001</v>
      </c>
      <c r="CR37" s="50">
        <f>SUM(CR8:CR36)</f>
        <v>76.8712585</v>
      </c>
      <c r="CS37" s="50">
        <f>SUM(CS8:CS36)</f>
        <v>49.825986200000024</v>
      </c>
      <c r="CT37" s="33"/>
      <c r="CU37" s="50">
        <f>SUM(CU8:CU36)</f>
        <v>144284.598</v>
      </c>
      <c r="CV37" s="50">
        <f>SUM(CV8:CV36)</f>
        <v>57279.27078449998</v>
      </c>
      <c r="CW37" s="50">
        <f>SUM(CW8:CW36)</f>
        <v>201563.86878450002</v>
      </c>
      <c r="CX37" s="50">
        <f>SUM(CX8:CX36)</f>
        <v>19398.794989500002</v>
      </c>
      <c r="CY37" s="50">
        <f>SUM(CY8:CY36)</f>
        <v>12573.803399400005</v>
      </c>
      <c r="CZ37" s="33"/>
      <c r="DA37" s="50">
        <f>SUM(DA8:DA36)</f>
        <v>368637.266</v>
      </c>
      <c r="DB37" s="50">
        <f>SUM(DB8:DB36)</f>
        <v>146344.61386149994</v>
      </c>
      <c r="DC37" s="50">
        <f>SUM(DC8:DC36)</f>
        <v>514981.8798615</v>
      </c>
      <c r="DD37" s="50">
        <f>SUM(DD8:DD36)</f>
        <v>49562.59259650001</v>
      </c>
      <c r="DE37" s="50">
        <f>SUM(DE8:DE36)</f>
        <v>32125.20651979999</v>
      </c>
      <c r="DF37" s="33"/>
      <c r="DG37" s="50">
        <f>SUM(DG8:DG36)</f>
        <v>623049.788</v>
      </c>
      <c r="DH37" s="50">
        <f>SUM(DH8:DH36)</f>
        <v>247343.36175699998</v>
      </c>
      <c r="DI37" s="50">
        <f>SUM(DI8:DI36)</f>
        <v>870393.149757</v>
      </c>
      <c r="DJ37" s="50">
        <f>SUM(DJ8:DJ36)</f>
        <v>83767.88148700004</v>
      </c>
      <c r="DK37" s="50">
        <f>SUM(DK8:DK36)</f>
        <v>54296.20105639998</v>
      </c>
      <c r="DL37" s="33"/>
      <c r="DM37" s="50">
        <f>SUM(DM8:DM36)</f>
        <v>5125265.884</v>
      </c>
      <c r="DN37" s="50">
        <f>SUM(DN8:DN36)</f>
        <v>2034669.649301</v>
      </c>
      <c r="DO37" s="50">
        <f>SUM(DO8:DO36)</f>
        <v>7159935.5333010005</v>
      </c>
      <c r="DP37" s="50">
        <f>SUM(DP8:DP36)</f>
        <v>689082.4351910001</v>
      </c>
      <c r="DQ37" s="50">
        <f>SUM(DQ8:DQ36)</f>
        <v>446645.6329252001</v>
      </c>
      <c r="DR37" s="33"/>
      <c r="DS37" s="50">
        <f>SUM(DS8:DS36)</f>
        <v>96230.25</v>
      </c>
      <c r="DT37" s="50">
        <f>SUM(DT8:DT36)</f>
        <v>38202.265687499996</v>
      </c>
      <c r="DU37" s="50">
        <f>SUM(DU8:DU36)</f>
        <v>134432.5156875</v>
      </c>
      <c r="DV37" s="50">
        <f>SUM(DV8:DV36)</f>
        <v>12937.977562499998</v>
      </c>
      <c r="DW37" s="50">
        <f>SUM(DW8:DW36)</f>
        <v>8386.066575000004</v>
      </c>
      <c r="DX37" s="33"/>
      <c r="DY37" s="50">
        <f>SUM(DY8:DY36)</f>
        <v>458609.736</v>
      </c>
      <c r="DZ37" s="50">
        <f>SUM(DZ8:DZ36)</f>
        <v>182062.61525399995</v>
      </c>
      <c r="EA37" s="50">
        <f>SUM(EA8:EA36)</f>
        <v>640672.351254</v>
      </c>
      <c r="EB37" s="50">
        <f>SUM(EB8:EB36)</f>
        <v>61659.22331399996</v>
      </c>
      <c r="EC37" s="50">
        <f>SUM(EC8:EC36)</f>
        <v>39965.933560799975</v>
      </c>
      <c r="ED37" s="41"/>
      <c r="EE37" s="50">
        <f>SUM(EE8:EE36)</f>
        <v>825810.8640000001</v>
      </c>
      <c r="EF37" s="50">
        <f>SUM(EF8:EF36)</f>
        <v>327837.0993960001</v>
      </c>
      <c r="EG37" s="50">
        <f>SUM(EG8:EG36)</f>
        <v>1153647.9633960002</v>
      </c>
      <c r="EH37" s="50">
        <f>SUM(EH8:EH36)</f>
        <v>111028.72983600004</v>
      </c>
      <c r="EI37" s="50">
        <f>SUM(EI8:EI36)</f>
        <v>71965.98661919999</v>
      </c>
      <c r="EJ37" s="33"/>
      <c r="EK37" s="50">
        <f>SUM(EK8:EK36)</f>
        <v>824694.3679999999</v>
      </c>
      <c r="EL37" s="50">
        <f>SUM(EL8:EL36)</f>
        <v>327393.863752</v>
      </c>
      <c r="EM37" s="50">
        <f>SUM(EM8:EM36)</f>
        <v>1152088.231752</v>
      </c>
      <c r="EN37" s="50">
        <f>SUM(EN8:EN36)</f>
        <v>110878.61903199996</v>
      </c>
      <c r="EO37" s="50">
        <f>SUM(EO8:EO36)</f>
        <v>71868.68863039999</v>
      </c>
      <c r="EP37" s="33"/>
      <c r="EQ37" s="50">
        <f>SUM(EQ8:EQ36)</f>
        <v>0</v>
      </c>
      <c r="ER37" s="50">
        <f>SUM(ER8:ER36)</f>
        <v>0</v>
      </c>
      <c r="ES37" s="50">
        <f>SUM(ES8:ES36)</f>
        <v>0</v>
      </c>
    </row>
    <row r="38" spans="21:55" ht="12.75" thickTop="1">
      <c r="U38" s="20"/>
      <c r="V38" s="20"/>
      <c r="W38" s="20"/>
      <c r="X38" s="20"/>
      <c r="Y38" s="20"/>
      <c r="AA38" s="20"/>
      <c r="AB38" s="20"/>
      <c r="AC38" s="20"/>
      <c r="AD38" s="20"/>
      <c r="AE38" s="20"/>
      <c r="AM38" s="20"/>
      <c r="AN38" s="20"/>
      <c r="AO38" s="20"/>
      <c r="AP38" s="20"/>
      <c r="AQ38" s="20"/>
      <c r="AS38" s="20"/>
      <c r="AT38" s="20"/>
      <c r="AU38" s="20"/>
      <c r="AV38" s="20"/>
      <c r="AW38" s="20"/>
      <c r="AY38" s="20"/>
      <c r="AZ38" s="20"/>
      <c r="BA38" s="20"/>
      <c r="BB38" s="20"/>
      <c r="BC38" s="20"/>
    </row>
    <row r="39" spans="3:55" ht="12">
      <c r="C39" s="35">
        <f>I37+O37</f>
        <v>45020000</v>
      </c>
      <c r="D39" s="35">
        <f>J37+P37</f>
        <v>17872405.000000004</v>
      </c>
      <c r="F39" s="35">
        <f>L37+R37</f>
        <v>6052855</v>
      </c>
      <c r="G39" s="35">
        <f>M37+S37</f>
        <v>3923306.0000000014</v>
      </c>
      <c r="P39" s="33"/>
      <c r="U39" s="20"/>
      <c r="V39" s="20"/>
      <c r="W39" s="20"/>
      <c r="X39" s="20"/>
      <c r="Y39" s="20"/>
      <c r="AA39" s="20"/>
      <c r="AB39" s="20"/>
      <c r="AC39" s="20"/>
      <c r="AD39" s="20"/>
      <c r="AE39" s="20"/>
      <c r="AM39" s="20"/>
      <c r="AN39" s="20"/>
      <c r="AO39" s="20"/>
      <c r="AP39" s="20"/>
      <c r="AQ39" s="20"/>
      <c r="AS39" s="20"/>
      <c r="AT39" s="20"/>
      <c r="AU39" s="20"/>
      <c r="AV39" s="20"/>
      <c r="AW39" s="20"/>
      <c r="AY39" s="20"/>
      <c r="AZ39" s="20"/>
      <c r="BA39" s="20"/>
      <c r="BB39" s="20"/>
      <c r="BC39" s="20"/>
    </row>
    <row r="40" spans="21:55" ht="12">
      <c r="U40" s="20"/>
      <c r="V40" s="20"/>
      <c r="W40" s="20"/>
      <c r="X40" s="20"/>
      <c r="Y40" s="20"/>
      <c r="AA40" s="20"/>
      <c r="AB40" s="20"/>
      <c r="AC40" s="20"/>
      <c r="AD40" s="20"/>
      <c r="AE40" s="20"/>
      <c r="AM40" s="20"/>
      <c r="AN40" s="20"/>
      <c r="AO40" s="20"/>
      <c r="AP40" s="20"/>
      <c r="AQ40" s="20"/>
      <c r="AS40" s="20"/>
      <c r="AT40" s="20"/>
      <c r="AU40" s="20"/>
      <c r="AV40" s="20"/>
      <c r="AW40" s="20"/>
      <c r="AY40" s="20"/>
      <c r="AZ40" s="20"/>
      <c r="BA40" s="20"/>
      <c r="BB40" s="20"/>
      <c r="BC40" s="20"/>
    </row>
    <row r="41" spans="21:55" ht="12">
      <c r="U41" s="20"/>
      <c r="V41" s="20"/>
      <c r="W41" s="20"/>
      <c r="X41" s="20"/>
      <c r="Y41" s="20"/>
      <c r="AA41" s="20"/>
      <c r="AB41" s="20"/>
      <c r="AC41" s="20"/>
      <c r="AD41" s="20"/>
      <c r="AE41" s="20"/>
      <c r="AM41" s="20"/>
      <c r="AN41" s="20"/>
      <c r="AO41" s="20"/>
      <c r="AP41" s="20"/>
      <c r="AQ41" s="20"/>
      <c r="AS41" s="20"/>
      <c r="AT41" s="20"/>
      <c r="AU41" s="20"/>
      <c r="AV41" s="20"/>
      <c r="AW41" s="20"/>
      <c r="AY41" s="20"/>
      <c r="AZ41" s="20"/>
      <c r="BA41" s="20"/>
      <c r="BB41" s="20"/>
      <c r="BC41" s="20"/>
    </row>
    <row r="42" spans="21:55" ht="12">
      <c r="U42" s="20"/>
      <c r="V42" s="20"/>
      <c r="W42" s="20"/>
      <c r="X42" s="20"/>
      <c r="Y42" s="20"/>
      <c r="AA42" s="20"/>
      <c r="AB42" s="20"/>
      <c r="AC42" s="20"/>
      <c r="AD42" s="20"/>
      <c r="AE42" s="20"/>
      <c r="AM42" s="20"/>
      <c r="AN42" s="20"/>
      <c r="AO42" s="20"/>
      <c r="AP42" s="20"/>
      <c r="AQ42" s="20"/>
      <c r="AS42" s="20"/>
      <c r="AT42" s="20"/>
      <c r="AU42" s="20"/>
      <c r="AV42" s="20"/>
      <c r="AW42" s="20"/>
      <c r="AY42" s="20"/>
      <c r="AZ42" s="20"/>
      <c r="BA42" s="20"/>
      <c r="BB42" s="20"/>
      <c r="BC42" s="20"/>
    </row>
    <row r="43" spans="4:55" ht="12">
      <c r="D43" s="84"/>
      <c r="U43" s="20"/>
      <c r="V43" s="20"/>
      <c r="W43" s="20"/>
      <c r="X43" s="20"/>
      <c r="Y43" s="20"/>
      <c r="AA43" s="20"/>
      <c r="AB43" s="20"/>
      <c r="AC43" s="20"/>
      <c r="AD43" s="20"/>
      <c r="AE43" s="20"/>
      <c r="AM43" s="20"/>
      <c r="AN43" s="20"/>
      <c r="AO43" s="20"/>
      <c r="AP43" s="20"/>
      <c r="AQ43" s="20"/>
      <c r="AS43" s="20"/>
      <c r="AT43" s="20"/>
      <c r="AU43" s="20"/>
      <c r="AV43" s="20"/>
      <c r="AW43" s="20"/>
      <c r="AY43" s="20"/>
      <c r="AZ43" s="20"/>
      <c r="BA43" s="20"/>
      <c r="BB43" s="20"/>
      <c r="BC43" s="20"/>
    </row>
    <row r="44" spans="21:55" ht="12">
      <c r="U44" s="20"/>
      <c r="V44" s="20"/>
      <c r="W44" s="20"/>
      <c r="X44" s="20"/>
      <c r="Y44" s="20"/>
      <c r="AA44" s="20"/>
      <c r="AB44" s="20"/>
      <c r="AC44" s="20"/>
      <c r="AD44" s="20"/>
      <c r="AE44" s="20"/>
      <c r="AM44" s="20"/>
      <c r="AN44" s="20"/>
      <c r="AO44" s="20"/>
      <c r="AP44" s="20"/>
      <c r="AQ44" s="20"/>
      <c r="AS44" s="20"/>
      <c r="AT44" s="20"/>
      <c r="AU44" s="20"/>
      <c r="AV44" s="20"/>
      <c r="AW44" s="20"/>
      <c r="AY44" s="20"/>
      <c r="AZ44" s="20"/>
      <c r="BA44" s="20"/>
      <c r="BB44" s="20"/>
      <c r="BC44" s="20"/>
    </row>
    <row r="45" spans="21:55" ht="12">
      <c r="U45" s="20"/>
      <c r="V45" s="20"/>
      <c r="W45" s="20"/>
      <c r="X45" s="20"/>
      <c r="Y45" s="20"/>
      <c r="AA45" s="20"/>
      <c r="AB45" s="20"/>
      <c r="AC45" s="20"/>
      <c r="AD45" s="20"/>
      <c r="AE45" s="20"/>
      <c r="AM45" s="20"/>
      <c r="AN45" s="20"/>
      <c r="AO45" s="20"/>
      <c r="AP45" s="20"/>
      <c r="AQ45" s="20"/>
      <c r="AS45" s="20"/>
      <c r="AT45" s="20"/>
      <c r="AU45" s="20"/>
      <c r="AV45" s="20"/>
      <c r="AW45" s="20"/>
      <c r="AY45" s="20"/>
      <c r="AZ45" s="20"/>
      <c r="BA45" s="20"/>
      <c r="BB45" s="20"/>
      <c r="BC45" s="20"/>
    </row>
    <row r="46" spans="21:55" ht="12">
      <c r="U46" s="20"/>
      <c r="V46" s="20"/>
      <c r="W46" s="20"/>
      <c r="X46" s="20"/>
      <c r="Y46" s="20"/>
      <c r="AA46" s="20"/>
      <c r="AB46" s="20"/>
      <c r="AC46" s="20"/>
      <c r="AD46" s="20"/>
      <c r="AE46" s="20"/>
      <c r="AM46" s="20"/>
      <c r="AN46" s="20"/>
      <c r="AO46" s="20"/>
      <c r="AP46" s="20"/>
      <c r="AQ46" s="20"/>
      <c r="AS46" s="20"/>
      <c r="AT46" s="20"/>
      <c r="AU46" s="20"/>
      <c r="AV46" s="20"/>
      <c r="AW46" s="20"/>
      <c r="AY46" s="20"/>
      <c r="AZ46" s="20"/>
      <c r="BA46" s="20"/>
      <c r="BB46" s="20"/>
      <c r="BC46" s="20"/>
    </row>
    <row r="47" spans="21:55" ht="12">
      <c r="U47" s="20"/>
      <c r="V47" s="20"/>
      <c r="W47" s="20"/>
      <c r="X47" s="20"/>
      <c r="Y47" s="20"/>
      <c r="AA47" s="20"/>
      <c r="AB47" s="20"/>
      <c r="AC47" s="20"/>
      <c r="AD47" s="20"/>
      <c r="AE47" s="20"/>
      <c r="AM47" s="20"/>
      <c r="AN47" s="20"/>
      <c r="AO47" s="20"/>
      <c r="AP47" s="20"/>
      <c r="AQ47" s="20"/>
      <c r="AS47" s="20"/>
      <c r="AT47" s="20"/>
      <c r="AU47" s="20"/>
      <c r="AV47" s="20"/>
      <c r="AW47" s="20"/>
      <c r="AY47" s="20"/>
      <c r="AZ47" s="20"/>
      <c r="BA47" s="20"/>
      <c r="BB47" s="20"/>
      <c r="BC47" s="20"/>
    </row>
    <row r="48" spans="21:55" ht="12">
      <c r="U48" s="20"/>
      <c r="V48" s="20"/>
      <c r="W48" s="20"/>
      <c r="X48" s="20"/>
      <c r="Y48" s="20"/>
      <c r="AA48" s="20"/>
      <c r="AB48" s="20"/>
      <c r="AC48" s="20"/>
      <c r="AD48" s="20"/>
      <c r="AE48" s="20"/>
      <c r="AM48" s="20"/>
      <c r="AN48" s="20"/>
      <c r="AO48" s="20"/>
      <c r="AP48" s="20"/>
      <c r="AQ48" s="20"/>
      <c r="AS48" s="20"/>
      <c r="AT48" s="20"/>
      <c r="AU48" s="20"/>
      <c r="AV48" s="20"/>
      <c r="AW48" s="20"/>
      <c r="AY48" s="20"/>
      <c r="AZ48" s="20"/>
      <c r="BA48" s="20"/>
      <c r="BB48" s="20"/>
      <c r="BC48" s="20"/>
    </row>
    <row r="49" spans="21:149" ht="12">
      <c r="U49" s="20"/>
      <c r="V49" s="20"/>
      <c r="W49" s="20"/>
      <c r="X49" s="20"/>
      <c r="Y49" s="20"/>
      <c r="AA49" s="20"/>
      <c r="AB49" s="20"/>
      <c r="AC49" s="20"/>
      <c r="AD49" s="20"/>
      <c r="AE49" s="20"/>
      <c r="AM49" s="20"/>
      <c r="AN49" s="20"/>
      <c r="AO49" s="20"/>
      <c r="AP49" s="20"/>
      <c r="AQ49" s="20"/>
      <c r="AS49" s="20"/>
      <c r="AT49" s="20"/>
      <c r="AU49" s="20"/>
      <c r="AV49" s="20"/>
      <c r="AW49" s="20"/>
      <c r="AY49" s="20"/>
      <c r="AZ49" s="20"/>
      <c r="BA49" s="20"/>
      <c r="BB49" s="20"/>
      <c r="BC49" s="20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</row>
    <row r="50" spans="9:149" ht="12">
      <c r="I50"/>
      <c r="J50"/>
      <c r="K50"/>
      <c r="L50"/>
      <c r="M50"/>
      <c r="U50" s="20"/>
      <c r="V50" s="20"/>
      <c r="W50" s="20"/>
      <c r="X50" s="20"/>
      <c r="Y50" s="20"/>
      <c r="AA50" s="20"/>
      <c r="AB50" s="20"/>
      <c r="AC50" s="20"/>
      <c r="AD50" s="20"/>
      <c r="AE50" s="20"/>
      <c r="AM50" s="20"/>
      <c r="AN50" s="20"/>
      <c r="AO50" s="20"/>
      <c r="AP50" s="20"/>
      <c r="AQ50" s="20"/>
      <c r="AS50" s="20"/>
      <c r="AT50" s="20"/>
      <c r="AU50" s="20"/>
      <c r="AV50" s="20"/>
      <c r="AW50" s="20"/>
      <c r="AY50" s="20"/>
      <c r="AZ50" s="20"/>
      <c r="BA50" s="20"/>
      <c r="BB50" s="20"/>
      <c r="BC50" s="2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</row>
    <row r="51" spans="1:149" ht="12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U51" s="20"/>
      <c r="V51" s="20"/>
      <c r="W51" s="20"/>
      <c r="X51" s="20"/>
      <c r="Y51" s="20"/>
      <c r="Z51"/>
      <c r="AA51" s="20"/>
      <c r="AB51" s="20"/>
      <c r="AC51" s="20"/>
      <c r="AD51" s="20"/>
      <c r="AE51" s="20"/>
      <c r="AF51"/>
      <c r="AG51"/>
      <c r="AH51"/>
      <c r="AI51"/>
      <c r="AJ51"/>
      <c r="AK51"/>
      <c r="AL51"/>
      <c r="AM51" s="20"/>
      <c r="AN51" s="20"/>
      <c r="AO51" s="20"/>
      <c r="AP51" s="20"/>
      <c r="AQ51" s="20"/>
      <c r="AR51"/>
      <c r="AS51" s="20"/>
      <c r="AT51" s="20"/>
      <c r="AU51" s="20"/>
      <c r="AV51" s="20"/>
      <c r="AW51" s="20"/>
      <c r="AY51" s="20"/>
      <c r="AZ51" s="20"/>
      <c r="BA51" s="20"/>
      <c r="BB51" s="20"/>
      <c r="BC51" s="20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</row>
    <row r="52" spans="1:149" ht="12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U52" s="20"/>
      <c r="V52" s="20"/>
      <c r="W52" s="20"/>
      <c r="X52" s="20"/>
      <c r="Y52" s="20"/>
      <c r="Z52"/>
      <c r="AA52" s="20"/>
      <c r="AB52" s="20"/>
      <c r="AC52" s="20"/>
      <c r="AD52" s="20"/>
      <c r="AE52" s="20"/>
      <c r="AF52"/>
      <c r="AG52"/>
      <c r="AH52"/>
      <c r="AI52"/>
      <c r="AJ52"/>
      <c r="AK52"/>
      <c r="AL52"/>
      <c r="AM52" s="20"/>
      <c r="AN52" s="20"/>
      <c r="AO52" s="20"/>
      <c r="AP52" s="20"/>
      <c r="AQ52" s="20"/>
      <c r="AR52"/>
      <c r="AS52" s="20"/>
      <c r="AT52" s="20"/>
      <c r="AU52" s="20"/>
      <c r="AV52" s="20"/>
      <c r="AW52" s="20"/>
      <c r="AY52" s="20"/>
      <c r="AZ52" s="20"/>
      <c r="BA52" s="20"/>
      <c r="BB52" s="20"/>
      <c r="BC52" s="20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</row>
    <row r="53" spans="1:149" ht="12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U53" s="20"/>
      <c r="V53" s="20"/>
      <c r="W53" s="20"/>
      <c r="X53" s="20"/>
      <c r="Y53" s="20"/>
      <c r="Z53"/>
      <c r="AA53" s="20"/>
      <c r="AB53" s="20"/>
      <c r="AC53" s="20"/>
      <c r="AD53" s="20"/>
      <c r="AE53" s="20"/>
      <c r="AF53"/>
      <c r="AG53"/>
      <c r="AH53"/>
      <c r="AI53"/>
      <c r="AJ53"/>
      <c r="AK53"/>
      <c r="AL53"/>
      <c r="AM53" s="20"/>
      <c r="AN53" s="20"/>
      <c r="AO53" s="20"/>
      <c r="AP53" s="20"/>
      <c r="AQ53" s="20"/>
      <c r="AR53"/>
      <c r="AS53" s="20"/>
      <c r="AT53" s="20"/>
      <c r="AU53" s="20"/>
      <c r="AV53" s="20"/>
      <c r="AW53" s="20"/>
      <c r="AY53" s="20"/>
      <c r="AZ53" s="20"/>
      <c r="BA53" s="20"/>
      <c r="BB53" s="20"/>
      <c r="BC53" s="20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</row>
    <row r="54" spans="1:149" ht="12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U54" s="20"/>
      <c r="V54" s="20"/>
      <c r="W54" s="20"/>
      <c r="X54" s="20"/>
      <c r="Y54" s="20"/>
      <c r="Z54"/>
      <c r="AA54" s="20"/>
      <c r="AB54" s="20"/>
      <c r="AC54" s="20"/>
      <c r="AD54" s="20"/>
      <c r="AE54" s="20"/>
      <c r="AF54"/>
      <c r="AG54"/>
      <c r="AH54"/>
      <c r="AI54"/>
      <c r="AJ54"/>
      <c r="AK54"/>
      <c r="AL54"/>
      <c r="AM54" s="20"/>
      <c r="AN54" s="20"/>
      <c r="AO54" s="20"/>
      <c r="AP54" s="20"/>
      <c r="AQ54" s="20"/>
      <c r="AR54"/>
      <c r="AS54" s="20"/>
      <c r="AT54" s="20"/>
      <c r="AU54" s="20"/>
      <c r="AV54" s="20"/>
      <c r="AW54" s="20"/>
      <c r="AY54" s="20"/>
      <c r="AZ54" s="20"/>
      <c r="BA54" s="20"/>
      <c r="BB54" s="20"/>
      <c r="BC54" s="20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</row>
    <row r="55" spans="1:149" ht="12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U55" s="20"/>
      <c r="V55" s="20"/>
      <c r="W55" s="20"/>
      <c r="X55" s="20"/>
      <c r="Y55" s="20"/>
      <c r="Z55"/>
      <c r="AA55" s="20"/>
      <c r="AB55" s="20"/>
      <c r="AC55" s="20"/>
      <c r="AD55" s="20"/>
      <c r="AE55" s="20"/>
      <c r="AF55"/>
      <c r="AG55"/>
      <c r="AH55"/>
      <c r="AI55"/>
      <c r="AJ55"/>
      <c r="AK55"/>
      <c r="AL55"/>
      <c r="AM55" s="20"/>
      <c r="AN55" s="20"/>
      <c r="AO55" s="20"/>
      <c r="AP55" s="20"/>
      <c r="AQ55" s="20"/>
      <c r="AR55"/>
      <c r="AS55" s="20"/>
      <c r="AT55" s="20"/>
      <c r="AU55" s="20"/>
      <c r="AV55" s="20"/>
      <c r="AW55" s="20"/>
      <c r="AY55" s="20"/>
      <c r="AZ55" s="20"/>
      <c r="BA55" s="20"/>
      <c r="BB55" s="20"/>
      <c r="BC55" s="20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</row>
    <row r="56" spans="1:149" ht="12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U56" s="20"/>
      <c r="V56" s="20"/>
      <c r="W56" s="20"/>
      <c r="X56" s="20"/>
      <c r="Y56" s="20"/>
      <c r="Z56"/>
      <c r="AA56" s="20"/>
      <c r="AB56" s="20"/>
      <c r="AC56" s="20"/>
      <c r="AD56" s="20"/>
      <c r="AE56" s="20"/>
      <c r="AF56"/>
      <c r="AG56"/>
      <c r="AH56"/>
      <c r="AI56"/>
      <c r="AJ56"/>
      <c r="AK56"/>
      <c r="AL56"/>
      <c r="AM56" s="20"/>
      <c r="AN56" s="20"/>
      <c r="AO56" s="20"/>
      <c r="AP56" s="20"/>
      <c r="AQ56" s="20"/>
      <c r="AR56"/>
      <c r="AS56" s="20"/>
      <c r="AT56" s="20"/>
      <c r="AU56" s="20"/>
      <c r="AV56" s="20"/>
      <c r="AW56" s="20"/>
      <c r="AY56" s="20"/>
      <c r="AZ56" s="20"/>
      <c r="BA56" s="20"/>
      <c r="BB56" s="20"/>
      <c r="BC56" s="20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</row>
    <row r="57" spans="1:149" ht="12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U57" s="20"/>
      <c r="V57" s="20"/>
      <c r="W57" s="20"/>
      <c r="X57" s="20"/>
      <c r="Y57" s="20"/>
      <c r="Z57"/>
      <c r="AA57" s="20"/>
      <c r="AB57" s="20"/>
      <c r="AC57" s="20"/>
      <c r="AD57" s="20"/>
      <c r="AE57" s="20"/>
      <c r="AF57"/>
      <c r="AG57"/>
      <c r="AH57"/>
      <c r="AI57"/>
      <c r="AJ57"/>
      <c r="AK57"/>
      <c r="AL57"/>
      <c r="AM57" s="20"/>
      <c r="AN57" s="20"/>
      <c r="AO57" s="20"/>
      <c r="AP57" s="20"/>
      <c r="AQ57" s="20"/>
      <c r="AR57"/>
      <c r="AS57" s="20"/>
      <c r="AT57" s="20"/>
      <c r="AU57" s="20"/>
      <c r="AV57" s="20"/>
      <c r="AW57" s="20"/>
      <c r="AY57" s="20"/>
      <c r="AZ57" s="20"/>
      <c r="BA57" s="20"/>
      <c r="BB57" s="20"/>
      <c r="BC57" s="20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</row>
    <row r="58" spans="1:149" ht="12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U58" s="20"/>
      <c r="V58" s="20"/>
      <c r="W58" s="20"/>
      <c r="X58" s="20"/>
      <c r="Y58" s="20"/>
      <c r="Z58"/>
      <c r="AA58" s="20"/>
      <c r="AB58" s="20"/>
      <c r="AC58" s="20"/>
      <c r="AD58" s="20"/>
      <c r="AE58" s="20"/>
      <c r="AF58"/>
      <c r="AG58"/>
      <c r="AH58"/>
      <c r="AI58"/>
      <c r="AJ58"/>
      <c r="AK58"/>
      <c r="AL58"/>
      <c r="AM58" s="20"/>
      <c r="AN58" s="20"/>
      <c r="AO58" s="20"/>
      <c r="AP58" s="20"/>
      <c r="AQ58" s="20"/>
      <c r="AR58"/>
      <c r="AS58" s="20"/>
      <c r="AT58" s="20"/>
      <c r="AU58" s="20"/>
      <c r="AV58" s="20"/>
      <c r="AW58" s="20"/>
      <c r="AY58" s="20"/>
      <c r="AZ58" s="20"/>
      <c r="BA58" s="20"/>
      <c r="BB58" s="20"/>
      <c r="BC58" s="20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</row>
    <row r="59" spans="1:149" ht="12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U59" s="20"/>
      <c r="V59" s="20"/>
      <c r="W59" s="20"/>
      <c r="X59" s="20"/>
      <c r="Y59" s="20"/>
      <c r="Z59"/>
      <c r="AA59" s="20"/>
      <c r="AB59" s="20"/>
      <c r="AC59" s="20"/>
      <c r="AD59" s="20"/>
      <c r="AE59" s="20"/>
      <c r="AF59"/>
      <c r="AG59"/>
      <c r="AH59"/>
      <c r="AI59"/>
      <c r="AJ59"/>
      <c r="AK59"/>
      <c r="AL59"/>
      <c r="AM59" s="20"/>
      <c r="AN59" s="20"/>
      <c r="AO59" s="20"/>
      <c r="AP59" s="20"/>
      <c r="AQ59" s="20"/>
      <c r="AR59"/>
      <c r="AS59" s="20"/>
      <c r="AT59" s="20"/>
      <c r="AU59" s="20"/>
      <c r="AV59" s="20"/>
      <c r="AW59" s="20"/>
      <c r="AY59" s="20"/>
      <c r="AZ59" s="20"/>
      <c r="BA59" s="20"/>
      <c r="BB59" s="20"/>
      <c r="BC59" s="20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</row>
    <row r="60" spans="1:149" ht="12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U60" s="20"/>
      <c r="V60" s="20"/>
      <c r="W60" s="20"/>
      <c r="X60" s="20"/>
      <c r="Y60" s="20"/>
      <c r="Z60"/>
      <c r="AA60" s="20"/>
      <c r="AB60" s="20"/>
      <c r="AC60" s="20"/>
      <c r="AD60" s="20"/>
      <c r="AE60" s="20"/>
      <c r="AF60"/>
      <c r="AG60"/>
      <c r="AH60"/>
      <c r="AI60"/>
      <c r="AJ60"/>
      <c r="AK60"/>
      <c r="AL60"/>
      <c r="AM60" s="20"/>
      <c r="AN60" s="20"/>
      <c r="AO60" s="20"/>
      <c r="AP60" s="20"/>
      <c r="AQ60" s="20"/>
      <c r="AR60"/>
      <c r="AS60" s="20"/>
      <c r="AT60" s="20"/>
      <c r="AU60" s="20"/>
      <c r="AV60" s="20"/>
      <c r="AW60" s="20"/>
      <c r="AY60" s="20"/>
      <c r="AZ60" s="20"/>
      <c r="BA60" s="20"/>
      <c r="BB60" s="20"/>
      <c r="BC60" s="2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</row>
    <row r="61" spans="1:149" ht="12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U61" s="20"/>
      <c r="V61" s="20"/>
      <c r="W61" s="20"/>
      <c r="X61" s="20"/>
      <c r="Y61" s="20"/>
      <c r="Z61"/>
      <c r="AA61" s="20"/>
      <c r="AB61" s="20"/>
      <c r="AC61" s="20"/>
      <c r="AD61" s="20"/>
      <c r="AE61" s="20"/>
      <c r="AF61"/>
      <c r="AG61"/>
      <c r="AH61"/>
      <c r="AI61"/>
      <c r="AJ61"/>
      <c r="AK61"/>
      <c r="AL61"/>
      <c r="AM61" s="20"/>
      <c r="AN61" s="20"/>
      <c r="AO61" s="20"/>
      <c r="AP61" s="20"/>
      <c r="AQ61" s="20"/>
      <c r="AR61"/>
      <c r="AS61" s="20"/>
      <c r="AT61" s="20"/>
      <c r="AU61" s="20"/>
      <c r="AV61" s="20"/>
      <c r="AW61" s="20"/>
      <c r="AY61" s="20"/>
      <c r="AZ61" s="20"/>
      <c r="BA61" s="20"/>
      <c r="BB61" s="20"/>
      <c r="BC61" s="20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</row>
    <row r="62" spans="1:149" ht="12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U62" s="20"/>
      <c r="V62" s="20"/>
      <c r="W62" s="20"/>
      <c r="X62" s="20"/>
      <c r="Y62" s="20"/>
      <c r="Z62"/>
      <c r="AA62" s="20"/>
      <c r="AB62" s="20"/>
      <c r="AC62" s="20"/>
      <c r="AD62" s="20"/>
      <c r="AE62" s="20"/>
      <c r="AF62"/>
      <c r="AG62"/>
      <c r="AH62"/>
      <c r="AI62"/>
      <c r="AJ62"/>
      <c r="AK62"/>
      <c r="AL62"/>
      <c r="AM62" s="20"/>
      <c r="AN62" s="20"/>
      <c r="AO62" s="20"/>
      <c r="AP62" s="20"/>
      <c r="AQ62" s="20"/>
      <c r="AR62"/>
      <c r="AS62" s="20"/>
      <c r="AT62" s="20"/>
      <c r="AU62" s="20"/>
      <c r="AV62" s="20"/>
      <c r="AW62" s="20"/>
      <c r="AY62" s="20"/>
      <c r="AZ62" s="20"/>
      <c r="BA62" s="20"/>
      <c r="BB62" s="20"/>
      <c r="BC62" s="20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</row>
    <row r="63" spans="1:149" ht="12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U63" s="20"/>
      <c r="V63" s="20"/>
      <c r="W63" s="20"/>
      <c r="X63" s="20"/>
      <c r="Y63" s="20"/>
      <c r="Z63"/>
      <c r="AA63" s="20"/>
      <c r="AB63" s="20"/>
      <c r="AC63" s="20"/>
      <c r="AD63" s="20"/>
      <c r="AE63" s="20"/>
      <c r="AF63"/>
      <c r="AG63"/>
      <c r="AH63"/>
      <c r="AI63"/>
      <c r="AJ63"/>
      <c r="AK63"/>
      <c r="AL63"/>
      <c r="AM63" s="20"/>
      <c r="AN63" s="20"/>
      <c r="AO63" s="20"/>
      <c r="AP63" s="20"/>
      <c r="AQ63" s="20"/>
      <c r="AR63"/>
      <c r="AS63" s="20"/>
      <c r="AT63" s="20"/>
      <c r="AU63" s="20"/>
      <c r="AV63" s="20"/>
      <c r="AW63" s="20"/>
      <c r="AY63" s="20"/>
      <c r="AZ63" s="20"/>
      <c r="BA63" s="20"/>
      <c r="BB63" s="20"/>
      <c r="BC63" s="20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</row>
    <row r="64" spans="1:149" ht="12">
      <c r="A64"/>
      <c r="C64"/>
      <c r="D64"/>
      <c r="E64"/>
      <c r="F64"/>
      <c r="G64"/>
      <c r="H64"/>
      <c r="I64"/>
      <c r="J64"/>
      <c r="K64"/>
      <c r="L64"/>
      <c r="M64"/>
      <c r="N64"/>
      <c r="T64"/>
      <c r="U64" s="20"/>
      <c r="V64" s="20"/>
      <c r="W64" s="20"/>
      <c r="X64" s="20"/>
      <c r="Y64" s="20"/>
      <c r="Z64"/>
      <c r="AA64" s="20"/>
      <c r="AB64" s="20"/>
      <c r="AC64" s="20"/>
      <c r="AD64" s="20"/>
      <c r="AE64" s="20"/>
      <c r="AF64"/>
      <c r="AG64"/>
      <c r="AH64"/>
      <c r="AI64"/>
      <c r="AJ64"/>
      <c r="AK64"/>
      <c r="AL64"/>
      <c r="AM64" s="20"/>
      <c r="AN64" s="20"/>
      <c r="AO64" s="20"/>
      <c r="AP64" s="20"/>
      <c r="AQ64" s="20"/>
      <c r="AR64"/>
      <c r="AS64" s="20"/>
      <c r="AT64" s="20"/>
      <c r="AU64" s="20"/>
      <c r="AV64" s="20"/>
      <c r="AW64" s="20"/>
      <c r="AY64" s="20"/>
      <c r="AZ64" s="20"/>
      <c r="BA64" s="20"/>
      <c r="BB64" s="20"/>
      <c r="BC64" s="20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</row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</sheetData>
  <sheetProtection/>
  <printOptions/>
  <pageMargins left="0.75" right="0.75" top="1" bottom="1" header="0.5" footer="0.5"/>
  <pageSetup orientation="landscape" scale="79"/>
  <colBreaks count="2" manualBreakCount="2">
    <brk id="8" max="65535" man="1"/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8000"/>
  </sheetPr>
  <dimension ref="A1:EJ75"/>
  <sheetViews>
    <sheetView zoomScale="150" zoomScaleNormal="150" workbookViewId="0" topLeftCell="A1">
      <selection activeCell="I13" sqref="I13"/>
    </sheetView>
  </sheetViews>
  <sheetFormatPr defaultColWidth="8.8515625" defaultRowHeight="12.75"/>
  <cols>
    <col min="1" max="1" width="9.7109375" style="19" customWidth="1"/>
    <col min="2" max="2" width="3.7109375" style="0" customWidth="1"/>
    <col min="3" max="7" width="13.7109375" style="35" hidden="1" customWidth="1"/>
    <col min="8" max="8" width="3.7109375" style="33" hidden="1" customWidth="1"/>
    <col min="9" max="13" width="13.7109375" style="33" customWidth="1"/>
    <col min="14" max="14" width="3.7109375" style="33" customWidth="1"/>
    <col min="15" max="19" width="12.7109375" style="33" customWidth="1"/>
    <col min="20" max="20" width="2.421875" style="33" customWidth="1"/>
    <col min="21" max="25" width="12.7109375" style="33" customWidth="1"/>
    <col min="26" max="26" width="3.7109375" style="33" customWidth="1"/>
    <col min="27" max="31" width="13.7109375" style="33" customWidth="1"/>
    <col min="32" max="32" width="3.7109375" style="33" customWidth="1"/>
    <col min="33" max="34" width="12.7109375" style="33" customWidth="1"/>
    <col min="35" max="37" width="13.7109375" style="33" customWidth="1"/>
    <col min="38" max="38" width="3.7109375" style="33" customWidth="1"/>
    <col min="39" max="43" width="12.7109375" style="33" customWidth="1"/>
    <col min="44" max="44" width="3.7109375" style="33" customWidth="1"/>
    <col min="45" max="49" width="13.7109375" style="33" customWidth="1"/>
    <col min="50" max="50" width="3.7109375" style="33" customWidth="1"/>
    <col min="51" max="55" width="13.7109375" style="33" customWidth="1"/>
    <col min="56" max="56" width="3.00390625" style="33" customWidth="1"/>
    <col min="57" max="61" width="13.7109375" style="33" customWidth="1"/>
    <col min="62" max="62" width="3.7109375" style="33" customWidth="1"/>
    <col min="63" max="67" width="12.7109375" style="33" customWidth="1"/>
    <col min="68" max="68" width="3.7109375" style="33" customWidth="1"/>
    <col min="69" max="73" width="13.7109375" style="33" customWidth="1"/>
    <col min="74" max="74" width="3.7109375" style="33" customWidth="1"/>
    <col min="75" max="79" width="13.7109375" style="33" customWidth="1"/>
    <col min="80" max="80" width="3.7109375" style="33" customWidth="1"/>
    <col min="81" max="85" width="13.7109375" style="33" customWidth="1"/>
    <col min="86" max="86" width="3.7109375" style="33" customWidth="1"/>
    <col min="87" max="91" width="13.7109375" style="33" customWidth="1"/>
    <col min="92" max="92" width="3.7109375" style="33" customWidth="1"/>
    <col min="93" max="97" width="13.7109375" style="33" customWidth="1"/>
    <col min="98" max="98" width="3.7109375" style="33" customWidth="1"/>
    <col min="99" max="103" width="13.7109375" style="33" customWidth="1"/>
    <col min="104" max="104" width="3.7109375" style="33" customWidth="1"/>
    <col min="105" max="109" width="13.7109375" style="33" customWidth="1"/>
    <col min="110" max="110" width="3.7109375" style="33" customWidth="1"/>
    <col min="111" max="115" width="13.7109375" style="33" customWidth="1"/>
    <col min="116" max="116" width="3.7109375" style="33" customWidth="1"/>
    <col min="117" max="121" width="13.7109375" style="33" customWidth="1"/>
    <col min="122" max="122" width="3.7109375" style="33" customWidth="1"/>
    <col min="123" max="127" width="13.7109375" style="33" customWidth="1"/>
    <col min="128" max="128" width="3.7109375" style="33" customWidth="1"/>
    <col min="129" max="133" width="13.7109375" style="33" customWidth="1"/>
    <col min="134" max="134" width="3.7109375" style="33" customWidth="1"/>
    <col min="135" max="139" width="13.7109375" style="33" customWidth="1"/>
    <col min="140" max="140" width="3.7109375" style="33" customWidth="1"/>
  </cols>
  <sheetData>
    <row r="1" spans="1:135" ht="12">
      <c r="A1" s="43"/>
      <c r="B1" s="30"/>
      <c r="D1" s="44"/>
      <c r="I1" s="44" t="s">
        <v>14</v>
      </c>
      <c r="AA1" s="44"/>
      <c r="AG1" s="44" t="s">
        <v>14</v>
      </c>
      <c r="AM1" s="44" t="s">
        <v>14</v>
      </c>
      <c r="AY1" s="44"/>
      <c r="BK1" s="44" t="s">
        <v>14</v>
      </c>
      <c r="CC1" s="44" t="s">
        <v>14</v>
      </c>
      <c r="CU1" s="44" t="s">
        <v>14</v>
      </c>
      <c r="DM1" s="44" t="s">
        <v>14</v>
      </c>
      <c r="DS1" s="44"/>
      <c r="EE1" s="44" t="s">
        <v>14</v>
      </c>
    </row>
    <row r="2" spans="1:135" ht="12">
      <c r="A2" s="43"/>
      <c r="B2" s="30"/>
      <c r="D2" s="44"/>
      <c r="I2" s="44" t="s">
        <v>13</v>
      </c>
      <c r="AA2" s="44"/>
      <c r="AG2" s="44" t="s">
        <v>13</v>
      </c>
      <c r="AM2" s="44" t="s">
        <v>13</v>
      </c>
      <c r="AY2" s="44"/>
      <c r="BK2" s="44" t="s">
        <v>13</v>
      </c>
      <c r="CC2" s="44" t="s">
        <v>13</v>
      </c>
      <c r="CU2" s="44" t="s">
        <v>13</v>
      </c>
      <c r="DM2" s="44" t="s">
        <v>13</v>
      </c>
      <c r="DS2" s="44"/>
      <c r="EE2" s="44" t="s">
        <v>13</v>
      </c>
    </row>
    <row r="3" spans="1:135" ht="12">
      <c r="A3" s="43"/>
      <c r="B3" s="30"/>
      <c r="D3" s="42"/>
      <c r="I3" s="44" t="s">
        <v>131</v>
      </c>
      <c r="AA3" s="44"/>
      <c r="AG3" s="44" t="str">
        <f>I3</f>
        <v>2008 Series A Bond refunded on 2015A</v>
      </c>
      <c r="AM3" s="44" t="str">
        <f>AG3</f>
        <v>2008 Series A Bond refunded on 2015A</v>
      </c>
      <c r="AY3" s="44"/>
      <c r="BK3" s="44" t="str">
        <f>AM3</f>
        <v>2008 Series A Bond refunded on 2015A</v>
      </c>
      <c r="CC3" s="44" t="str">
        <f>BK3</f>
        <v>2008 Series A Bond refunded on 2015A</v>
      </c>
      <c r="CU3" s="44" t="str">
        <f>CC3</f>
        <v>2008 Series A Bond refunded on 2015A</v>
      </c>
      <c r="DM3" s="44" t="str">
        <f>CU3</f>
        <v>2008 Series A Bond refunded on 2015A</v>
      </c>
      <c r="DS3" s="44"/>
      <c r="EE3" s="44" t="str">
        <f>DM3</f>
        <v>2008 Series A Bond refunded on 2015A</v>
      </c>
    </row>
    <row r="4" spans="1:4" ht="12">
      <c r="A4" s="43"/>
      <c r="B4" s="30"/>
      <c r="C4" s="42"/>
      <c r="D4" s="44"/>
    </row>
    <row r="5" spans="1:139" ht="12">
      <c r="A5" s="21" t="s">
        <v>9</v>
      </c>
      <c r="C5" s="47" t="s">
        <v>136</v>
      </c>
      <c r="D5" s="48"/>
      <c r="E5" s="49"/>
      <c r="F5" s="49"/>
      <c r="G5" s="40"/>
      <c r="I5" s="36" t="s">
        <v>78</v>
      </c>
      <c r="J5" s="37"/>
      <c r="K5" s="38"/>
      <c r="L5" s="38"/>
      <c r="M5" s="40"/>
      <c r="O5" s="61" t="s">
        <v>118</v>
      </c>
      <c r="P5" s="70"/>
      <c r="Q5" s="38"/>
      <c r="R5" s="38"/>
      <c r="S5" s="40"/>
      <c r="T5" s="41"/>
      <c r="U5" s="78" t="s">
        <v>128</v>
      </c>
      <c r="V5" s="70"/>
      <c r="W5" s="38"/>
      <c r="X5" s="38"/>
      <c r="Y5" s="40"/>
      <c r="AA5" s="61" t="s">
        <v>36</v>
      </c>
      <c r="AB5" s="70"/>
      <c r="AC5" s="38"/>
      <c r="AD5" s="38"/>
      <c r="AE5" s="40"/>
      <c r="AG5" s="61" t="s">
        <v>119</v>
      </c>
      <c r="AH5" s="70"/>
      <c r="AI5" s="38"/>
      <c r="AJ5" s="38"/>
      <c r="AK5" s="40"/>
      <c r="AM5" s="61" t="s">
        <v>121</v>
      </c>
      <c r="AN5" s="70"/>
      <c r="AO5" s="38"/>
      <c r="AP5" s="38"/>
      <c r="AQ5" s="40"/>
      <c r="AS5" s="36" t="s">
        <v>30</v>
      </c>
      <c r="AT5" s="37"/>
      <c r="AU5" s="38"/>
      <c r="AV5" s="38"/>
      <c r="AW5" s="40"/>
      <c r="AY5" s="36" t="s">
        <v>89</v>
      </c>
      <c r="AZ5" s="37"/>
      <c r="BA5" s="38"/>
      <c r="BB5" s="38"/>
      <c r="BC5" s="40"/>
      <c r="BD5" s="83"/>
      <c r="BE5" s="78" t="s">
        <v>129</v>
      </c>
      <c r="BF5" s="70"/>
      <c r="BG5" s="38"/>
      <c r="BH5" s="38"/>
      <c r="BI5" s="40"/>
      <c r="BJ5" s="62"/>
      <c r="BK5" s="36" t="s">
        <v>122</v>
      </c>
      <c r="BL5" s="37"/>
      <c r="BM5" s="38"/>
      <c r="BN5" s="38"/>
      <c r="BO5" s="40"/>
      <c r="BP5" s="75"/>
      <c r="BQ5" s="36" t="s">
        <v>90</v>
      </c>
      <c r="BR5" s="37"/>
      <c r="BS5" s="38"/>
      <c r="BT5" s="38"/>
      <c r="BU5" s="40"/>
      <c r="BV5" s="75"/>
      <c r="BW5" s="36" t="s">
        <v>32</v>
      </c>
      <c r="BX5" s="37"/>
      <c r="BY5" s="38"/>
      <c r="BZ5" s="38"/>
      <c r="CA5" s="40"/>
      <c r="CC5" s="36" t="s">
        <v>91</v>
      </c>
      <c r="CD5" s="37"/>
      <c r="CE5" s="38"/>
      <c r="CF5" s="38"/>
      <c r="CG5" s="40"/>
      <c r="CI5" s="36" t="s">
        <v>77</v>
      </c>
      <c r="CJ5" s="70"/>
      <c r="CK5" s="38"/>
      <c r="CL5" s="38"/>
      <c r="CM5" s="40"/>
      <c r="CO5" s="36" t="s">
        <v>33</v>
      </c>
      <c r="CP5" s="70"/>
      <c r="CQ5" s="38"/>
      <c r="CR5" s="38"/>
      <c r="CS5" s="40"/>
      <c r="CT5" s="62"/>
      <c r="CU5" s="36" t="s">
        <v>34</v>
      </c>
      <c r="CV5" s="70"/>
      <c r="CW5" s="38"/>
      <c r="CX5" s="38"/>
      <c r="CY5" s="40"/>
      <c r="DA5" s="36" t="s">
        <v>92</v>
      </c>
      <c r="DB5" s="70"/>
      <c r="DC5" s="38"/>
      <c r="DD5" s="38"/>
      <c r="DE5" s="40"/>
      <c r="DG5" s="36" t="s">
        <v>93</v>
      </c>
      <c r="DH5" s="70"/>
      <c r="DI5" s="38"/>
      <c r="DJ5" s="38"/>
      <c r="DK5" s="40"/>
      <c r="DM5" s="36" t="s">
        <v>94</v>
      </c>
      <c r="DN5" s="70"/>
      <c r="DO5" s="38"/>
      <c r="DP5" s="38"/>
      <c r="DQ5" s="40"/>
      <c r="DS5" s="36" t="s">
        <v>95</v>
      </c>
      <c r="DT5" s="70"/>
      <c r="DU5" s="38"/>
      <c r="DV5" s="38"/>
      <c r="DW5" s="40"/>
      <c r="DY5" s="36" t="s">
        <v>96</v>
      </c>
      <c r="DZ5" s="70"/>
      <c r="EA5" s="38"/>
      <c r="EB5" s="38"/>
      <c r="EC5" s="40"/>
      <c r="EE5" s="36" t="s">
        <v>97</v>
      </c>
      <c r="EF5" s="70"/>
      <c r="EG5" s="38"/>
      <c r="EH5" s="38"/>
      <c r="EI5" s="40"/>
    </row>
    <row r="6" spans="1:140" s="12" customFormat="1" ht="12">
      <c r="A6" s="45" t="s">
        <v>10</v>
      </c>
      <c r="C6" s="39"/>
      <c r="D6" s="37"/>
      <c r="E6" s="38"/>
      <c r="F6" s="40" t="s">
        <v>125</v>
      </c>
      <c r="G6" s="40" t="s">
        <v>125</v>
      </c>
      <c r="H6" s="33"/>
      <c r="I6" s="69"/>
      <c r="J6" s="64">
        <f>P6+AB6+AH6+AN6+AT6+AZ6+BL6+BR6+BX6+CD6+CJ6+CP6+CV6+DB6+DH6+DN6+DT6+DZ6+EF6+V6+BF6</f>
        <v>0.10131860000000001</v>
      </c>
      <c r="K6" s="74"/>
      <c r="L6" s="40" t="s">
        <v>125</v>
      </c>
      <c r="M6" s="40" t="s">
        <v>125</v>
      </c>
      <c r="N6" s="33"/>
      <c r="O6" s="68"/>
      <c r="P6" s="12">
        <v>0.010125</v>
      </c>
      <c r="Q6" s="74"/>
      <c r="R6" s="40" t="s">
        <v>125</v>
      </c>
      <c r="S6" s="40" t="s">
        <v>125</v>
      </c>
      <c r="T6" s="82"/>
      <c r="U6" s="68"/>
      <c r="V6" s="12">
        <v>0.001302550177095632</v>
      </c>
      <c r="W6" s="74"/>
      <c r="X6" s="40" t="s">
        <v>125</v>
      </c>
      <c r="Y6" s="40" t="s">
        <v>125</v>
      </c>
      <c r="Z6" s="33"/>
      <c r="AA6" s="68">
        <v>0.0029994</v>
      </c>
      <c r="AB6" s="12">
        <v>0.0237644</v>
      </c>
      <c r="AC6" s="74"/>
      <c r="AD6" s="40" t="s">
        <v>125</v>
      </c>
      <c r="AE6" s="40" t="s">
        <v>125</v>
      </c>
      <c r="AF6" s="33"/>
      <c r="AG6" s="68"/>
      <c r="AH6" s="12">
        <v>0.0006876</v>
      </c>
      <c r="AI6" s="74"/>
      <c r="AJ6" s="40" t="s">
        <v>125</v>
      </c>
      <c r="AK6" s="40" t="s">
        <v>125</v>
      </c>
      <c r="AL6" s="33"/>
      <c r="AM6" s="68"/>
      <c r="AN6" s="12">
        <v>0.0005016</v>
      </c>
      <c r="AO6" s="74"/>
      <c r="AP6" s="40" t="s">
        <v>125</v>
      </c>
      <c r="AQ6" s="40" t="s">
        <v>125</v>
      </c>
      <c r="AR6" s="33"/>
      <c r="AS6" s="68">
        <v>0.0066446</v>
      </c>
      <c r="AT6" s="64">
        <v>0.007</v>
      </c>
      <c r="AU6" s="74"/>
      <c r="AV6" s="40" t="s">
        <v>125</v>
      </c>
      <c r="AW6" s="40" t="s">
        <v>125</v>
      </c>
      <c r="AX6" s="33"/>
      <c r="AY6" s="68">
        <v>0.002919</v>
      </c>
      <c r="AZ6" s="64">
        <v>0.0051777</v>
      </c>
      <c r="BA6" s="74"/>
      <c r="BB6" s="40" t="s">
        <v>125</v>
      </c>
      <c r="BC6" s="40" t="s">
        <v>125</v>
      </c>
      <c r="BD6" s="63"/>
      <c r="BE6" s="68"/>
      <c r="BF6" s="12">
        <v>0.001797349822904368</v>
      </c>
      <c r="BG6" s="74"/>
      <c r="BH6" s="40" t="s">
        <v>125</v>
      </c>
      <c r="BI6" s="40" t="s">
        <v>125</v>
      </c>
      <c r="BJ6" s="62"/>
      <c r="BK6" s="68"/>
      <c r="BL6" s="64">
        <v>0.0027386</v>
      </c>
      <c r="BM6" s="74"/>
      <c r="BN6" s="40" t="s">
        <v>125</v>
      </c>
      <c r="BO6" s="40" t="s">
        <v>125</v>
      </c>
      <c r="BP6" s="75"/>
      <c r="BQ6" s="68">
        <v>0.0039482</v>
      </c>
      <c r="BR6" s="64">
        <v>0.0078084</v>
      </c>
      <c r="BS6" s="74"/>
      <c r="BT6" s="40" t="s">
        <v>125</v>
      </c>
      <c r="BU6" s="40" t="s">
        <v>125</v>
      </c>
      <c r="BV6" s="41"/>
      <c r="BW6" s="68">
        <v>0.0010906</v>
      </c>
      <c r="BX6" s="64">
        <v>0.0036689</v>
      </c>
      <c r="BY6" s="74"/>
      <c r="BZ6" s="40" t="s">
        <v>125</v>
      </c>
      <c r="CA6" s="40" t="s">
        <v>125</v>
      </c>
      <c r="CB6" s="33"/>
      <c r="CC6" s="68">
        <v>0.0025758</v>
      </c>
      <c r="CD6" s="64">
        <v>0.0026553</v>
      </c>
      <c r="CE6" s="74"/>
      <c r="CF6" s="40" t="s">
        <v>125</v>
      </c>
      <c r="CG6" s="40" t="s">
        <v>125</v>
      </c>
      <c r="CH6" s="33"/>
      <c r="CI6" s="68">
        <v>0.0025875</v>
      </c>
      <c r="CJ6" s="12">
        <v>0.0038219</v>
      </c>
      <c r="CK6" s="74"/>
      <c r="CL6" s="40" t="s">
        <v>125</v>
      </c>
      <c r="CM6" s="40" t="s">
        <v>125</v>
      </c>
      <c r="CN6" s="33"/>
      <c r="CO6" s="68">
        <v>0.0007706</v>
      </c>
      <c r="CP6" s="12">
        <v>0.0007861</v>
      </c>
      <c r="CQ6" s="74"/>
      <c r="CR6" s="40" t="s">
        <v>125</v>
      </c>
      <c r="CS6" s="40" t="s">
        <v>125</v>
      </c>
      <c r="CT6" s="62"/>
      <c r="CU6" s="54">
        <v>0.0003248</v>
      </c>
      <c r="CV6" s="12">
        <v>0.0029823</v>
      </c>
      <c r="CW6" s="74"/>
      <c r="CX6" s="40" t="s">
        <v>125</v>
      </c>
      <c r="CY6" s="40" t="s">
        <v>125</v>
      </c>
      <c r="CZ6" s="33"/>
      <c r="DA6" s="68">
        <v>0.0005667</v>
      </c>
      <c r="DB6" s="12">
        <v>0.0007439</v>
      </c>
      <c r="DC6" s="74"/>
      <c r="DD6" s="40" t="s">
        <v>125</v>
      </c>
      <c r="DE6" s="40" t="s">
        <v>125</v>
      </c>
      <c r="DF6" s="33"/>
      <c r="DG6" s="68">
        <v>0.0004347</v>
      </c>
      <c r="DH6" s="12">
        <v>0.0029891</v>
      </c>
      <c r="DI6" s="74"/>
      <c r="DJ6" s="40" t="s">
        <v>125</v>
      </c>
      <c r="DK6" s="40" t="s">
        <v>125</v>
      </c>
      <c r="DL6" s="33"/>
      <c r="DM6" s="68">
        <v>0.0032194</v>
      </c>
      <c r="DN6" s="12">
        <v>0.0167293</v>
      </c>
      <c r="DO6" s="74"/>
      <c r="DP6" s="40" t="s">
        <v>125</v>
      </c>
      <c r="DQ6" s="40" t="s">
        <v>125</v>
      </c>
      <c r="DR6" s="33"/>
      <c r="DS6" s="68">
        <v>4.76E-05</v>
      </c>
      <c r="DT6" s="12">
        <v>4.86E-05</v>
      </c>
      <c r="DU6" s="74"/>
      <c r="DV6" s="40" t="s">
        <v>125</v>
      </c>
      <c r="DW6" s="40" t="s">
        <v>125</v>
      </c>
      <c r="DX6" s="33"/>
      <c r="DY6" s="68">
        <v>0.0028593</v>
      </c>
      <c r="DZ6" s="12">
        <v>0.0031897</v>
      </c>
      <c r="EA6" s="74"/>
      <c r="EB6" s="40" t="s">
        <v>125</v>
      </c>
      <c r="EC6" s="40" t="s">
        <v>125</v>
      </c>
      <c r="ED6" s="33"/>
      <c r="EE6" s="68">
        <v>0.0009192</v>
      </c>
      <c r="EF6" s="12">
        <v>0.0028003</v>
      </c>
      <c r="EG6" s="74"/>
      <c r="EH6" s="40" t="s">
        <v>125</v>
      </c>
      <c r="EI6" s="40" t="s">
        <v>125</v>
      </c>
      <c r="EJ6" s="33"/>
    </row>
    <row r="7" spans="1:139" ht="12">
      <c r="A7" s="25"/>
      <c r="C7" s="40" t="s">
        <v>11</v>
      </c>
      <c r="D7" s="40" t="s">
        <v>12</v>
      </c>
      <c r="E7" s="40" t="s">
        <v>4</v>
      </c>
      <c r="F7" s="40" t="s">
        <v>126</v>
      </c>
      <c r="G7" s="40" t="s">
        <v>132</v>
      </c>
      <c r="I7" s="40" t="s">
        <v>11</v>
      </c>
      <c r="J7" s="40" t="s">
        <v>12</v>
      </c>
      <c r="K7" s="40" t="s">
        <v>4</v>
      </c>
      <c r="L7" s="40" t="s">
        <v>126</v>
      </c>
      <c r="M7" s="40" t="s">
        <v>132</v>
      </c>
      <c r="O7" s="40" t="s">
        <v>11</v>
      </c>
      <c r="P7" s="40" t="s">
        <v>12</v>
      </c>
      <c r="Q7" s="40" t="s">
        <v>4</v>
      </c>
      <c r="R7" s="40" t="s">
        <v>126</v>
      </c>
      <c r="S7" s="40" t="s">
        <v>132</v>
      </c>
      <c r="T7" s="82"/>
      <c r="U7" s="40" t="s">
        <v>11</v>
      </c>
      <c r="V7" s="40" t="s">
        <v>12</v>
      </c>
      <c r="W7" s="40" t="s">
        <v>4</v>
      </c>
      <c r="X7" s="40" t="s">
        <v>126</v>
      </c>
      <c r="Y7" s="40" t="s">
        <v>132</v>
      </c>
      <c r="AA7" s="40" t="s">
        <v>11</v>
      </c>
      <c r="AB7" s="40" t="s">
        <v>12</v>
      </c>
      <c r="AC7" s="40" t="s">
        <v>4</v>
      </c>
      <c r="AD7" s="40" t="s">
        <v>126</v>
      </c>
      <c r="AE7" s="40" t="s">
        <v>132</v>
      </c>
      <c r="AG7" s="40" t="s">
        <v>11</v>
      </c>
      <c r="AH7" s="40" t="s">
        <v>12</v>
      </c>
      <c r="AI7" s="40" t="s">
        <v>4</v>
      </c>
      <c r="AJ7" s="40" t="s">
        <v>126</v>
      </c>
      <c r="AK7" s="40" t="s">
        <v>132</v>
      </c>
      <c r="AM7" s="40" t="s">
        <v>11</v>
      </c>
      <c r="AN7" s="40" t="s">
        <v>12</v>
      </c>
      <c r="AO7" s="40" t="s">
        <v>4</v>
      </c>
      <c r="AP7" s="40" t="s">
        <v>126</v>
      </c>
      <c r="AQ7" s="40" t="s">
        <v>132</v>
      </c>
      <c r="AS7" s="40" t="s">
        <v>11</v>
      </c>
      <c r="AT7" s="40" t="s">
        <v>12</v>
      </c>
      <c r="AU7" s="40" t="s">
        <v>4</v>
      </c>
      <c r="AV7" s="40" t="s">
        <v>126</v>
      </c>
      <c r="AW7" s="40" t="s">
        <v>132</v>
      </c>
      <c r="AY7" s="40" t="s">
        <v>11</v>
      </c>
      <c r="AZ7" s="40" t="s">
        <v>12</v>
      </c>
      <c r="BA7" s="40" t="s">
        <v>4</v>
      </c>
      <c r="BB7" s="40" t="s">
        <v>126</v>
      </c>
      <c r="BC7" s="40" t="s">
        <v>132</v>
      </c>
      <c r="BD7" s="63"/>
      <c r="BE7" s="40" t="s">
        <v>11</v>
      </c>
      <c r="BF7" s="40" t="s">
        <v>12</v>
      </c>
      <c r="BG7" s="40" t="s">
        <v>4</v>
      </c>
      <c r="BH7" s="40" t="s">
        <v>126</v>
      </c>
      <c r="BI7" s="40" t="s">
        <v>132</v>
      </c>
      <c r="BJ7" s="63"/>
      <c r="BK7" s="40" t="s">
        <v>11</v>
      </c>
      <c r="BL7" s="40" t="s">
        <v>12</v>
      </c>
      <c r="BM7" s="40" t="s">
        <v>4</v>
      </c>
      <c r="BN7" s="40" t="s">
        <v>126</v>
      </c>
      <c r="BO7" s="40" t="s">
        <v>132</v>
      </c>
      <c r="BP7" s="63"/>
      <c r="BQ7" s="40" t="s">
        <v>11</v>
      </c>
      <c r="BR7" s="40" t="s">
        <v>12</v>
      </c>
      <c r="BS7" s="40" t="s">
        <v>4</v>
      </c>
      <c r="BT7" s="40" t="s">
        <v>126</v>
      </c>
      <c r="BU7" s="40" t="s">
        <v>132</v>
      </c>
      <c r="BV7" s="63"/>
      <c r="BW7" s="40" t="s">
        <v>11</v>
      </c>
      <c r="BX7" s="40" t="s">
        <v>12</v>
      </c>
      <c r="BY7" s="40" t="s">
        <v>4</v>
      </c>
      <c r="BZ7" s="40" t="s">
        <v>126</v>
      </c>
      <c r="CA7" s="40" t="s">
        <v>132</v>
      </c>
      <c r="CC7" s="40" t="s">
        <v>11</v>
      </c>
      <c r="CD7" s="40" t="s">
        <v>12</v>
      </c>
      <c r="CE7" s="40" t="s">
        <v>4</v>
      </c>
      <c r="CF7" s="40" t="s">
        <v>126</v>
      </c>
      <c r="CG7" s="40" t="s">
        <v>132</v>
      </c>
      <c r="CI7" s="40" t="s">
        <v>11</v>
      </c>
      <c r="CJ7" s="40" t="s">
        <v>12</v>
      </c>
      <c r="CK7" s="40" t="s">
        <v>4</v>
      </c>
      <c r="CL7" s="40" t="s">
        <v>126</v>
      </c>
      <c r="CM7" s="40" t="s">
        <v>132</v>
      </c>
      <c r="CO7" s="40" t="s">
        <v>11</v>
      </c>
      <c r="CP7" s="40" t="s">
        <v>12</v>
      </c>
      <c r="CQ7" s="40" t="s">
        <v>4</v>
      </c>
      <c r="CR7" s="40" t="s">
        <v>126</v>
      </c>
      <c r="CS7" s="40" t="s">
        <v>132</v>
      </c>
      <c r="CT7" s="63"/>
      <c r="CU7" s="40" t="s">
        <v>11</v>
      </c>
      <c r="CV7" s="40" t="s">
        <v>12</v>
      </c>
      <c r="CW7" s="40" t="s">
        <v>4</v>
      </c>
      <c r="CX7" s="40" t="s">
        <v>126</v>
      </c>
      <c r="CY7" s="40" t="s">
        <v>132</v>
      </c>
      <c r="DA7" s="40" t="s">
        <v>11</v>
      </c>
      <c r="DB7" s="40" t="s">
        <v>12</v>
      </c>
      <c r="DC7" s="40" t="s">
        <v>4</v>
      </c>
      <c r="DD7" s="40" t="s">
        <v>126</v>
      </c>
      <c r="DE7" s="40" t="s">
        <v>132</v>
      </c>
      <c r="DG7" s="40" t="s">
        <v>11</v>
      </c>
      <c r="DH7" s="40" t="s">
        <v>12</v>
      </c>
      <c r="DI7" s="40" t="s">
        <v>4</v>
      </c>
      <c r="DJ7" s="40" t="s">
        <v>126</v>
      </c>
      <c r="DK7" s="40" t="s">
        <v>132</v>
      </c>
      <c r="DM7" s="40" t="s">
        <v>11</v>
      </c>
      <c r="DN7" s="40" t="s">
        <v>12</v>
      </c>
      <c r="DO7" s="40" t="s">
        <v>4</v>
      </c>
      <c r="DP7" s="40" t="s">
        <v>126</v>
      </c>
      <c r="DQ7" s="40" t="s">
        <v>132</v>
      </c>
      <c r="DS7" s="40" t="s">
        <v>11</v>
      </c>
      <c r="DT7" s="40" t="s">
        <v>12</v>
      </c>
      <c r="DU7" s="40" t="s">
        <v>4</v>
      </c>
      <c r="DV7" s="40" t="s">
        <v>126</v>
      </c>
      <c r="DW7" s="40" t="s">
        <v>132</v>
      </c>
      <c r="DY7" s="40" t="s">
        <v>11</v>
      </c>
      <c r="DZ7" s="40" t="s">
        <v>12</v>
      </c>
      <c r="EA7" s="40" t="s">
        <v>4</v>
      </c>
      <c r="EB7" s="40" t="s">
        <v>126</v>
      </c>
      <c r="EC7" s="40" t="s">
        <v>132</v>
      </c>
      <c r="EE7" s="40" t="s">
        <v>11</v>
      </c>
      <c r="EF7" s="40" t="s">
        <v>12</v>
      </c>
      <c r="EG7" s="40" t="s">
        <v>4</v>
      </c>
      <c r="EH7" s="40" t="s">
        <v>126</v>
      </c>
      <c r="EI7" s="40" t="s">
        <v>132</v>
      </c>
    </row>
    <row r="8" spans="1:139" ht="12">
      <c r="A8" s="19">
        <v>41913</v>
      </c>
      <c r="E8" s="35">
        <f aca="true" t="shared" si="0" ref="E8:E35">C8+D8</f>
        <v>0</v>
      </c>
      <c r="I8" s="71"/>
      <c r="J8" s="51">
        <f aca="true" t="shared" si="1" ref="J8:J35">P8+AB8+AH8+AN8+AT8+AZ8+BL8+BR8+BX8+CD8+CJ8+CP8+CV8+DB8+DH8+DN8+DT8+DZ8+EF8+V8+BF8</f>
        <v>0</v>
      </c>
      <c r="K8" s="51">
        <f aca="true" t="shared" si="2" ref="K8:K35">I8+J8</f>
        <v>0</v>
      </c>
      <c r="L8" s="51">
        <f aca="true" t="shared" si="3" ref="L8:M35">R8+AD8+AJ8+AP8+AV8+BB8+BN8+BT8+BZ8+CF8+CL8+CR8+CX8+DD8+DJ8+DP8+DV8+EB8+EH8+X8+BH8</f>
        <v>0</v>
      </c>
      <c r="M8" s="51">
        <f t="shared" si="3"/>
        <v>0</v>
      </c>
      <c r="P8" s="33">
        <f aca="true" t="shared" si="4" ref="P8:P35">D8*1.0125/100</f>
        <v>0</v>
      </c>
      <c r="Q8" s="33">
        <f aca="true" t="shared" si="5" ref="Q8:Q35">O8+P8</f>
        <v>0</v>
      </c>
      <c r="R8" s="20">
        <f>$P$6*$F8</f>
        <v>0</v>
      </c>
      <c r="S8" s="51">
        <f>P$6*$G8</f>
        <v>0</v>
      </c>
      <c r="T8" s="20"/>
      <c r="U8" s="20">
        <f>V6*C8</f>
        <v>0</v>
      </c>
      <c r="V8" s="20">
        <f aca="true" t="shared" si="6" ref="V8:V35">$V$6*D8</f>
        <v>0</v>
      </c>
      <c r="W8" s="20">
        <f aca="true" t="shared" si="7" ref="W8:W35">SUM(U8:V8)</f>
        <v>0</v>
      </c>
      <c r="X8" s="20">
        <f>V$6*$F8</f>
        <v>0</v>
      </c>
      <c r="Y8" s="51">
        <f>V$6*$G8</f>
        <v>0</v>
      </c>
      <c r="AB8" s="51">
        <f aca="true" t="shared" si="8" ref="AB8:AB35">D8*2.37644/100</f>
        <v>0</v>
      </c>
      <c r="AC8" s="51">
        <f aca="true" t="shared" si="9" ref="AC8:AC35">AA8+AB8</f>
        <v>0</v>
      </c>
      <c r="AD8" s="20">
        <f>AB$6*$F8</f>
        <v>0</v>
      </c>
      <c r="AE8" s="51">
        <f>AB$6*$G8</f>
        <v>0</v>
      </c>
      <c r="AH8" s="33">
        <f aca="true" t="shared" si="10" ref="AH8:AH35">D8*0.06876/100</f>
        <v>0</v>
      </c>
      <c r="AI8" s="33">
        <f aca="true" t="shared" si="11" ref="AI8:AI35">AG8+AH8</f>
        <v>0</v>
      </c>
      <c r="AJ8" s="20">
        <f>AH$6*$F8</f>
        <v>0</v>
      </c>
      <c r="AK8" s="51">
        <f>AH$6*$G8</f>
        <v>0</v>
      </c>
      <c r="AN8" s="33">
        <f aca="true" t="shared" si="12" ref="AN8:AN35">D8*0.05016/100</f>
        <v>0</v>
      </c>
      <c r="AO8" s="33">
        <f aca="true" t="shared" si="13" ref="AO8:AO35">AM8+AN8</f>
        <v>0</v>
      </c>
      <c r="AP8" s="20">
        <f>AN$6*$F8</f>
        <v>0</v>
      </c>
      <c r="AQ8" s="51">
        <f>AN$6*$G8</f>
        <v>0</v>
      </c>
      <c r="AT8" s="33">
        <f aca="true" t="shared" si="14" ref="AT8:AT35">D8*0.7/100</f>
        <v>0</v>
      </c>
      <c r="AU8" s="33">
        <f aca="true" t="shared" si="15" ref="AU8:AU35">AS8+AT8</f>
        <v>0</v>
      </c>
      <c r="AV8" s="20">
        <f>AT$6*$F8</f>
        <v>0</v>
      </c>
      <c r="AW8" s="51">
        <f>AT$6*$G8</f>
        <v>0</v>
      </c>
      <c r="AZ8" s="33">
        <f aca="true" t="shared" si="16" ref="AZ8:AZ35">D8*0.51777/100</f>
        <v>0</v>
      </c>
      <c r="BA8" s="33">
        <f aca="true" t="shared" si="17" ref="BA8:BA35">AY8+AZ8</f>
        <v>0</v>
      </c>
      <c r="BB8" s="20">
        <f>AZ$6*$F8</f>
        <v>0</v>
      </c>
      <c r="BC8" s="51">
        <f>AZ$6*$G8</f>
        <v>0</v>
      </c>
      <c r="BD8" s="20"/>
      <c r="BE8" s="20">
        <f aca="true" t="shared" si="18" ref="BE8:BE35">$BF$6*C8</f>
        <v>0</v>
      </c>
      <c r="BF8" s="20">
        <f aca="true" t="shared" si="19" ref="BF8:BF35">$BF$6*D8</f>
        <v>0</v>
      </c>
      <c r="BG8" s="20">
        <f aca="true" t="shared" si="20" ref="BG8:BG35">SUM(BE8:BF8)</f>
        <v>0</v>
      </c>
      <c r="BH8" s="20">
        <f>BF$6*$F8</f>
        <v>0</v>
      </c>
      <c r="BI8" s="51">
        <f>BF$6*$G8</f>
        <v>0</v>
      </c>
      <c r="BK8" s="51"/>
      <c r="BL8" s="51">
        <f aca="true" t="shared" si="21" ref="BL8:BL35">D8*0.27386/100</f>
        <v>0</v>
      </c>
      <c r="BM8" s="33">
        <f aca="true" t="shared" si="22" ref="BM8:BM35">BK8+BL8</f>
        <v>0</v>
      </c>
      <c r="BN8" s="20">
        <f>BL$6*$F8</f>
        <v>0</v>
      </c>
      <c r="BO8" s="51">
        <f>BL$6*$G8</f>
        <v>0</v>
      </c>
      <c r="BQ8" s="51"/>
      <c r="BR8" s="51">
        <f aca="true" t="shared" si="23" ref="BR8:BR35">D8*0.78084/100</f>
        <v>0</v>
      </c>
      <c r="BS8" s="33">
        <f aca="true" t="shared" si="24" ref="BS8:BS35">BQ8+BR8</f>
        <v>0</v>
      </c>
      <c r="BT8" s="20">
        <f>BR$6*$F8</f>
        <v>0</v>
      </c>
      <c r="BU8" s="51">
        <f>BR$6*$G8</f>
        <v>0</v>
      </c>
      <c r="BX8" s="33">
        <f aca="true" t="shared" si="25" ref="BX8:BX35">D8*0.36689/100</f>
        <v>0</v>
      </c>
      <c r="BY8" s="33">
        <f aca="true" t="shared" si="26" ref="BY8:BY35">BW8+BX8</f>
        <v>0</v>
      </c>
      <c r="BZ8" s="20">
        <f>BX$6*$F8</f>
        <v>0</v>
      </c>
      <c r="CA8" s="51">
        <f>BX$6*$G8</f>
        <v>0</v>
      </c>
      <c r="CD8" s="33">
        <f aca="true" t="shared" si="27" ref="CD8:CD35">D8*0.26553/100</f>
        <v>0</v>
      </c>
      <c r="CE8" s="33">
        <f aca="true" t="shared" si="28" ref="CE8:CE35">CC8+CD8</f>
        <v>0</v>
      </c>
      <c r="CF8" s="20">
        <f>CD$6*$F8</f>
        <v>0</v>
      </c>
      <c r="CG8" s="51">
        <f>CD$6*$G8</f>
        <v>0</v>
      </c>
      <c r="CJ8" s="33">
        <f aca="true" t="shared" si="29" ref="CJ8:CJ35">D8*0.38219/100</f>
        <v>0</v>
      </c>
      <c r="CK8" s="33">
        <f aca="true" t="shared" si="30" ref="CK8:CK35">CI8+CJ8</f>
        <v>0</v>
      </c>
      <c r="CL8" s="20">
        <f>CJ$6*$F8</f>
        <v>0</v>
      </c>
      <c r="CM8" s="51">
        <f>CJ$6*$G8</f>
        <v>0</v>
      </c>
      <c r="CP8" s="33">
        <f aca="true" t="shared" si="31" ref="CP8:CP35">D8*0.07861/100</f>
        <v>0</v>
      </c>
      <c r="CQ8" s="33">
        <f aca="true" t="shared" si="32" ref="CQ8:CQ35">CO8+CP8</f>
        <v>0</v>
      </c>
      <c r="CR8" s="20">
        <f>CP$6*$F8</f>
        <v>0</v>
      </c>
      <c r="CS8" s="51">
        <f>CP$6*$G8</f>
        <v>0</v>
      </c>
      <c r="CV8" s="33">
        <f aca="true" t="shared" si="33" ref="CV8:CV35">D8*0.29823/100</f>
        <v>0</v>
      </c>
      <c r="CW8" s="33">
        <f aca="true" t="shared" si="34" ref="CW8:CW35">CU8+CV8</f>
        <v>0</v>
      </c>
      <c r="CX8" s="20">
        <f>CV$6*$F8</f>
        <v>0</v>
      </c>
      <c r="CY8" s="51">
        <f>CV$6*$G8</f>
        <v>0</v>
      </c>
      <c r="DB8" s="33">
        <f aca="true" t="shared" si="35" ref="DB8:DB35">D8*0.07439/100</f>
        <v>0</v>
      </c>
      <c r="DC8" s="33">
        <f aca="true" t="shared" si="36" ref="DC8:DC35">DA8+DB8</f>
        <v>0</v>
      </c>
      <c r="DD8" s="20">
        <f>DB$6*$F8</f>
        <v>0</v>
      </c>
      <c r="DE8" s="51">
        <f>DB$6*$G8</f>
        <v>0</v>
      </c>
      <c r="DH8" s="33">
        <f aca="true" t="shared" si="37" ref="DH8:DH35">D8*0.29891/100</f>
        <v>0</v>
      </c>
      <c r="DI8" s="33">
        <f aca="true" t="shared" si="38" ref="DI8:DI35">DG8+DH8</f>
        <v>0</v>
      </c>
      <c r="DJ8" s="20">
        <f>DH$6*$F8</f>
        <v>0</v>
      </c>
      <c r="DK8" s="51">
        <f>DH$6*$G8</f>
        <v>0</v>
      </c>
      <c r="DN8" s="33">
        <f aca="true" t="shared" si="39" ref="DN8:DN35">D8*1.67293/100</f>
        <v>0</v>
      </c>
      <c r="DO8" s="33">
        <f aca="true" t="shared" si="40" ref="DO8:DO35">DM8+DN8</f>
        <v>0</v>
      </c>
      <c r="DP8" s="20">
        <f>DN$6*$F8</f>
        <v>0</v>
      </c>
      <c r="DQ8" s="51">
        <f>DN$6*$G8</f>
        <v>0</v>
      </c>
      <c r="DT8" s="33">
        <f aca="true" t="shared" si="41" ref="DT8:DT35">D8*0.00486/100</f>
        <v>0</v>
      </c>
      <c r="DU8" s="33">
        <f aca="true" t="shared" si="42" ref="DU8:DU35">DS8+DT8</f>
        <v>0</v>
      </c>
      <c r="DV8" s="20">
        <f>DT$6*$F8</f>
        <v>0</v>
      </c>
      <c r="DW8" s="51">
        <f>DT$6*$G8</f>
        <v>0</v>
      </c>
      <c r="DZ8" s="33">
        <f aca="true" t="shared" si="43" ref="DZ8:DZ35">D8*0.31897/100</f>
        <v>0</v>
      </c>
      <c r="EA8" s="33">
        <f aca="true" t="shared" si="44" ref="EA8:EA35">DY8+DZ8</f>
        <v>0</v>
      </c>
      <c r="EB8" s="20">
        <f>DZ$6*$F8</f>
        <v>0</v>
      </c>
      <c r="EC8" s="51">
        <f>DZ$6*$G8</f>
        <v>0</v>
      </c>
      <c r="EF8" s="33">
        <f aca="true" t="shared" si="45" ref="EF8:EF35">D8*0.28003/100</f>
        <v>0</v>
      </c>
      <c r="EG8" s="33">
        <f aca="true" t="shared" si="46" ref="EG8:EG35">EE8+EF8</f>
        <v>0</v>
      </c>
      <c r="EH8" s="20">
        <f>EF$6*$F8</f>
        <v>0</v>
      </c>
      <c r="EI8" s="51">
        <f>EF$6*$G8</f>
        <v>0</v>
      </c>
    </row>
    <row r="9" spans="1:139" ht="12">
      <c r="A9" s="19">
        <v>42095</v>
      </c>
      <c r="E9" s="35">
        <f t="shared" si="0"/>
        <v>0</v>
      </c>
      <c r="I9" s="71">
        <f aca="true" t="shared" si="47" ref="I9:I35">O9+AA9+AG9+AM9+AS9+AY9+BK9+BQ9+BW9+CC9+CI9+CO9+CU9+DA9+DG9+DM9+DS9+DY9+EE9+U9+BE9</f>
        <v>0</v>
      </c>
      <c r="J9" s="51">
        <f t="shared" si="1"/>
        <v>0</v>
      </c>
      <c r="K9" s="51">
        <f t="shared" si="2"/>
        <v>0</v>
      </c>
      <c r="L9" s="51">
        <f t="shared" si="3"/>
        <v>0</v>
      </c>
      <c r="M9" s="51">
        <f t="shared" si="3"/>
        <v>0</v>
      </c>
      <c r="O9" s="33">
        <f aca="true" t="shared" si="48" ref="O9:O35">C9*1.0125/100</f>
        <v>0</v>
      </c>
      <c r="P9" s="33">
        <f t="shared" si="4"/>
        <v>0</v>
      </c>
      <c r="Q9" s="33">
        <f t="shared" si="5"/>
        <v>0</v>
      </c>
      <c r="R9" s="20">
        <f aca="true" t="shared" si="49" ref="R9:R35">$P$6*$F9</f>
        <v>0</v>
      </c>
      <c r="S9" s="51">
        <f aca="true" t="shared" si="50" ref="S9:S35">P$6*$G9</f>
        <v>0</v>
      </c>
      <c r="T9" s="20"/>
      <c r="U9" s="20">
        <f aca="true" t="shared" si="51" ref="U9:U35">$V$6*C9</f>
        <v>0</v>
      </c>
      <c r="V9" s="20">
        <f t="shared" si="6"/>
        <v>0</v>
      </c>
      <c r="W9" s="20">
        <f t="shared" si="7"/>
        <v>0</v>
      </c>
      <c r="X9" s="20">
        <f aca="true" t="shared" si="52" ref="X9:X35">V$6*$F9</f>
        <v>0</v>
      </c>
      <c r="Y9" s="51">
        <f aca="true" t="shared" si="53" ref="Y9:Y35">V$6*$G9</f>
        <v>0</v>
      </c>
      <c r="AA9" s="33">
        <f aca="true" t="shared" si="54" ref="AA9:AA35">C9*2.37644/100</f>
        <v>0</v>
      </c>
      <c r="AB9" s="51">
        <f t="shared" si="8"/>
        <v>0</v>
      </c>
      <c r="AC9" s="51">
        <f t="shared" si="9"/>
        <v>0</v>
      </c>
      <c r="AD9" s="20">
        <f aca="true" t="shared" si="55" ref="AD9:AD35">AB$6*$F9</f>
        <v>0</v>
      </c>
      <c r="AE9" s="51">
        <f aca="true" t="shared" si="56" ref="AE9:AE35">AB$6*$G9</f>
        <v>0</v>
      </c>
      <c r="AG9" s="33">
        <f aca="true" t="shared" si="57" ref="AG9:AG35">C9*0.06876/100</f>
        <v>0</v>
      </c>
      <c r="AH9" s="33">
        <f t="shared" si="10"/>
        <v>0</v>
      </c>
      <c r="AI9" s="33">
        <f t="shared" si="11"/>
        <v>0</v>
      </c>
      <c r="AJ9" s="20">
        <f aca="true" t="shared" si="58" ref="AJ9:AJ35">AH$6*$F9</f>
        <v>0</v>
      </c>
      <c r="AK9" s="51">
        <f aca="true" t="shared" si="59" ref="AK9:AK35">AH$6*$G9</f>
        <v>0</v>
      </c>
      <c r="AM9" s="33">
        <f aca="true" t="shared" si="60" ref="AM9:AM35">C9*0.05016/100</f>
        <v>0</v>
      </c>
      <c r="AN9" s="33">
        <f t="shared" si="12"/>
        <v>0</v>
      </c>
      <c r="AO9" s="33">
        <f t="shared" si="13"/>
        <v>0</v>
      </c>
      <c r="AP9" s="20">
        <f aca="true" t="shared" si="61" ref="AP9:AP35">AN$6*$F9</f>
        <v>0</v>
      </c>
      <c r="AQ9" s="51">
        <f aca="true" t="shared" si="62" ref="AQ9:AQ35">AN$6*$G9</f>
        <v>0</v>
      </c>
      <c r="AS9" s="33">
        <f aca="true" t="shared" si="63" ref="AS9:AS35">C9*0.7/100</f>
        <v>0</v>
      </c>
      <c r="AT9" s="33">
        <f t="shared" si="14"/>
        <v>0</v>
      </c>
      <c r="AU9" s="33">
        <f t="shared" si="15"/>
        <v>0</v>
      </c>
      <c r="AV9" s="20">
        <f aca="true" t="shared" si="64" ref="AV9:AV35">AT$6*$F9</f>
        <v>0</v>
      </c>
      <c r="AW9" s="51">
        <f aca="true" t="shared" si="65" ref="AW9:AW35">AT$6*$G9</f>
        <v>0</v>
      </c>
      <c r="AY9" s="33">
        <f aca="true" t="shared" si="66" ref="AY9:AY35">C9*0.51777/100</f>
        <v>0</v>
      </c>
      <c r="AZ9" s="33">
        <f t="shared" si="16"/>
        <v>0</v>
      </c>
      <c r="BA9" s="33">
        <f t="shared" si="17"/>
        <v>0</v>
      </c>
      <c r="BB9" s="20">
        <f aca="true" t="shared" si="67" ref="BB9:BB35">AZ$6*$F9</f>
        <v>0</v>
      </c>
      <c r="BC9" s="51">
        <f aca="true" t="shared" si="68" ref="BC9:BC35">AZ$6*$G9</f>
        <v>0</v>
      </c>
      <c r="BD9" s="20"/>
      <c r="BE9" s="20">
        <f t="shared" si="18"/>
        <v>0</v>
      </c>
      <c r="BF9" s="20">
        <f t="shared" si="19"/>
        <v>0</v>
      </c>
      <c r="BG9" s="20">
        <f t="shared" si="20"/>
        <v>0</v>
      </c>
      <c r="BH9" s="20">
        <f aca="true" t="shared" si="69" ref="BH9:BH35">BF$6*$F9</f>
        <v>0</v>
      </c>
      <c r="BI9" s="51">
        <f aca="true" t="shared" si="70" ref="BI9:BI35">BF$6*$G9</f>
        <v>0</v>
      </c>
      <c r="BK9" s="51">
        <f aca="true" t="shared" si="71" ref="BK9:BK35">C9*0.27386/100</f>
        <v>0</v>
      </c>
      <c r="BL9" s="51">
        <f t="shared" si="21"/>
        <v>0</v>
      </c>
      <c r="BM9" s="33">
        <f t="shared" si="22"/>
        <v>0</v>
      </c>
      <c r="BN9" s="20">
        <f aca="true" t="shared" si="72" ref="BN9:BN35">BL$6*$F9</f>
        <v>0</v>
      </c>
      <c r="BO9" s="51">
        <f aca="true" t="shared" si="73" ref="BO9:BO35">BL$6*$G9</f>
        <v>0</v>
      </c>
      <c r="BQ9" s="51">
        <f aca="true" t="shared" si="74" ref="BQ9:BQ35">C9*0.78084/100</f>
        <v>0</v>
      </c>
      <c r="BR9" s="51">
        <f t="shared" si="23"/>
        <v>0</v>
      </c>
      <c r="BS9" s="33">
        <f t="shared" si="24"/>
        <v>0</v>
      </c>
      <c r="BT9" s="20">
        <f aca="true" t="shared" si="75" ref="BT9:BT35">BR$6*$F9</f>
        <v>0</v>
      </c>
      <c r="BU9" s="51">
        <f aca="true" t="shared" si="76" ref="BU9:BU35">BR$6*$G9</f>
        <v>0</v>
      </c>
      <c r="BW9" s="33">
        <f aca="true" t="shared" si="77" ref="BW9:BW35">C9*0.36689/100</f>
        <v>0</v>
      </c>
      <c r="BX9" s="33">
        <f t="shared" si="25"/>
        <v>0</v>
      </c>
      <c r="BY9" s="33">
        <f t="shared" si="26"/>
        <v>0</v>
      </c>
      <c r="BZ9" s="20">
        <f aca="true" t="shared" si="78" ref="BZ9:BZ35">BX$6*$F9</f>
        <v>0</v>
      </c>
      <c r="CA9" s="51">
        <f aca="true" t="shared" si="79" ref="CA9:CA35">BX$6*$G9</f>
        <v>0</v>
      </c>
      <c r="CC9" s="33">
        <f aca="true" t="shared" si="80" ref="CC9:CC35">C9*0.26553/100</f>
        <v>0</v>
      </c>
      <c r="CD9" s="33">
        <f t="shared" si="27"/>
        <v>0</v>
      </c>
      <c r="CE9" s="33">
        <f t="shared" si="28"/>
        <v>0</v>
      </c>
      <c r="CF9" s="20">
        <f aca="true" t="shared" si="81" ref="CF9:CF35">CD$6*$F9</f>
        <v>0</v>
      </c>
      <c r="CG9" s="51">
        <f aca="true" t="shared" si="82" ref="CG9:CG35">CD$6*$G9</f>
        <v>0</v>
      </c>
      <c r="CI9" s="33">
        <f aca="true" t="shared" si="83" ref="CI9:CI35">C9*0.38219/100</f>
        <v>0</v>
      </c>
      <c r="CJ9" s="33">
        <f t="shared" si="29"/>
        <v>0</v>
      </c>
      <c r="CK9" s="33">
        <f t="shared" si="30"/>
        <v>0</v>
      </c>
      <c r="CL9" s="20">
        <f aca="true" t="shared" si="84" ref="CL9:CL35">CJ$6*$F9</f>
        <v>0</v>
      </c>
      <c r="CM9" s="51">
        <f aca="true" t="shared" si="85" ref="CM9:CM35">CJ$6*$G9</f>
        <v>0</v>
      </c>
      <c r="CO9" s="33">
        <f aca="true" t="shared" si="86" ref="CO9:CO35">C9*0.07861/100</f>
        <v>0</v>
      </c>
      <c r="CP9" s="33">
        <f t="shared" si="31"/>
        <v>0</v>
      </c>
      <c r="CQ9" s="33">
        <f t="shared" si="32"/>
        <v>0</v>
      </c>
      <c r="CR9" s="20">
        <f>CP$6*$F9</f>
        <v>0</v>
      </c>
      <c r="CS9" s="51">
        <f aca="true" t="shared" si="87" ref="CS9:CS35">CP$6*$G9</f>
        <v>0</v>
      </c>
      <c r="CU9" s="33">
        <f aca="true" t="shared" si="88" ref="CU9:CU35">C9*0.29823/100</f>
        <v>0</v>
      </c>
      <c r="CV9" s="33">
        <f t="shared" si="33"/>
        <v>0</v>
      </c>
      <c r="CW9" s="33">
        <f t="shared" si="34"/>
        <v>0</v>
      </c>
      <c r="CX9" s="20">
        <f aca="true" t="shared" si="89" ref="CX9:CX35">CV$6*$F9</f>
        <v>0</v>
      </c>
      <c r="CY9" s="51">
        <f aca="true" t="shared" si="90" ref="CY9:CY35">CV$6*$G9</f>
        <v>0</v>
      </c>
      <c r="DA9" s="33">
        <f aca="true" t="shared" si="91" ref="DA9:DA35">C9*0.07439/100</f>
        <v>0</v>
      </c>
      <c r="DB9" s="33">
        <f t="shared" si="35"/>
        <v>0</v>
      </c>
      <c r="DC9" s="33">
        <f t="shared" si="36"/>
        <v>0</v>
      </c>
      <c r="DD9" s="20">
        <f aca="true" t="shared" si="92" ref="DD9:DD35">DB$6*$F9</f>
        <v>0</v>
      </c>
      <c r="DE9" s="51">
        <f aca="true" t="shared" si="93" ref="DE9:DE35">DB$6*$G9</f>
        <v>0</v>
      </c>
      <c r="DG9" s="33">
        <f aca="true" t="shared" si="94" ref="DG9:DG35">C9*0.29891/100</f>
        <v>0</v>
      </c>
      <c r="DH9" s="33">
        <f t="shared" si="37"/>
        <v>0</v>
      </c>
      <c r="DI9" s="33">
        <f t="shared" si="38"/>
        <v>0</v>
      </c>
      <c r="DJ9" s="20">
        <f aca="true" t="shared" si="95" ref="DJ9:DJ35">DH$6*$F9</f>
        <v>0</v>
      </c>
      <c r="DK9" s="51">
        <f aca="true" t="shared" si="96" ref="DK9:DK35">DH$6*$G9</f>
        <v>0</v>
      </c>
      <c r="DM9" s="33">
        <f aca="true" t="shared" si="97" ref="DM9:DM35">C9*1.67293/100</f>
        <v>0</v>
      </c>
      <c r="DN9" s="33">
        <f t="shared" si="39"/>
        <v>0</v>
      </c>
      <c r="DO9" s="33">
        <f t="shared" si="40"/>
        <v>0</v>
      </c>
      <c r="DP9" s="20">
        <f aca="true" t="shared" si="98" ref="DP9:DP35">DN$6*$F9</f>
        <v>0</v>
      </c>
      <c r="DQ9" s="51">
        <f aca="true" t="shared" si="99" ref="DQ9:DQ35">DN$6*$G9</f>
        <v>0</v>
      </c>
      <c r="DS9" s="33">
        <f aca="true" t="shared" si="100" ref="DS9:DS35">C9*0.00486/100</f>
        <v>0</v>
      </c>
      <c r="DT9" s="33">
        <f t="shared" si="41"/>
        <v>0</v>
      </c>
      <c r="DU9" s="33">
        <f t="shared" si="42"/>
        <v>0</v>
      </c>
      <c r="DV9" s="20">
        <f aca="true" t="shared" si="101" ref="DV9:DV35">DT$6*$F9</f>
        <v>0</v>
      </c>
      <c r="DW9" s="51">
        <f aca="true" t="shared" si="102" ref="DW9:DW35">DT$6*$G9</f>
        <v>0</v>
      </c>
      <c r="DY9" s="33">
        <f aca="true" t="shared" si="103" ref="DY9:DY35">C9*0.31897/100</f>
        <v>0</v>
      </c>
      <c r="DZ9" s="33">
        <f t="shared" si="43"/>
        <v>0</v>
      </c>
      <c r="EA9" s="33">
        <f t="shared" si="44"/>
        <v>0</v>
      </c>
      <c r="EB9" s="20">
        <f aca="true" t="shared" si="104" ref="EB9:EB35">DZ$6*$F9</f>
        <v>0</v>
      </c>
      <c r="EC9" s="51">
        <f aca="true" t="shared" si="105" ref="EC9:EC35">DZ$6*$G9</f>
        <v>0</v>
      </c>
      <c r="EE9" s="33">
        <f aca="true" t="shared" si="106" ref="EE9:EE35">C9*0.28003/100</f>
        <v>0</v>
      </c>
      <c r="EF9" s="33">
        <f t="shared" si="45"/>
        <v>0</v>
      </c>
      <c r="EG9" s="33">
        <f t="shared" si="46"/>
        <v>0</v>
      </c>
      <c r="EH9" s="20">
        <f aca="true" t="shared" si="107" ref="EH9:EH35">EF$6*$F9</f>
        <v>0</v>
      </c>
      <c r="EI9" s="51">
        <f aca="true" t="shared" si="108" ref="EI9:EI35">EF$6*$G9</f>
        <v>0</v>
      </c>
    </row>
    <row r="10" spans="1:139" ht="12">
      <c r="A10" s="19">
        <v>42278</v>
      </c>
      <c r="D10" s="35">
        <v>1095605</v>
      </c>
      <c r="E10" s="35">
        <f t="shared" si="0"/>
        <v>1095605</v>
      </c>
      <c r="F10" s="35">
        <f>232802+3</f>
        <v>232805</v>
      </c>
      <c r="G10" s="35">
        <f>150896+10</f>
        <v>150906</v>
      </c>
      <c r="I10" s="71"/>
      <c r="J10" s="51">
        <f t="shared" si="1"/>
        <v>111005.164753</v>
      </c>
      <c r="K10" s="51">
        <f t="shared" si="2"/>
        <v>111005.164753</v>
      </c>
      <c r="L10" s="51">
        <f t="shared" si="3"/>
        <v>23587.476672999997</v>
      </c>
      <c r="M10" s="51">
        <f t="shared" si="3"/>
        <v>15289.584651599997</v>
      </c>
      <c r="P10" s="33">
        <f t="shared" si="4"/>
        <v>11093.000625</v>
      </c>
      <c r="Q10" s="33">
        <f t="shared" si="5"/>
        <v>11093.000625</v>
      </c>
      <c r="R10" s="20">
        <f t="shared" si="49"/>
        <v>2357.150625</v>
      </c>
      <c r="S10" s="51">
        <f t="shared" si="50"/>
        <v>1527.92325</v>
      </c>
      <c r="T10" s="20"/>
      <c r="U10" s="20">
        <f t="shared" si="51"/>
        <v>0</v>
      </c>
      <c r="V10" s="20">
        <f t="shared" si="6"/>
        <v>1427.08048677686</v>
      </c>
      <c r="W10" s="20">
        <f t="shared" si="7"/>
        <v>1427.08048677686</v>
      </c>
      <c r="X10" s="20">
        <f t="shared" si="52"/>
        <v>303.2401939787486</v>
      </c>
      <c r="Y10" s="51">
        <f t="shared" si="53"/>
        <v>196.56263702479345</v>
      </c>
      <c r="AB10" s="51">
        <f t="shared" si="8"/>
        <v>26036.395462</v>
      </c>
      <c r="AC10" s="51">
        <f t="shared" si="9"/>
        <v>26036.395462</v>
      </c>
      <c r="AD10" s="20">
        <f t="shared" si="55"/>
        <v>5532.471142</v>
      </c>
      <c r="AE10" s="51">
        <f t="shared" si="56"/>
        <v>3586.1905464</v>
      </c>
      <c r="AH10" s="33">
        <f t="shared" si="10"/>
        <v>753.3379980000001</v>
      </c>
      <c r="AI10" s="33">
        <f t="shared" si="11"/>
        <v>753.3379980000001</v>
      </c>
      <c r="AJ10" s="20">
        <f t="shared" si="58"/>
        <v>160.076718</v>
      </c>
      <c r="AK10" s="51">
        <f t="shared" si="59"/>
        <v>103.7629656</v>
      </c>
      <c r="AN10" s="33">
        <f t="shared" si="12"/>
        <v>549.555468</v>
      </c>
      <c r="AO10" s="33">
        <f t="shared" si="13"/>
        <v>549.555468</v>
      </c>
      <c r="AP10" s="20">
        <f t="shared" si="61"/>
        <v>116.77498800000001</v>
      </c>
      <c r="AQ10" s="51">
        <f t="shared" si="62"/>
        <v>75.69444960000001</v>
      </c>
      <c r="AT10" s="33">
        <f t="shared" si="14"/>
        <v>7669.235</v>
      </c>
      <c r="AU10" s="33">
        <f t="shared" si="15"/>
        <v>7669.235</v>
      </c>
      <c r="AV10" s="20">
        <f t="shared" si="64"/>
        <v>1629.635</v>
      </c>
      <c r="AW10" s="51">
        <f t="shared" si="65"/>
        <v>1056.342</v>
      </c>
      <c r="AZ10" s="33">
        <f t="shared" si="16"/>
        <v>5672.7140085</v>
      </c>
      <c r="BA10" s="33">
        <f t="shared" si="17"/>
        <v>5672.7140085</v>
      </c>
      <c r="BB10" s="20">
        <f t="shared" si="67"/>
        <v>1205.3944485000002</v>
      </c>
      <c r="BC10" s="51">
        <f t="shared" si="68"/>
        <v>781.3459962000001</v>
      </c>
      <c r="BD10" s="20"/>
      <c r="BE10" s="20">
        <f t="shared" si="18"/>
        <v>0</v>
      </c>
      <c r="BF10" s="20">
        <f t="shared" si="19"/>
        <v>1969.18545272314</v>
      </c>
      <c r="BG10" s="20">
        <f t="shared" si="20"/>
        <v>1969.18545272314</v>
      </c>
      <c r="BH10" s="20">
        <f t="shared" si="69"/>
        <v>418.43202552125143</v>
      </c>
      <c r="BI10" s="51">
        <f t="shared" si="70"/>
        <v>271.23087237520656</v>
      </c>
      <c r="BK10" s="51"/>
      <c r="BL10" s="51">
        <f t="shared" si="21"/>
        <v>3000.423853</v>
      </c>
      <c r="BM10" s="33">
        <f t="shared" si="22"/>
        <v>3000.423853</v>
      </c>
      <c r="BN10" s="20">
        <f t="shared" si="72"/>
        <v>637.559773</v>
      </c>
      <c r="BO10" s="51">
        <f t="shared" si="73"/>
        <v>413.2711716</v>
      </c>
      <c r="BQ10" s="51"/>
      <c r="BR10" s="51">
        <f t="shared" si="23"/>
        <v>8554.922082</v>
      </c>
      <c r="BS10" s="33">
        <f t="shared" si="24"/>
        <v>8554.922082</v>
      </c>
      <c r="BT10" s="20">
        <f t="shared" si="75"/>
        <v>1817.834562</v>
      </c>
      <c r="BU10" s="51">
        <f t="shared" si="76"/>
        <v>1178.3344104</v>
      </c>
      <c r="BX10" s="33">
        <f t="shared" si="25"/>
        <v>4019.6651844999997</v>
      </c>
      <c r="BY10" s="33">
        <f t="shared" si="26"/>
        <v>4019.6651844999997</v>
      </c>
      <c r="BZ10" s="20">
        <f t="shared" si="78"/>
        <v>854.1382645</v>
      </c>
      <c r="CA10" s="51">
        <f t="shared" si="79"/>
        <v>553.6590234</v>
      </c>
      <c r="CD10" s="33">
        <f t="shared" si="27"/>
        <v>2909.1599565</v>
      </c>
      <c r="CE10" s="33">
        <f t="shared" si="28"/>
        <v>2909.1599565</v>
      </c>
      <c r="CF10" s="20">
        <f t="shared" si="81"/>
        <v>618.1671165</v>
      </c>
      <c r="CG10" s="51">
        <f t="shared" si="82"/>
        <v>400.70070180000005</v>
      </c>
      <c r="CJ10" s="33">
        <f t="shared" si="29"/>
        <v>4187.2927495</v>
      </c>
      <c r="CK10" s="33">
        <f t="shared" si="30"/>
        <v>4187.2927495</v>
      </c>
      <c r="CL10" s="20">
        <f t="shared" si="84"/>
        <v>889.7574295000001</v>
      </c>
      <c r="CM10" s="51">
        <f t="shared" si="85"/>
        <v>576.7476414</v>
      </c>
      <c r="CP10" s="33">
        <f t="shared" si="31"/>
        <v>861.2550904999999</v>
      </c>
      <c r="CQ10" s="33">
        <f t="shared" si="32"/>
        <v>861.2550904999999</v>
      </c>
      <c r="CR10" s="20">
        <f aca="true" t="shared" si="109" ref="CR10:CR36">CP$6*$F10</f>
        <v>183.00801049999998</v>
      </c>
      <c r="CS10" s="51">
        <f t="shared" si="87"/>
        <v>118.6272066</v>
      </c>
      <c r="CV10" s="33">
        <f t="shared" si="33"/>
        <v>3267.4227915</v>
      </c>
      <c r="CW10" s="33">
        <f t="shared" si="34"/>
        <v>3267.4227915</v>
      </c>
      <c r="CX10" s="20">
        <f t="shared" si="89"/>
        <v>694.2943515</v>
      </c>
      <c r="CY10" s="51">
        <f t="shared" si="90"/>
        <v>450.04696379999996</v>
      </c>
      <c r="DB10" s="33">
        <f t="shared" si="35"/>
        <v>815.0205595</v>
      </c>
      <c r="DC10" s="33">
        <f t="shared" si="36"/>
        <v>815.0205595</v>
      </c>
      <c r="DD10" s="20">
        <f t="shared" si="92"/>
        <v>173.1836395</v>
      </c>
      <c r="DE10" s="51">
        <f t="shared" si="93"/>
        <v>112.2589734</v>
      </c>
      <c r="DH10" s="33">
        <f t="shared" si="37"/>
        <v>3274.8729055000003</v>
      </c>
      <c r="DI10" s="33">
        <f t="shared" si="38"/>
        <v>3274.8729055000003</v>
      </c>
      <c r="DJ10" s="20">
        <f t="shared" si="95"/>
        <v>695.8774255000001</v>
      </c>
      <c r="DK10" s="51">
        <f t="shared" si="96"/>
        <v>451.0731246</v>
      </c>
      <c r="DN10" s="33">
        <f t="shared" si="39"/>
        <v>18328.7047265</v>
      </c>
      <c r="DO10" s="33">
        <f t="shared" si="40"/>
        <v>18328.7047265</v>
      </c>
      <c r="DP10" s="20">
        <f t="shared" si="98"/>
        <v>3894.6646865</v>
      </c>
      <c r="DQ10" s="51">
        <f t="shared" si="99"/>
        <v>2524.5517458</v>
      </c>
      <c r="DT10" s="33">
        <f t="shared" si="41"/>
        <v>53.246403</v>
      </c>
      <c r="DU10" s="33">
        <f t="shared" si="42"/>
        <v>53.246403</v>
      </c>
      <c r="DV10" s="20">
        <f t="shared" si="101"/>
        <v>11.314323</v>
      </c>
      <c r="DW10" s="51">
        <f t="shared" si="102"/>
        <v>7.3340316</v>
      </c>
      <c r="DZ10" s="33">
        <f t="shared" si="43"/>
        <v>3494.6512685</v>
      </c>
      <c r="EA10" s="33">
        <f t="shared" si="44"/>
        <v>3494.6512685</v>
      </c>
      <c r="EB10" s="20">
        <f t="shared" si="104"/>
        <v>742.5781085</v>
      </c>
      <c r="EC10" s="51">
        <f t="shared" si="105"/>
        <v>481.3448682</v>
      </c>
      <c r="EF10" s="33">
        <f t="shared" si="45"/>
        <v>3068.0226815</v>
      </c>
      <c r="EG10" s="33">
        <f t="shared" si="46"/>
        <v>3068.0226815</v>
      </c>
      <c r="EH10" s="20">
        <f t="shared" si="107"/>
        <v>651.9238415</v>
      </c>
      <c r="EI10" s="51">
        <f t="shared" si="108"/>
        <v>422.5820718</v>
      </c>
    </row>
    <row r="11" spans="1:139" ht="12">
      <c r="A11" s="19">
        <v>42461</v>
      </c>
      <c r="D11" s="35">
        <v>952700</v>
      </c>
      <c r="E11" s="35">
        <f t="shared" si="0"/>
        <v>952700</v>
      </c>
      <c r="F11" s="35">
        <v>232802</v>
      </c>
      <c r="G11" s="35">
        <v>150896</v>
      </c>
      <c r="I11" s="71">
        <f t="shared" si="47"/>
        <v>0</v>
      </c>
      <c r="J11" s="51">
        <f t="shared" si="1"/>
        <v>96526.23022000001</v>
      </c>
      <c r="K11" s="51">
        <f t="shared" si="2"/>
        <v>96526.23022000001</v>
      </c>
      <c r="L11" s="51">
        <f t="shared" si="3"/>
        <v>23587.172717200003</v>
      </c>
      <c r="M11" s="51">
        <f t="shared" si="3"/>
        <v>15288.5714656</v>
      </c>
      <c r="O11" s="33">
        <f t="shared" si="48"/>
        <v>0</v>
      </c>
      <c r="P11" s="33">
        <f t="shared" si="4"/>
        <v>9646.0875</v>
      </c>
      <c r="Q11" s="33">
        <f t="shared" si="5"/>
        <v>9646.0875</v>
      </c>
      <c r="R11" s="20">
        <f t="shared" si="49"/>
        <v>2357.12025</v>
      </c>
      <c r="S11" s="51">
        <f t="shared" si="50"/>
        <v>1527.8220000000001</v>
      </c>
      <c r="T11" s="20"/>
      <c r="U11" s="20">
        <f t="shared" si="51"/>
        <v>0</v>
      </c>
      <c r="V11" s="20">
        <f t="shared" si="6"/>
        <v>1240.9395537190085</v>
      </c>
      <c r="W11" s="20">
        <f t="shared" si="7"/>
        <v>1240.9395537190085</v>
      </c>
      <c r="X11" s="20">
        <f t="shared" si="52"/>
        <v>303.2362863282173</v>
      </c>
      <c r="Y11" s="51">
        <f t="shared" si="53"/>
        <v>196.5496115230225</v>
      </c>
      <c r="AA11" s="33">
        <f t="shared" si="54"/>
        <v>0</v>
      </c>
      <c r="AB11" s="51">
        <f t="shared" si="8"/>
        <v>22640.343880000004</v>
      </c>
      <c r="AC11" s="51">
        <f t="shared" si="9"/>
        <v>22640.343880000004</v>
      </c>
      <c r="AD11" s="20">
        <f t="shared" si="55"/>
        <v>5532.399848800001</v>
      </c>
      <c r="AE11" s="51">
        <f t="shared" si="56"/>
        <v>3585.9529024000003</v>
      </c>
      <c r="AG11" s="33">
        <f t="shared" si="57"/>
        <v>0</v>
      </c>
      <c r="AH11" s="33">
        <f t="shared" si="10"/>
        <v>655.0765200000001</v>
      </c>
      <c r="AI11" s="33">
        <f t="shared" si="11"/>
        <v>655.0765200000001</v>
      </c>
      <c r="AJ11" s="20">
        <f t="shared" si="58"/>
        <v>160.0746552</v>
      </c>
      <c r="AK11" s="51">
        <f t="shared" si="59"/>
        <v>103.7560896</v>
      </c>
      <c r="AM11" s="33">
        <f t="shared" si="60"/>
        <v>0</v>
      </c>
      <c r="AN11" s="33">
        <f t="shared" si="12"/>
        <v>477.87432</v>
      </c>
      <c r="AO11" s="33">
        <f t="shared" si="13"/>
        <v>477.87432</v>
      </c>
      <c r="AP11" s="20">
        <f t="shared" si="61"/>
        <v>116.77348320000002</v>
      </c>
      <c r="AQ11" s="51">
        <f t="shared" si="62"/>
        <v>75.6894336</v>
      </c>
      <c r="AS11" s="33">
        <f t="shared" si="63"/>
        <v>0</v>
      </c>
      <c r="AT11" s="33">
        <f t="shared" si="14"/>
        <v>6668.9</v>
      </c>
      <c r="AU11" s="33">
        <f t="shared" si="15"/>
        <v>6668.9</v>
      </c>
      <c r="AV11" s="20">
        <f t="shared" si="64"/>
        <v>1629.614</v>
      </c>
      <c r="AW11" s="51">
        <f t="shared" si="65"/>
        <v>1056.272</v>
      </c>
      <c r="AY11" s="33">
        <f t="shared" si="66"/>
        <v>0</v>
      </c>
      <c r="AZ11" s="33">
        <f t="shared" si="16"/>
        <v>4932.794789999999</v>
      </c>
      <c r="BA11" s="33">
        <f t="shared" si="17"/>
        <v>4932.794789999999</v>
      </c>
      <c r="BB11" s="20">
        <f t="shared" si="67"/>
        <v>1205.3789154</v>
      </c>
      <c r="BC11" s="51">
        <f t="shared" si="68"/>
        <v>781.2942192</v>
      </c>
      <c r="BD11" s="20"/>
      <c r="BE11" s="20">
        <f t="shared" si="18"/>
        <v>0</v>
      </c>
      <c r="BF11" s="20">
        <f t="shared" si="19"/>
        <v>1712.3351762809914</v>
      </c>
      <c r="BG11" s="20">
        <f t="shared" si="20"/>
        <v>1712.3351762809914</v>
      </c>
      <c r="BH11" s="20">
        <f t="shared" si="69"/>
        <v>418.4266334717827</v>
      </c>
      <c r="BI11" s="51">
        <f t="shared" si="70"/>
        <v>271.21289887697753</v>
      </c>
      <c r="BK11" s="51">
        <f t="shared" si="71"/>
        <v>0</v>
      </c>
      <c r="BL11" s="51">
        <f t="shared" si="21"/>
        <v>2609.0642199999998</v>
      </c>
      <c r="BM11" s="33">
        <f t="shared" si="22"/>
        <v>2609.0642199999998</v>
      </c>
      <c r="BN11" s="20">
        <f t="shared" si="72"/>
        <v>637.5515571999999</v>
      </c>
      <c r="BO11" s="51">
        <f t="shared" si="73"/>
        <v>413.24378559999997</v>
      </c>
      <c r="BQ11" s="51">
        <f t="shared" si="74"/>
        <v>0</v>
      </c>
      <c r="BR11" s="51">
        <f t="shared" si="23"/>
        <v>7439.062679999999</v>
      </c>
      <c r="BS11" s="33">
        <f t="shared" si="24"/>
        <v>7439.062679999999</v>
      </c>
      <c r="BT11" s="20">
        <f t="shared" si="75"/>
        <v>1817.8111368</v>
      </c>
      <c r="BU11" s="51">
        <f t="shared" si="76"/>
        <v>1178.2563264</v>
      </c>
      <c r="BW11" s="33">
        <f t="shared" si="77"/>
        <v>0</v>
      </c>
      <c r="BX11" s="33">
        <f t="shared" si="25"/>
        <v>3495.36103</v>
      </c>
      <c r="BY11" s="33">
        <f t="shared" si="26"/>
        <v>3495.36103</v>
      </c>
      <c r="BZ11" s="20">
        <f t="shared" si="78"/>
        <v>854.1272578</v>
      </c>
      <c r="CA11" s="51">
        <f t="shared" si="79"/>
        <v>553.6223344</v>
      </c>
      <c r="CC11" s="33">
        <f t="shared" si="80"/>
        <v>0</v>
      </c>
      <c r="CD11" s="33">
        <f t="shared" si="27"/>
        <v>2529.7043099999996</v>
      </c>
      <c r="CE11" s="33">
        <f t="shared" si="28"/>
        <v>2529.7043099999996</v>
      </c>
      <c r="CF11" s="20">
        <f t="shared" si="81"/>
        <v>618.1591506000001</v>
      </c>
      <c r="CG11" s="51">
        <f t="shared" si="82"/>
        <v>400.6741488</v>
      </c>
      <c r="CI11" s="33">
        <f t="shared" si="83"/>
        <v>0</v>
      </c>
      <c r="CJ11" s="33">
        <f t="shared" si="29"/>
        <v>3641.12413</v>
      </c>
      <c r="CK11" s="33">
        <f t="shared" si="30"/>
        <v>3641.12413</v>
      </c>
      <c r="CL11" s="20">
        <f t="shared" si="84"/>
        <v>889.7459638</v>
      </c>
      <c r="CM11" s="51">
        <f t="shared" si="85"/>
        <v>576.7094224</v>
      </c>
      <c r="CO11" s="33">
        <f t="shared" si="86"/>
        <v>0</v>
      </c>
      <c r="CP11" s="33">
        <f t="shared" si="31"/>
        <v>748.91747</v>
      </c>
      <c r="CQ11" s="33">
        <f t="shared" si="32"/>
        <v>748.91747</v>
      </c>
      <c r="CR11" s="20">
        <f t="shared" si="109"/>
        <v>183.0056522</v>
      </c>
      <c r="CS11" s="51">
        <f t="shared" si="87"/>
        <v>118.6193456</v>
      </c>
      <c r="CU11" s="33">
        <f t="shared" si="88"/>
        <v>0</v>
      </c>
      <c r="CV11" s="33">
        <f t="shared" si="33"/>
        <v>2841.2372100000002</v>
      </c>
      <c r="CW11" s="33">
        <f t="shared" si="34"/>
        <v>2841.2372100000002</v>
      </c>
      <c r="CX11" s="20">
        <f t="shared" si="89"/>
        <v>694.2854046</v>
      </c>
      <c r="CY11" s="51">
        <f t="shared" si="90"/>
        <v>450.0171408</v>
      </c>
      <c r="DA11" s="33">
        <f t="shared" si="91"/>
        <v>0</v>
      </c>
      <c r="DB11" s="33">
        <f t="shared" si="35"/>
        <v>708.71353</v>
      </c>
      <c r="DC11" s="33">
        <f t="shared" si="36"/>
        <v>708.71353</v>
      </c>
      <c r="DD11" s="20">
        <f t="shared" si="92"/>
        <v>173.18140780000002</v>
      </c>
      <c r="DE11" s="51">
        <f t="shared" si="93"/>
        <v>112.25153440000001</v>
      </c>
      <c r="DG11" s="33">
        <f t="shared" si="94"/>
        <v>0</v>
      </c>
      <c r="DH11" s="33">
        <f t="shared" si="37"/>
        <v>2847.7155700000003</v>
      </c>
      <c r="DI11" s="33">
        <f t="shared" si="38"/>
        <v>2847.7155700000003</v>
      </c>
      <c r="DJ11" s="20">
        <f t="shared" si="95"/>
        <v>695.8684582000001</v>
      </c>
      <c r="DK11" s="51">
        <f t="shared" si="96"/>
        <v>451.0432336</v>
      </c>
      <c r="DM11" s="33">
        <f t="shared" si="97"/>
        <v>0</v>
      </c>
      <c r="DN11" s="33">
        <f t="shared" si="39"/>
        <v>15938.004110000002</v>
      </c>
      <c r="DO11" s="33">
        <f t="shared" si="40"/>
        <v>15938.004110000002</v>
      </c>
      <c r="DP11" s="20">
        <f t="shared" si="98"/>
        <v>3894.6144986</v>
      </c>
      <c r="DQ11" s="51">
        <f t="shared" si="99"/>
        <v>2524.3844528</v>
      </c>
      <c r="DS11" s="33">
        <f t="shared" si="100"/>
        <v>0</v>
      </c>
      <c r="DT11" s="33">
        <f t="shared" si="41"/>
        <v>46.301219999999994</v>
      </c>
      <c r="DU11" s="33">
        <f t="shared" si="42"/>
        <v>46.301219999999994</v>
      </c>
      <c r="DV11" s="20">
        <f t="shared" si="101"/>
        <v>11.314177200000001</v>
      </c>
      <c r="DW11" s="51">
        <f t="shared" si="102"/>
        <v>7.333545600000001</v>
      </c>
      <c r="DY11" s="33">
        <f t="shared" si="103"/>
        <v>0</v>
      </c>
      <c r="DZ11" s="33">
        <f t="shared" si="43"/>
        <v>3038.82719</v>
      </c>
      <c r="EA11" s="33">
        <f t="shared" si="44"/>
        <v>3038.82719</v>
      </c>
      <c r="EB11" s="20">
        <f t="shared" si="104"/>
        <v>742.5685394000001</v>
      </c>
      <c r="EC11" s="51">
        <f t="shared" si="105"/>
        <v>481.31297120000005</v>
      </c>
      <c r="EE11" s="33">
        <f t="shared" si="106"/>
        <v>0</v>
      </c>
      <c r="EF11" s="33">
        <f t="shared" si="45"/>
        <v>2667.8458100000003</v>
      </c>
      <c r="EG11" s="33">
        <f t="shared" si="46"/>
        <v>2667.8458100000003</v>
      </c>
      <c r="EH11" s="20">
        <f t="shared" si="107"/>
        <v>651.9154406</v>
      </c>
      <c r="EI11" s="51">
        <f t="shared" si="108"/>
        <v>422.5540688</v>
      </c>
    </row>
    <row r="12" spans="1:139" ht="12">
      <c r="A12" s="19">
        <v>42644</v>
      </c>
      <c r="D12" s="35">
        <v>952700</v>
      </c>
      <c r="E12" s="35">
        <f t="shared" si="0"/>
        <v>952700</v>
      </c>
      <c r="F12" s="35">
        <v>232802</v>
      </c>
      <c r="G12" s="35">
        <v>150896</v>
      </c>
      <c r="I12" s="71"/>
      <c r="J12" s="51">
        <f t="shared" si="1"/>
        <v>96526.23022000001</v>
      </c>
      <c r="K12" s="51">
        <f t="shared" si="2"/>
        <v>96526.23022000001</v>
      </c>
      <c r="L12" s="51">
        <f t="shared" si="3"/>
        <v>23587.172717200003</v>
      </c>
      <c r="M12" s="51">
        <f t="shared" si="3"/>
        <v>15288.5714656</v>
      </c>
      <c r="P12" s="33">
        <f t="shared" si="4"/>
        <v>9646.0875</v>
      </c>
      <c r="Q12" s="33">
        <f t="shared" si="5"/>
        <v>9646.0875</v>
      </c>
      <c r="R12" s="20">
        <f t="shared" si="49"/>
        <v>2357.12025</v>
      </c>
      <c r="S12" s="51">
        <f t="shared" si="50"/>
        <v>1527.8220000000001</v>
      </c>
      <c r="T12" s="20"/>
      <c r="U12" s="20">
        <f t="shared" si="51"/>
        <v>0</v>
      </c>
      <c r="V12" s="20">
        <f t="shared" si="6"/>
        <v>1240.9395537190085</v>
      </c>
      <c r="W12" s="20">
        <f t="shared" si="7"/>
        <v>1240.9395537190085</v>
      </c>
      <c r="X12" s="20">
        <f t="shared" si="52"/>
        <v>303.2362863282173</v>
      </c>
      <c r="Y12" s="51">
        <f t="shared" si="53"/>
        <v>196.5496115230225</v>
      </c>
      <c r="AB12" s="51">
        <f t="shared" si="8"/>
        <v>22640.343880000004</v>
      </c>
      <c r="AC12" s="51">
        <f t="shared" si="9"/>
        <v>22640.343880000004</v>
      </c>
      <c r="AD12" s="20">
        <f t="shared" si="55"/>
        <v>5532.399848800001</v>
      </c>
      <c r="AE12" s="51">
        <f t="shared" si="56"/>
        <v>3585.9529024000003</v>
      </c>
      <c r="AH12" s="33">
        <f t="shared" si="10"/>
        <v>655.0765200000001</v>
      </c>
      <c r="AI12" s="33">
        <f t="shared" si="11"/>
        <v>655.0765200000001</v>
      </c>
      <c r="AJ12" s="20">
        <f t="shared" si="58"/>
        <v>160.0746552</v>
      </c>
      <c r="AK12" s="51">
        <f t="shared" si="59"/>
        <v>103.7560896</v>
      </c>
      <c r="AN12" s="33">
        <f t="shared" si="12"/>
        <v>477.87432</v>
      </c>
      <c r="AO12" s="33">
        <f t="shared" si="13"/>
        <v>477.87432</v>
      </c>
      <c r="AP12" s="20">
        <f t="shared" si="61"/>
        <v>116.77348320000002</v>
      </c>
      <c r="AQ12" s="51">
        <f t="shared" si="62"/>
        <v>75.6894336</v>
      </c>
      <c r="AT12" s="33">
        <f t="shared" si="14"/>
        <v>6668.9</v>
      </c>
      <c r="AU12" s="33">
        <f t="shared" si="15"/>
        <v>6668.9</v>
      </c>
      <c r="AV12" s="20">
        <f t="shared" si="64"/>
        <v>1629.614</v>
      </c>
      <c r="AW12" s="51">
        <f t="shared" si="65"/>
        <v>1056.272</v>
      </c>
      <c r="AZ12" s="33">
        <f t="shared" si="16"/>
        <v>4932.794789999999</v>
      </c>
      <c r="BA12" s="33">
        <f t="shared" si="17"/>
        <v>4932.794789999999</v>
      </c>
      <c r="BB12" s="20">
        <f t="shared" si="67"/>
        <v>1205.3789154</v>
      </c>
      <c r="BC12" s="51">
        <f t="shared" si="68"/>
        <v>781.2942192</v>
      </c>
      <c r="BD12" s="20"/>
      <c r="BE12" s="20">
        <f t="shared" si="18"/>
        <v>0</v>
      </c>
      <c r="BF12" s="20">
        <f t="shared" si="19"/>
        <v>1712.3351762809914</v>
      </c>
      <c r="BG12" s="20">
        <f t="shared" si="20"/>
        <v>1712.3351762809914</v>
      </c>
      <c r="BH12" s="20">
        <f t="shared" si="69"/>
        <v>418.4266334717827</v>
      </c>
      <c r="BI12" s="51">
        <f t="shared" si="70"/>
        <v>271.21289887697753</v>
      </c>
      <c r="BK12" s="51"/>
      <c r="BL12" s="51">
        <f t="shared" si="21"/>
        <v>2609.0642199999998</v>
      </c>
      <c r="BM12" s="33">
        <f t="shared" si="22"/>
        <v>2609.0642199999998</v>
      </c>
      <c r="BN12" s="20">
        <f t="shared" si="72"/>
        <v>637.5515571999999</v>
      </c>
      <c r="BO12" s="51">
        <f t="shared" si="73"/>
        <v>413.24378559999997</v>
      </c>
      <c r="BQ12" s="51"/>
      <c r="BR12" s="51">
        <f t="shared" si="23"/>
        <v>7439.062679999999</v>
      </c>
      <c r="BS12" s="33">
        <f t="shared" si="24"/>
        <v>7439.062679999999</v>
      </c>
      <c r="BT12" s="20">
        <f t="shared" si="75"/>
        <v>1817.8111368</v>
      </c>
      <c r="BU12" s="51">
        <f t="shared" si="76"/>
        <v>1178.2563264</v>
      </c>
      <c r="BX12" s="33">
        <f t="shared" si="25"/>
        <v>3495.36103</v>
      </c>
      <c r="BY12" s="33">
        <f t="shared" si="26"/>
        <v>3495.36103</v>
      </c>
      <c r="BZ12" s="20">
        <f t="shared" si="78"/>
        <v>854.1272578</v>
      </c>
      <c r="CA12" s="51">
        <f t="shared" si="79"/>
        <v>553.6223344</v>
      </c>
      <c r="CD12" s="33">
        <f t="shared" si="27"/>
        <v>2529.7043099999996</v>
      </c>
      <c r="CE12" s="33">
        <f t="shared" si="28"/>
        <v>2529.7043099999996</v>
      </c>
      <c r="CF12" s="20">
        <f t="shared" si="81"/>
        <v>618.1591506000001</v>
      </c>
      <c r="CG12" s="51">
        <f t="shared" si="82"/>
        <v>400.6741488</v>
      </c>
      <c r="CJ12" s="33">
        <f t="shared" si="29"/>
        <v>3641.12413</v>
      </c>
      <c r="CK12" s="33">
        <f t="shared" si="30"/>
        <v>3641.12413</v>
      </c>
      <c r="CL12" s="20">
        <f t="shared" si="84"/>
        <v>889.7459638</v>
      </c>
      <c r="CM12" s="51">
        <f t="shared" si="85"/>
        <v>576.7094224</v>
      </c>
      <c r="CP12" s="33">
        <f t="shared" si="31"/>
        <v>748.91747</v>
      </c>
      <c r="CQ12" s="33">
        <f t="shared" si="32"/>
        <v>748.91747</v>
      </c>
      <c r="CR12" s="20">
        <f t="shared" si="109"/>
        <v>183.0056522</v>
      </c>
      <c r="CS12" s="51">
        <f t="shared" si="87"/>
        <v>118.6193456</v>
      </c>
      <c r="CV12" s="33">
        <f t="shared" si="33"/>
        <v>2841.2372100000002</v>
      </c>
      <c r="CW12" s="33">
        <f t="shared" si="34"/>
        <v>2841.2372100000002</v>
      </c>
      <c r="CX12" s="20">
        <f t="shared" si="89"/>
        <v>694.2854046</v>
      </c>
      <c r="CY12" s="51">
        <f t="shared" si="90"/>
        <v>450.0171408</v>
      </c>
      <c r="DB12" s="33">
        <f t="shared" si="35"/>
        <v>708.71353</v>
      </c>
      <c r="DC12" s="33">
        <f t="shared" si="36"/>
        <v>708.71353</v>
      </c>
      <c r="DD12" s="20">
        <f t="shared" si="92"/>
        <v>173.18140780000002</v>
      </c>
      <c r="DE12" s="51">
        <f t="shared" si="93"/>
        <v>112.25153440000001</v>
      </c>
      <c r="DH12" s="33">
        <f t="shared" si="37"/>
        <v>2847.7155700000003</v>
      </c>
      <c r="DI12" s="33">
        <f t="shared" si="38"/>
        <v>2847.7155700000003</v>
      </c>
      <c r="DJ12" s="20">
        <f t="shared" si="95"/>
        <v>695.8684582000001</v>
      </c>
      <c r="DK12" s="51">
        <f t="shared" si="96"/>
        <v>451.0432336</v>
      </c>
      <c r="DN12" s="33">
        <f t="shared" si="39"/>
        <v>15938.004110000002</v>
      </c>
      <c r="DO12" s="33">
        <f t="shared" si="40"/>
        <v>15938.004110000002</v>
      </c>
      <c r="DP12" s="20">
        <f t="shared" si="98"/>
        <v>3894.6144986</v>
      </c>
      <c r="DQ12" s="51">
        <f t="shared" si="99"/>
        <v>2524.3844528</v>
      </c>
      <c r="DT12" s="33">
        <f t="shared" si="41"/>
        <v>46.301219999999994</v>
      </c>
      <c r="DU12" s="33">
        <f t="shared" si="42"/>
        <v>46.301219999999994</v>
      </c>
      <c r="DV12" s="20">
        <f t="shared" si="101"/>
        <v>11.314177200000001</v>
      </c>
      <c r="DW12" s="51">
        <f t="shared" si="102"/>
        <v>7.333545600000001</v>
      </c>
      <c r="DZ12" s="33">
        <f t="shared" si="43"/>
        <v>3038.82719</v>
      </c>
      <c r="EA12" s="33">
        <f t="shared" si="44"/>
        <v>3038.82719</v>
      </c>
      <c r="EB12" s="20">
        <f t="shared" si="104"/>
        <v>742.5685394000001</v>
      </c>
      <c r="EC12" s="51">
        <f t="shared" si="105"/>
        <v>481.31297120000005</v>
      </c>
      <c r="EF12" s="33">
        <f t="shared" si="45"/>
        <v>2667.8458100000003</v>
      </c>
      <c r="EG12" s="33">
        <f t="shared" si="46"/>
        <v>2667.8458100000003</v>
      </c>
      <c r="EH12" s="20">
        <f t="shared" si="107"/>
        <v>651.9154406</v>
      </c>
      <c r="EI12" s="51">
        <f t="shared" si="108"/>
        <v>422.5540688</v>
      </c>
    </row>
    <row r="13" spans="1:139" ht="12">
      <c r="A13" s="19">
        <v>42826</v>
      </c>
      <c r="D13" s="35">
        <v>952700</v>
      </c>
      <c r="E13" s="35">
        <f t="shared" si="0"/>
        <v>952700</v>
      </c>
      <c r="F13" s="35">
        <v>232802</v>
      </c>
      <c r="G13" s="35">
        <v>150896</v>
      </c>
      <c r="I13" s="71">
        <f t="shared" si="47"/>
        <v>0</v>
      </c>
      <c r="J13" s="51">
        <f t="shared" si="1"/>
        <v>96526.23022000001</v>
      </c>
      <c r="K13" s="51">
        <f t="shared" si="2"/>
        <v>96526.23022000001</v>
      </c>
      <c r="L13" s="51">
        <f t="shared" si="3"/>
        <v>23587.172717200003</v>
      </c>
      <c r="M13" s="51">
        <f t="shared" si="3"/>
        <v>15288.5714656</v>
      </c>
      <c r="O13" s="33">
        <f t="shared" si="48"/>
        <v>0</v>
      </c>
      <c r="P13" s="33">
        <f t="shared" si="4"/>
        <v>9646.0875</v>
      </c>
      <c r="Q13" s="33">
        <f t="shared" si="5"/>
        <v>9646.0875</v>
      </c>
      <c r="R13" s="20">
        <f t="shared" si="49"/>
        <v>2357.12025</v>
      </c>
      <c r="S13" s="51">
        <f t="shared" si="50"/>
        <v>1527.8220000000001</v>
      </c>
      <c r="T13" s="20"/>
      <c r="U13" s="20">
        <f t="shared" si="51"/>
        <v>0</v>
      </c>
      <c r="V13" s="20">
        <f t="shared" si="6"/>
        <v>1240.9395537190085</v>
      </c>
      <c r="W13" s="20">
        <f t="shared" si="7"/>
        <v>1240.9395537190085</v>
      </c>
      <c r="X13" s="20">
        <f t="shared" si="52"/>
        <v>303.2362863282173</v>
      </c>
      <c r="Y13" s="51">
        <f t="shared" si="53"/>
        <v>196.5496115230225</v>
      </c>
      <c r="AA13" s="33">
        <f t="shared" si="54"/>
        <v>0</v>
      </c>
      <c r="AB13" s="51">
        <f t="shared" si="8"/>
        <v>22640.343880000004</v>
      </c>
      <c r="AC13" s="51">
        <f t="shared" si="9"/>
        <v>22640.343880000004</v>
      </c>
      <c r="AD13" s="20">
        <f t="shared" si="55"/>
        <v>5532.399848800001</v>
      </c>
      <c r="AE13" s="51">
        <f t="shared" si="56"/>
        <v>3585.9529024000003</v>
      </c>
      <c r="AG13" s="33">
        <f t="shared" si="57"/>
        <v>0</v>
      </c>
      <c r="AH13" s="33">
        <f t="shared" si="10"/>
        <v>655.0765200000001</v>
      </c>
      <c r="AI13" s="33">
        <f t="shared" si="11"/>
        <v>655.0765200000001</v>
      </c>
      <c r="AJ13" s="20">
        <f t="shared" si="58"/>
        <v>160.0746552</v>
      </c>
      <c r="AK13" s="51">
        <f t="shared" si="59"/>
        <v>103.7560896</v>
      </c>
      <c r="AM13" s="33">
        <f t="shared" si="60"/>
        <v>0</v>
      </c>
      <c r="AN13" s="33">
        <f t="shared" si="12"/>
        <v>477.87432</v>
      </c>
      <c r="AO13" s="33">
        <f t="shared" si="13"/>
        <v>477.87432</v>
      </c>
      <c r="AP13" s="20">
        <f t="shared" si="61"/>
        <v>116.77348320000002</v>
      </c>
      <c r="AQ13" s="51">
        <f t="shared" si="62"/>
        <v>75.6894336</v>
      </c>
      <c r="AS13" s="33">
        <f t="shared" si="63"/>
        <v>0</v>
      </c>
      <c r="AT13" s="33">
        <f t="shared" si="14"/>
        <v>6668.9</v>
      </c>
      <c r="AU13" s="33">
        <f t="shared" si="15"/>
        <v>6668.9</v>
      </c>
      <c r="AV13" s="20">
        <f t="shared" si="64"/>
        <v>1629.614</v>
      </c>
      <c r="AW13" s="51">
        <f t="shared" si="65"/>
        <v>1056.272</v>
      </c>
      <c r="AY13" s="33">
        <f t="shared" si="66"/>
        <v>0</v>
      </c>
      <c r="AZ13" s="33">
        <f t="shared" si="16"/>
        <v>4932.794789999999</v>
      </c>
      <c r="BA13" s="33">
        <f t="shared" si="17"/>
        <v>4932.794789999999</v>
      </c>
      <c r="BB13" s="20">
        <f t="shared" si="67"/>
        <v>1205.3789154</v>
      </c>
      <c r="BC13" s="51">
        <f t="shared" si="68"/>
        <v>781.2942192</v>
      </c>
      <c r="BD13" s="20"/>
      <c r="BE13" s="20">
        <f t="shared" si="18"/>
        <v>0</v>
      </c>
      <c r="BF13" s="20">
        <f t="shared" si="19"/>
        <v>1712.3351762809914</v>
      </c>
      <c r="BG13" s="20">
        <f t="shared" si="20"/>
        <v>1712.3351762809914</v>
      </c>
      <c r="BH13" s="20">
        <f t="shared" si="69"/>
        <v>418.4266334717827</v>
      </c>
      <c r="BI13" s="51">
        <f t="shared" si="70"/>
        <v>271.21289887697753</v>
      </c>
      <c r="BK13" s="51">
        <f t="shared" si="71"/>
        <v>0</v>
      </c>
      <c r="BL13" s="51">
        <f t="shared" si="21"/>
        <v>2609.0642199999998</v>
      </c>
      <c r="BM13" s="33">
        <f t="shared" si="22"/>
        <v>2609.0642199999998</v>
      </c>
      <c r="BN13" s="20">
        <f t="shared" si="72"/>
        <v>637.5515571999999</v>
      </c>
      <c r="BO13" s="51">
        <f t="shared" si="73"/>
        <v>413.24378559999997</v>
      </c>
      <c r="BQ13" s="51">
        <f t="shared" si="74"/>
        <v>0</v>
      </c>
      <c r="BR13" s="51">
        <f t="shared" si="23"/>
        <v>7439.062679999999</v>
      </c>
      <c r="BS13" s="33">
        <f t="shared" si="24"/>
        <v>7439.062679999999</v>
      </c>
      <c r="BT13" s="20">
        <f t="shared" si="75"/>
        <v>1817.8111368</v>
      </c>
      <c r="BU13" s="51">
        <f t="shared" si="76"/>
        <v>1178.2563264</v>
      </c>
      <c r="BW13" s="33">
        <f t="shared" si="77"/>
        <v>0</v>
      </c>
      <c r="BX13" s="33">
        <f t="shared" si="25"/>
        <v>3495.36103</v>
      </c>
      <c r="BY13" s="33">
        <f t="shared" si="26"/>
        <v>3495.36103</v>
      </c>
      <c r="BZ13" s="20">
        <f t="shared" si="78"/>
        <v>854.1272578</v>
      </c>
      <c r="CA13" s="51">
        <f t="shared" si="79"/>
        <v>553.6223344</v>
      </c>
      <c r="CC13" s="33">
        <f t="shared" si="80"/>
        <v>0</v>
      </c>
      <c r="CD13" s="33">
        <f t="shared" si="27"/>
        <v>2529.7043099999996</v>
      </c>
      <c r="CE13" s="33">
        <f t="shared" si="28"/>
        <v>2529.7043099999996</v>
      </c>
      <c r="CF13" s="20">
        <f t="shared" si="81"/>
        <v>618.1591506000001</v>
      </c>
      <c r="CG13" s="51">
        <f t="shared" si="82"/>
        <v>400.6741488</v>
      </c>
      <c r="CI13" s="33">
        <f t="shared" si="83"/>
        <v>0</v>
      </c>
      <c r="CJ13" s="33">
        <f t="shared" si="29"/>
        <v>3641.12413</v>
      </c>
      <c r="CK13" s="33">
        <f t="shared" si="30"/>
        <v>3641.12413</v>
      </c>
      <c r="CL13" s="20">
        <f t="shared" si="84"/>
        <v>889.7459638</v>
      </c>
      <c r="CM13" s="51">
        <f t="shared" si="85"/>
        <v>576.7094224</v>
      </c>
      <c r="CO13" s="33">
        <f t="shared" si="86"/>
        <v>0</v>
      </c>
      <c r="CP13" s="33">
        <f t="shared" si="31"/>
        <v>748.91747</v>
      </c>
      <c r="CQ13" s="33">
        <f t="shared" si="32"/>
        <v>748.91747</v>
      </c>
      <c r="CR13" s="20">
        <f t="shared" si="109"/>
        <v>183.0056522</v>
      </c>
      <c r="CS13" s="51">
        <f t="shared" si="87"/>
        <v>118.6193456</v>
      </c>
      <c r="CU13" s="33">
        <f t="shared" si="88"/>
        <v>0</v>
      </c>
      <c r="CV13" s="33">
        <f t="shared" si="33"/>
        <v>2841.2372100000002</v>
      </c>
      <c r="CW13" s="33">
        <f t="shared" si="34"/>
        <v>2841.2372100000002</v>
      </c>
      <c r="CX13" s="20">
        <f t="shared" si="89"/>
        <v>694.2854046</v>
      </c>
      <c r="CY13" s="51">
        <f t="shared" si="90"/>
        <v>450.0171408</v>
      </c>
      <c r="DA13" s="33">
        <f t="shared" si="91"/>
        <v>0</v>
      </c>
      <c r="DB13" s="33">
        <f t="shared" si="35"/>
        <v>708.71353</v>
      </c>
      <c r="DC13" s="33">
        <f t="shared" si="36"/>
        <v>708.71353</v>
      </c>
      <c r="DD13" s="20">
        <f t="shared" si="92"/>
        <v>173.18140780000002</v>
      </c>
      <c r="DE13" s="51">
        <f t="shared" si="93"/>
        <v>112.25153440000001</v>
      </c>
      <c r="DG13" s="33">
        <f t="shared" si="94"/>
        <v>0</v>
      </c>
      <c r="DH13" s="33">
        <f t="shared" si="37"/>
        <v>2847.7155700000003</v>
      </c>
      <c r="DI13" s="33">
        <f t="shared" si="38"/>
        <v>2847.7155700000003</v>
      </c>
      <c r="DJ13" s="20">
        <f t="shared" si="95"/>
        <v>695.8684582000001</v>
      </c>
      <c r="DK13" s="51">
        <f t="shared" si="96"/>
        <v>451.0432336</v>
      </c>
      <c r="DM13" s="33">
        <f t="shared" si="97"/>
        <v>0</v>
      </c>
      <c r="DN13" s="33">
        <f t="shared" si="39"/>
        <v>15938.004110000002</v>
      </c>
      <c r="DO13" s="33">
        <f t="shared" si="40"/>
        <v>15938.004110000002</v>
      </c>
      <c r="DP13" s="20">
        <f t="shared" si="98"/>
        <v>3894.6144986</v>
      </c>
      <c r="DQ13" s="51">
        <f t="shared" si="99"/>
        <v>2524.3844528</v>
      </c>
      <c r="DS13" s="33">
        <f t="shared" si="100"/>
        <v>0</v>
      </c>
      <c r="DT13" s="33">
        <f t="shared" si="41"/>
        <v>46.301219999999994</v>
      </c>
      <c r="DU13" s="33">
        <f t="shared" si="42"/>
        <v>46.301219999999994</v>
      </c>
      <c r="DV13" s="20">
        <f t="shared" si="101"/>
        <v>11.314177200000001</v>
      </c>
      <c r="DW13" s="51">
        <f t="shared" si="102"/>
        <v>7.333545600000001</v>
      </c>
      <c r="DY13" s="33">
        <f t="shared" si="103"/>
        <v>0</v>
      </c>
      <c r="DZ13" s="33">
        <f t="shared" si="43"/>
        <v>3038.82719</v>
      </c>
      <c r="EA13" s="33">
        <f t="shared" si="44"/>
        <v>3038.82719</v>
      </c>
      <c r="EB13" s="20">
        <f t="shared" si="104"/>
        <v>742.5685394000001</v>
      </c>
      <c r="EC13" s="51">
        <f t="shared" si="105"/>
        <v>481.31297120000005</v>
      </c>
      <c r="EE13" s="33">
        <f t="shared" si="106"/>
        <v>0</v>
      </c>
      <c r="EF13" s="33">
        <f t="shared" si="45"/>
        <v>2667.8458100000003</v>
      </c>
      <c r="EG13" s="33">
        <f t="shared" si="46"/>
        <v>2667.8458100000003</v>
      </c>
      <c r="EH13" s="20">
        <f t="shared" si="107"/>
        <v>651.9154406</v>
      </c>
      <c r="EI13" s="51">
        <f t="shared" si="108"/>
        <v>422.5540688</v>
      </c>
    </row>
    <row r="14" spans="1:139" ht="12">
      <c r="A14" s="19">
        <v>43009</v>
      </c>
      <c r="B14" s="27"/>
      <c r="D14" s="35">
        <v>952700</v>
      </c>
      <c r="E14" s="35">
        <f t="shared" si="0"/>
        <v>952700</v>
      </c>
      <c r="F14" s="35">
        <v>232802</v>
      </c>
      <c r="G14" s="35">
        <v>150896</v>
      </c>
      <c r="I14" s="71"/>
      <c r="J14" s="51">
        <f t="shared" si="1"/>
        <v>96526.23022000001</v>
      </c>
      <c r="K14" s="51">
        <f t="shared" si="2"/>
        <v>96526.23022000001</v>
      </c>
      <c r="L14" s="51">
        <f t="shared" si="3"/>
        <v>23587.172717200003</v>
      </c>
      <c r="M14" s="51">
        <f t="shared" si="3"/>
        <v>15288.5714656</v>
      </c>
      <c r="P14" s="33">
        <f t="shared" si="4"/>
        <v>9646.0875</v>
      </c>
      <c r="Q14" s="33">
        <f t="shared" si="5"/>
        <v>9646.0875</v>
      </c>
      <c r="R14" s="20">
        <f t="shared" si="49"/>
        <v>2357.12025</v>
      </c>
      <c r="S14" s="51">
        <f t="shared" si="50"/>
        <v>1527.8220000000001</v>
      </c>
      <c r="T14" s="20"/>
      <c r="U14" s="20">
        <f t="shared" si="51"/>
        <v>0</v>
      </c>
      <c r="V14" s="20">
        <f t="shared" si="6"/>
        <v>1240.9395537190085</v>
      </c>
      <c r="W14" s="20">
        <f t="shared" si="7"/>
        <v>1240.9395537190085</v>
      </c>
      <c r="X14" s="20">
        <f t="shared" si="52"/>
        <v>303.2362863282173</v>
      </c>
      <c r="Y14" s="51">
        <f t="shared" si="53"/>
        <v>196.5496115230225</v>
      </c>
      <c r="AB14" s="51">
        <f t="shared" si="8"/>
        <v>22640.343880000004</v>
      </c>
      <c r="AC14" s="51">
        <f t="shared" si="9"/>
        <v>22640.343880000004</v>
      </c>
      <c r="AD14" s="20">
        <f t="shared" si="55"/>
        <v>5532.399848800001</v>
      </c>
      <c r="AE14" s="51">
        <f t="shared" si="56"/>
        <v>3585.9529024000003</v>
      </c>
      <c r="AH14" s="33">
        <f t="shared" si="10"/>
        <v>655.0765200000001</v>
      </c>
      <c r="AI14" s="33">
        <f t="shared" si="11"/>
        <v>655.0765200000001</v>
      </c>
      <c r="AJ14" s="20">
        <f t="shared" si="58"/>
        <v>160.0746552</v>
      </c>
      <c r="AK14" s="51">
        <f t="shared" si="59"/>
        <v>103.7560896</v>
      </c>
      <c r="AN14" s="33">
        <f t="shared" si="12"/>
        <v>477.87432</v>
      </c>
      <c r="AO14" s="33">
        <f t="shared" si="13"/>
        <v>477.87432</v>
      </c>
      <c r="AP14" s="20">
        <f t="shared" si="61"/>
        <v>116.77348320000002</v>
      </c>
      <c r="AQ14" s="51">
        <f t="shared" si="62"/>
        <v>75.6894336</v>
      </c>
      <c r="AT14" s="33">
        <f t="shared" si="14"/>
        <v>6668.9</v>
      </c>
      <c r="AU14" s="33">
        <f t="shared" si="15"/>
        <v>6668.9</v>
      </c>
      <c r="AV14" s="20">
        <f t="shared" si="64"/>
        <v>1629.614</v>
      </c>
      <c r="AW14" s="51">
        <f t="shared" si="65"/>
        <v>1056.272</v>
      </c>
      <c r="AZ14" s="33">
        <f t="shared" si="16"/>
        <v>4932.794789999999</v>
      </c>
      <c r="BA14" s="33">
        <f t="shared" si="17"/>
        <v>4932.794789999999</v>
      </c>
      <c r="BB14" s="20">
        <f t="shared" si="67"/>
        <v>1205.3789154</v>
      </c>
      <c r="BC14" s="51">
        <f t="shared" si="68"/>
        <v>781.2942192</v>
      </c>
      <c r="BD14" s="20"/>
      <c r="BE14" s="20">
        <f t="shared" si="18"/>
        <v>0</v>
      </c>
      <c r="BF14" s="20">
        <f t="shared" si="19"/>
        <v>1712.3351762809914</v>
      </c>
      <c r="BG14" s="20">
        <f t="shared" si="20"/>
        <v>1712.3351762809914</v>
      </c>
      <c r="BH14" s="20">
        <f t="shared" si="69"/>
        <v>418.4266334717827</v>
      </c>
      <c r="BI14" s="51">
        <f t="shared" si="70"/>
        <v>271.21289887697753</v>
      </c>
      <c r="BK14" s="51"/>
      <c r="BL14" s="51">
        <f t="shared" si="21"/>
        <v>2609.0642199999998</v>
      </c>
      <c r="BM14" s="33">
        <f t="shared" si="22"/>
        <v>2609.0642199999998</v>
      </c>
      <c r="BN14" s="20">
        <f t="shared" si="72"/>
        <v>637.5515571999999</v>
      </c>
      <c r="BO14" s="51">
        <f t="shared" si="73"/>
        <v>413.24378559999997</v>
      </c>
      <c r="BQ14" s="51"/>
      <c r="BR14" s="51">
        <f t="shared" si="23"/>
        <v>7439.062679999999</v>
      </c>
      <c r="BS14" s="33">
        <f t="shared" si="24"/>
        <v>7439.062679999999</v>
      </c>
      <c r="BT14" s="20">
        <f t="shared" si="75"/>
        <v>1817.8111368</v>
      </c>
      <c r="BU14" s="51">
        <f t="shared" si="76"/>
        <v>1178.2563264</v>
      </c>
      <c r="BX14" s="33">
        <f t="shared" si="25"/>
        <v>3495.36103</v>
      </c>
      <c r="BY14" s="33">
        <f t="shared" si="26"/>
        <v>3495.36103</v>
      </c>
      <c r="BZ14" s="20">
        <f t="shared" si="78"/>
        <v>854.1272578</v>
      </c>
      <c r="CA14" s="51">
        <f t="shared" si="79"/>
        <v>553.6223344</v>
      </c>
      <c r="CD14" s="33">
        <f t="shared" si="27"/>
        <v>2529.7043099999996</v>
      </c>
      <c r="CE14" s="33">
        <f t="shared" si="28"/>
        <v>2529.7043099999996</v>
      </c>
      <c r="CF14" s="20">
        <f t="shared" si="81"/>
        <v>618.1591506000001</v>
      </c>
      <c r="CG14" s="51">
        <f t="shared" si="82"/>
        <v>400.6741488</v>
      </c>
      <c r="CJ14" s="33">
        <f t="shared" si="29"/>
        <v>3641.12413</v>
      </c>
      <c r="CK14" s="33">
        <f t="shared" si="30"/>
        <v>3641.12413</v>
      </c>
      <c r="CL14" s="20">
        <f t="shared" si="84"/>
        <v>889.7459638</v>
      </c>
      <c r="CM14" s="51">
        <f t="shared" si="85"/>
        <v>576.7094224</v>
      </c>
      <c r="CP14" s="33">
        <f t="shared" si="31"/>
        <v>748.91747</v>
      </c>
      <c r="CQ14" s="33">
        <f t="shared" si="32"/>
        <v>748.91747</v>
      </c>
      <c r="CR14" s="20">
        <f t="shared" si="109"/>
        <v>183.0056522</v>
      </c>
      <c r="CS14" s="51">
        <f t="shared" si="87"/>
        <v>118.6193456</v>
      </c>
      <c r="CV14" s="33">
        <f t="shared" si="33"/>
        <v>2841.2372100000002</v>
      </c>
      <c r="CW14" s="33">
        <f t="shared" si="34"/>
        <v>2841.2372100000002</v>
      </c>
      <c r="CX14" s="20">
        <f t="shared" si="89"/>
        <v>694.2854046</v>
      </c>
      <c r="CY14" s="51">
        <f t="shared" si="90"/>
        <v>450.0171408</v>
      </c>
      <c r="DB14" s="33">
        <f t="shared" si="35"/>
        <v>708.71353</v>
      </c>
      <c r="DC14" s="33">
        <f t="shared" si="36"/>
        <v>708.71353</v>
      </c>
      <c r="DD14" s="20">
        <f t="shared" si="92"/>
        <v>173.18140780000002</v>
      </c>
      <c r="DE14" s="51">
        <f t="shared" si="93"/>
        <v>112.25153440000001</v>
      </c>
      <c r="DH14" s="33">
        <f t="shared" si="37"/>
        <v>2847.7155700000003</v>
      </c>
      <c r="DI14" s="33">
        <f t="shared" si="38"/>
        <v>2847.7155700000003</v>
      </c>
      <c r="DJ14" s="20">
        <f t="shared" si="95"/>
        <v>695.8684582000001</v>
      </c>
      <c r="DK14" s="51">
        <f t="shared" si="96"/>
        <v>451.0432336</v>
      </c>
      <c r="DN14" s="33">
        <f t="shared" si="39"/>
        <v>15938.004110000002</v>
      </c>
      <c r="DO14" s="33">
        <f t="shared" si="40"/>
        <v>15938.004110000002</v>
      </c>
      <c r="DP14" s="20">
        <f t="shared" si="98"/>
        <v>3894.6144986</v>
      </c>
      <c r="DQ14" s="51">
        <f t="shared" si="99"/>
        <v>2524.3844528</v>
      </c>
      <c r="DT14" s="33">
        <f t="shared" si="41"/>
        <v>46.301219999999994</v>
      </c>
      <c r="DU14" s="33">
        <f t="shared" si="42"/>
        <v>46.301219999999994</v>
      </c>
      <c r="DV14" s="20">
        <f t="shared" si="101"/>
        <v>11.314177200000001</v>
      </c>
      <c r="DW14" s="51">
        <f t="shared" si="102"/>
        <v>7.333545600000001</v>
      </c>
      <c r="DZ14" s="33">
        <f t="shared" si="43"/>
        <v>3038.82719</v>
      </c>
      <c r="EA14" s="33">
        <f t="shared" si="44"/>
        <v>3038.82719</v>
      </c>
      <c r="EB14" s="20">
        <f t="shared" si="104"/>
        <v>742.5685394000001</v>
      </c>
      <c r="EC14" s="51">
        <f t="shared" si="105"/>
        <v>481.31297120000005</v>
      </c>
      <c r="EF14" s="33">
        <f t="shared" si="45"/>
        <v>2667.8458100000003</v>
      </c>
      <c r="EG14" s="33">
        <f t="shared" si="46"/>
        <v>2667.8458100000003</v>
      </c>
      <c r="EH14" s="20">
        <f t="shared" si="107"/>
        <v>651.9154406</v>
      </c>
      <c r="EI14" s="51">
        <f t="shared" si="108"/>
        <v>422.5540688</v>
      </c>
    </row>
    <row r="15" spans="1:139" ht="12">
      <c r="A15" s="19">
        <v>43191</v>
      </c>
      <c r="D15" s="35">
        <v>952700</v>
      </c>
      <c r="E15" s="35">
        <f t="shared" si="0"/>
        <v>952700</v>
      </c>
      <c r="F15" s="35">
        <v>232802</v>
      </c>
      <c r="G15" s="35">
        <v>150896</v>
      </c>
      <c r="I15" s="71">
        <f t="shared" si="47"/>
        <v>0</v>
      </c>
      <c r="J15" s="51">
        <f t="shared" si="1"/>
        <v>96526.23022000001</v>
      </c>
      <c r="K15" s="51">
        <f t="shared" si="2"/>
        <v>96526.23022000001</v>
      </c>
      <c r="L15" s="51">
        <f t="shared" si="3"/>
        <v>23587.172717200003</v>
      </c>
      <c r="M15" s="51">
        <f t="shared" si="3"/>
        <v>15288.5714656</v>
      </c>
      <c r="O15" s="33">
        <f t="shared" si="48"/>
        <v>0</v>
      </c>
      <c r="P15" s="33">
        <f t="shared" si="4"/>
        <v>9646.0875</v>
      </c>
      <c r="Q15" s="33">
        <f t="shared" si="5"/>
        <v>9646.0875</v>
      </c>
      <c r="R15" s="20">
        <f t="shared" si="49"/>
        <v>2357.12025</v>
      </c>
      <c r="S15" s="51">
        <f t="shared" si="50"/>
        <v>1527.8220000000001</v>
      </c>
      <c r="T15" s="20"/>
      <c r="U15" s="20">
        <f t="shared" si="51"/>
        <v>0</v>
      </c>
      <c r="V15" s="20">
        <f t="shared" si="6"/>
        <v>1240.9395537190085</v>
      </c>
      <c r="W15" s="20">
        <f t="shared" si="7"/>
        <v>1240.9395537190085</v>
      </c>
      <c r="X15" s="20">
        <f t="shared" si="52"/>
        <v>303.2362863282173</v>
      </c>
      <c r="Y15" s="51">
        <f t="shared" si="53"/>
        <v>196.5496115230225</v>
      </c>
      <c r="AA15" s="33">
        <f t="shared" si="54"/>
        <v>0</v>
      </c>
      <c r="AB15" s="51">
        <f t="shared" si="8"/>
        <v>22640.343880000004</v>
      </c>
      <c r="AC15" s="51">
        <f t="shared" si="9"/>
        <v>22640.343880000004</v>
      </c>
      <c r="AD15" s="20">
        <f t="shared" si="55"/>
        <v>5532.399848800001</v>
      </c>
      <c r="AE15" s="51">
        <f t="shared" si="56"/>
        <v>3585.9529024000003</v>
      </c>
      <c r="AG15" s="33">
        <f t="shared" si="57"/>
        <v>0</v>
      </c>
      <c r="AH15" s="33">
        <f t="shared" si="10"/>
        <v>655.0765200000001</v>
      </c>
      <c r="AI15" s="33">
        <f t="shared" si="11"/>
        <v>655.0765200000001</v>
      </c>
      <c r="AJ15" s="20">
        <f t="shared" si="58"/>
        <v>160.0746552</v>
      </c>
      <c r="AK15" s="51">
        <f t="shared" si="59"/>
        <v>103.7560896</v>
      </c>
      <c r="AM15" s="33">
        <f t="shared" si="60"/>
        <v>0</v>
      </c>
      <c r="AN15" s="33">
        <f t="shared" si="12"/>
        <v>477.87432</v>
      </c>
      <c r="AO15" s="33">
        <f t="shared" si="13"/>
        <v>477.87432</v>
      </c>
      <c r="AP15" s="20">
        <f t="shared" si="61"/>
        <v>116.77348320000002</v>
      </c>
      <c r="AQ15" s="51">
        <f t="shared" si="62"/>
        <v>75.6894336</v>
      </c>
      <c r="AS15" s="33">
        <f t="shared" si="63"/>
        <v>0</v>
      </c>
      <c r="AT15" s="33">
        <f t="shared" si="14"/>
        <v>6668.9</v>
      </c>
      <c r="AU15" s="33">
        <f t="shared" si="15"/>
        <v>6668.9</v>
      </c>
      <c r="AV15" s="20">
        <f t="shared" si="64"/>
        <v>1629.614</v>
      </c>
      <c r="AW15" s="51">
        <f t="shared" si="65"/>
        <v>1056.272</v>
      </c>
      <c r="AY15" s="33">
        <f t="shared" si="66"/>
        <v>0</v>
      </c>
      <c r="AZ15" s="33">
        <f t="shared" si="16"/>
        <v>4932.794789999999</v>
      </c>
      <c r="BA15" s="33">
        <f t="shared" si="17"/>
        <v>4932.794789999999</v>
      </c>
      <c r="BB15" s="20">
        <f t="shared" si="67"/>
        <v>1205.3789154</v>
      </c>
      <c r="BC15" s="51">
        <f t="shared" si="68"/>
        <v>781.2942192</v>
      </c>
      <c r="BD15" s="20"/>
      <c r="BE15" s="20">
        <f t="shared" si="18"/>
        <v>0</v>
      </c>
      <c r="BF15" s="20">
        <f t="shared" si="19"/>
        <v>1712.3351762809914</v>
      </c>
      <c r="BG15" s="20">
        <f t="shared" si="20"/>
        <v>1712.3351762809914</v>
      </c>
      <c r="BH15" s="20">
        <f t="shared" si="69"/>
        <v>418.4266334717827</v>
      </c>
      <c r="BI15" s="51">
        <f t="shared" si="70"/>
        <v>271.21289887697753</v>
      </c>
      <c r="BK15" s="51">
        <f t="shared" si="71"/>
        <v>0</v>
      </c>
      <c r="BL15" s="51">
        <f t="shared" si="21"/>
        <v>2609.0642199999998</v>
      </c>
      <c r="BM15" s="33">
        <f t="shared" si="22"/>
        <v>2609.0642199999998</v>
      </c>
      <c r="BN15" s="20">
        <f t="shared" si="72"/>
        <v>637.5515571999999</v>
      </c>
      <c r="BO15" s="51">
        <f t="shared" si="73"/>
        <v>413.24378559999997</v>
      </c>
      <c r="BQ15" s="51">
        <f t="shared" si="74"/>
        <v>0</v>
      </c>
      <c r="BR15" s="51">
        <f t="shared" si="23"/>
        <v>7439.062679999999</v>
      </c>
      <c r="BS15" s="33">
        <f t="shared" si="24"/>
        <v>7439.062679999999</v>
      </c>
      <c r="BT15" s="20">
        <f t="shared" si="75"/>
        <v>1817.8111368</v>
      </c>
      <c r="BU15" s="51">
        <f t="shared" si="76"/>
        <v>1178.2563264</v>
      </c>
      <c r="BW15" s="33">
        <f t="shared" si="77"/>
        <v>0</v>
      </c>
      <c r="BX15" s="33">
        <f t="shared" si="25"/>
        <v>3495.36103</v>
      </c>
      <c r="BY15" s="33">
        <f t="shared" si="26"/>
        <v>3495.36103</v>
      </c>
      <c r="BZ15" s="20">
        <f t="shared" si="78"/>
        <v>854.1272578</v>
      </c>
      <c r="CA15" s="51">
        <f t="shared" si="79"/>
        <v>553.6223344</v>
      </c>
      <c r="CC15" s="33">
        <f t="shared" si="80"/>
        <v>0</v>
      </c>
      <c r="CD15" s="33">
        <f t="shared" si="27"/>
        <v>2529.7043099999996</v>
      </c>
      <c r="CE15" s="33">
        <f t="shared" si="28"/>
        <v>2529.7043099999996</v>
      </c>
      <c r="CF15" s="20">
        <f t="shared" si="81"/>
        <v>618.1591506000001</v>
      </c>
      <c r="CG15" s="51">
        <f t="shared" si="82"/>
        <v>400.6741488</v>
      </c>
      <c r="CI15" s="33">
        <f t="shared" si="83"/>
        <v>0</v>
      </c>
      <c r="CJ15" s="33">
        <f t="shared" si="29"/>
        <v>3641.12413</v>
      </c>
      <c r="CK15" s="33">
        <f t="shared" si="30"/>
        <v>3641.12413</v>
      </c>
      <c r="CL15" s="20">
        <f t="shared" si="84"/>
        <v>889.7459638</v>
      </c>
      <c r="CM15" s="51">
        <f t="shared" si="85"/>
        <v>576.7094224</v>
      </c>
      <c r="CO15" s="33">
        <f t="shared" si="86"/>
        <v>0</v>
      </c>
      <c r="CP15" s="33">
        <f t="shared" si="31"/>
        <v>748.91747</v>
      </c>
      <c r="CQ15" s="33">
        <f t="shared" si="32"/>
        <v>748.91747</v>
      </c>
      <c r="CR15" s="20">
        <f t="shared" si="109"/>
        <v>183.0056522</v>
      </c>
      <c r="CS15" s="51">
        <f t="shared" si="87"/>
        <v>118.6193456</v>
      </c>
      <c r="CU15" s="33">
        <f t="shared" si="88"/>
        <v>0</v>
      </c>
      <c r="CV15" s="33">
        <f t="shared" si="33"/>
        <v>2841.2372100000002</v>
      </c>
      <c r="CW15" s="33">
        <f t="shared" si="34"/>
        <v>2841.2372100000002</v>
      </c>
      <c r="CX15" s="20">
        <f t="shared" si="89"/>
        <v>694.2854046</v>
      </c>
      <c r="CY15" s="51">
        <f t="shared" si="90"/>
        <v>450.0171408</v>
      </c>
      <c r="DA15" s="33">
        <f t="shared" si="91"/>
        <v>0</v>
      </c>
      <c r="DB15" s="33">
        <f t="shared" si="35"/>
        <v>708.71353</v>
      </c>
      <c r="DC15" s="33">
        <f t="shared" si="36"/>
        <v>708.71353</v>
      </c>
      <c r="DD15" s="20">
        <f t="shared" si="92"/>
        <v>173.18140780000002</v>
      </c>
      <c r="DE15" s="51">
        <f t="shared" si="93"/>
        <v>112.25153440000001</v>
      </c>
      <c r="DG15" s="33">
        <f t="shared" si="94"/>
        <v>0</v>
      </c>
      <c r="DH15" s="33">
        <f t="shared" si="37"/>
        <v>2847.7155700000003</v>
      </c>
      <c r="DI15" s="33">
        <f t="shared" si="38"/>
        <v>2847.7155700000003</v>
      </c>
      <c r="DJ15" s="20">
        <f t="shared" si="95"/>
        <v>695.8684582000001</v>
      </c>
      <c r="DK15" s="51">
        <f t="shared" si="96"/>
        <v>451.0432336</v>
      </c>
      <c r="DM15" s="33">
        <f t="shared" si="97"/>
        <v>0</v>
      </c>
      <c r="DN15" s="33">
        <f t="shared" si="39"/>
        <v>15938.004110000002</v>
      </c>
      <c r="DO15" s="33">
        <f t="shared" si="40"/>
        <v>15938.004110000002</v>
      </c>
      <c r="DP15" s="20">
        <f t="shared" si="98"/>
        <v>3894.6144986</v>
      </c>
      <c r="DQ15" s="51">
        <f t="shared" si="99"/>
        <v>2524.3844528</v>
      </c>
      <c r="DS15" s="33">
        <f t="shared" si="100"/>
        <v>0</v>
      </c>
      <c r="DT15" s="33">
        <f t="shared" si="41"/>
        <v>46.301219999999994</v>
      </c>
      <c r="DU15" s="33">
        <f t="shared" si="42"/>
        <v>46.301219999999994</v>
      </c>
      <c r="DV15" s="20">
        <f t="shared" si="101"/>
        <v>11.314177200000001</v>
      </c>
      <c r="DW15" s="51">
        <f t="shared" si="102"/>
        <v>7.333545600000001</v>
      </c>
      <c r="DY15" s="33">
        <f t="shared" si="103"/>
        <v>0</v>
      </c>
      <c r="DZ15" s="33">
        <f t="shared" si="43"/>
        <v>3038.82719</v>
      </c>
      <c r="EA15" s="33">
        <f t="shared" si="44"/>
        <v>3038.82719</v>
      </c>
      <c r="EB15" s="20">
        <f t="shared" si="104"/>
        <v>742.5685394000001</v>
      </c>
      <c r="EC15" s="51">
        <f t="shared" si="105"/>
        <v>481.31297120000005</v>
      </c>
      <c r="EE15" s="33">
        <f t="shared" si="106"/>
        <v>0</v>
      </c>
      <c r="EF15" s="33">
        <f t="shared" si="45"/>
        <v>2667.8458100000003</v>
      </c>
      <c r="EG15" s="33">
        <f t="shared" si="46"/>
        <v>2667.8458100000003</v>
      </c>
      <c r="EH15" s="20">
        <f t="shared" si="107"/>
        <v>651.9154406</v>
      </c>
      <c r="EI15" s="51">
        <f t="shared" si="108"/>
        <v>422.5540688</v>
      </c>
    </row>
    <row r="16" spans="1:139" ht="12">
      <c r="A16" s="19">
        <v>43374</v>
      </c>
      <c r="D16" s="35">
        <v>952700</v>
      </c>
      <c r="E16" s="35">
        <f t="shared" si="0"/>
        <v>952700</v>
      </c>
      <c r="F16" s="35">
        <v>232802</v>
      </c>
      <c r="G16" s="35">
        <v>150896</v>
      </c>
      <c r="I16" s="71"/>
      <c r="J16" s="51">
        <f t="shared" si="1"/>
        <v>96526.23022000001</v>
      </c>
      <c r="K16" s="51">
        <f t="shared" si="2"/>
        <v>96526.23022000001</v>
      </c>
      <c r="L16" s="51">
        <f t="shared" si="3"/>
        <v>23587.172717200003</v>
      </c>
      <c r="M16" s="51">
        <f t="shared" si="3"/>
        <v>15288.5714656</v>
      </c>
      <c r="P16" s="33">
        <f t="shared" si="4"/>
        <v>9646.0875</v>
      </c>
      <c r="Q16" s="33">
        <f t="shared" si="5"/>
        <v>9646.0875</v>
      </c>
      <c r="R16" s="20">
        <f t="shared" si="49"/>
        <v>2357.12025</v>
      </c>
      <c r="S16" s="51">
        <f t="shared" si="50"/>
        <v>1527.8220000000001</v>
      </c>
      <c r="T16" s="20"/>
      <c r="U16" s="20">
        <f t="shared" si="51"/>
        <v>0</v>
      </c>
      <c r="V16" s="20">
        <f t="shared" si="6"/>
        <v>1240.9395537190085</v>
      </c>
      <c r="W16" s="20">
        <f t="shared" si="7"/>
        <v>1240.9395537190085</v>
      </c>
      <c r="X16" s="20">
        <f t="shared" si="52"/>
        <v>303.2362863282173</v>
      </c>
      <c r="Y16" s="51">
        <f t="shared" si="53"/>
        <v>196.5496115230225</v>
      </c>
      <c r="AB16" s="51">
        <f t="shared" si="8"/>
        <v>22640.343880000004</v>
      </c>
      <c r="AC16" s="51">
        <f t="shared" si="9"/>
        <v>22640.343880000004</v>
      </c>
      <c r="AD16" s="20">
        <f t="shared" si="55"/>
        <v>5532.399848800001</v>
      </c>
      <c r="AE16" s="51">
        <f t="shared" si="56"/>
        <v>3585.9529024000003</v>
      </c>
      <c r="AH16" s="33">
        <f t="shared" si="10"/>
        <v>655.0765200000001</v>
      </c>
      <c r="AI16" s="33">
        <f t="shared" si="11"/>
        <v>655.0765200000001</v>
      </c>
      <c r="AJ16" s="20">
        <f t="shared" si="58"/>
        <v>160.0746552</v>
      </c>
      <c r="AK16" s="51">
        <f t="shared" si="59"/>
        <v>103.7560896</v>
      </c>
      <c r="AN16" s="33">
        <f t="shared" si="12"/>
        <v>477.87432</v>
      </c>
      <c r="AO16" s="33">
        <f t="shared" si="13"/>
        <v>477.87432</v>
      </c>
      <c r="AP16" s="20">
        <f t="shared" si="61"/>
        <v>116.77348320000002</v>
      </c>
      <c r="AQ16" s="51">
        <f t="shared" si="62"/>
        <v>75.6894336</v>
      </c>
      <c r="AT16" s="33">
        <f t="shared" si="14"/>
        <v>6668.9</v>
      </c>
      <c r="AU16" s="33">
        <f t="shared" si="15"/>
        <v>6668.9</v>
      </c>
      <c r="AV16" s="20">
        <f t="shared" si="64"/>
        <v>1629.614</v>
      </c>
      <c r="AW16" s="51">
        <f t="shared" si="65"/>
        <v>1056.272</v>
      </c>
      <c r="AZ16" s="33">
        <f t="shared" si="16"/>
        <v>4932.794789999999</v>
      </c>
      <c r="BA16" s="33">
        <f t="shared" si="17"/>
        <v>4932.794789999999</v>
      </c>
      <c r="BB16" s="20">
        <f t="shared" si="67"/>
        <v>1205.3789154</v>
      </c>
      <c r="BC16" s="51">
        <f t="shared" si="68"/>
        <v>781.2942192</v>
      </c>
      <c r="BD16" s="20"/>
      <c r="BE16" s="20">
        <f t="shared" si="18"/>
        <v>0</v>
      </c>
      <c r="BF16" s="20">
        <f t="shared" si="19"/>
        <v>1712.3351762809914</v>
      </c>
      <c r="BG16" s="20">
        <f t="shared" si="20"/>
        <v>1712.3351762809914</v>
      </c>
      <c r="BH16" s="20">
        <f t="shared" si="69"/>
        <v>418.4266334717827</v>
      </c>
      <c r="BI16" s="51">
        <f t="shared" si="70"/>
        <v>271.21289887697753</v>
      </c>
      <c r="BK16" s="51"/>
      <c r="BL16" s="51">
        <f t="shared" si="21"/>
        <v>2609.0642199999998</v>
      </c>
      <c r="BM16" s="33">
        <f t="shared" si="22"/>
        <v>2609.0642199999998</v>
      </c>
      <c r="BN16" s="20">
        <f t="shared" si="72"/>
        <v>637.5515571999999</v>
      </c>
      <c r="BO16" s="51">
        <f t="shared" si="73"/>
        <v>413.24378559999997</v>
      </c>
      <c r="BQ16" s="51"/>
      <c r="BR16" s="51">
        <f t="shared" si="23"/>
        <v>7439.062679999999</v>
      </c>
      <c r="BS16" s="33">
        <f t="shared" si="24"/>
        <v>7439.062679999999</v>
      </c>
      <c r="BT16" s="20">
        <f t="shared" si="75"/>
        <v>1817.8111368</v>
      </c>
      <c r="BU16" s="51">
        <f t="shared" si="76"/>
        <v>1178.2563264</v>
      </c>
      <c r="BX16" s="33">
        <f t="shared" si="25"/>
        <v>3495.36103</v>
      </c>
      <c r="BY16" s="33">
        <f t="shared" si="26"/>
        <v>3495.36103</v>
      </c>
      <c r="BZ16" s="20">
        <f t="shared" si="78"/>
        <v>854.1272578</v>
      </c>
      <c r="CA16" s="51">
        <f t="shared" si="79"/>
        <v>553.6223344</v>
      </c>
      <c r="CD16" s="33">
        <f t="shared" si="27"/>
        <v>2529.7043099999996</v>
      </c>
      <c r="CE16" s="33">
        <f t="shared" si="28"/>
        <v>2529.7043099999996</v>
      </c>
      <c r="CF16" s="20">
        <f t="shared" si="81"/>
        <v>618.1591506000001</v>
      </c>
      <c r="CG16" s="51">
        <f t="shared" si="82"/>
        <v>400.6741488</v>
      </c>
      <c r="CJ16" s="33">
        <f t="shared" si="29"/>
        <v>3641.12413</v>
      </c>
      <c r="CK16" s="33">
        <f t="shared" si="30"/>
        <v>3641.12413</v>
      </c>
      <c r="CL16" s="20">
        <f t="shared" si="84"/>
        <v>889.7459638</v>
      </c>
      <c r="CM16" s="51">
        <f t="shared" si="85"/>
        <v>576.7094224</v>
      </c>
      <c r="CP16" s="33">
        <f t="shared" si="31"/>
        <v>748.91747</v>
      </c>
      <c r="CQ16" s="33">
        <f t="shared" si="32"/>
        <v>748.91747</v>
      </c>
      <c r="CR16" s="20">
        <f t="shared" si="109"/>
        <v>183.0056522</v>
      </c>
      <c r="CS16" s="51">
        <f t="shared" si="87"/>
        <v>118.6193456</v>
      </c>
      <c r="CV16" s="33">
        <f t="shared" si="33"/>
        <v>2841.2372100000002</v>
      </c>
      <c r="CW16" s="33">
        <f t="shared" si="34"/>
        <v>2841.2372100000002</v>
      </c>
      <c r="CX16" s="20">
        <f t="shared" si="89"/>
        <v>694.2854046</v>
      </c>
      <c r="CY16" s="51">
        <f t="shared" si="90"/>
        <v>450.0171408</v>
      </c>
      <c r="DB16" s="33">
        <f t="shared" si="35"/>
        <v>708.71353</v>
      </c>
      <c r="DC16" s="33">
        <f t="shared" si="36"/>
        <v>708.71353</v>
      </c>
      <c r="DD16" s="20">
        <f t="shared" si="92"/>
        <v>173.18140780000002</v>
      </c>
      <c r="DE16" s="51">
        <f t="shared" si="93"/>
        <v>112.25153440000001</v>
      </c>
      <c r="DH16" s="33">
        <f t="shared" si="37"/>
        <v>2847.7155700000003</v>
      </c>
      <c r="DI16" s="33">
        <f t="shared" si="38"/>
        <v>2847.7155700000003</v>
      </c>
      <c r="DJ16" s="20">
        <f t="shared" si="95"/>
        <v>695.8684582000001</v>
      </c>
      <c r="DK16" s="51">
        <f t="shared" si="96"/>
        <v>451.0432336</v>
      </c>
      <c r="DN16" s="33">
        <f t="shared" si="39"/>
        <v>15938.004110000002</v>
      </c>
      <c r="DO16" s="33">
        <f t="shared" si="40"/>
        <v>15938.004110000002</v>
      </c>
      <c r="DP16" s="20">
        <f t="shared" si="98"/>
        <v>3894.6144986</v>
      </c>
      <c r="DQ16" s="51">
        <f t="shared" si="99"/>
        <v>2524.3844528</v>
      </c>
      <c r="DT16" s="33">
        <f t="shared" si="41"/>
        <v>46.301219999999994</v>
      </c>
      <c r="DU16" s="33">
        <f t="shared" si="42"/>
        <v>46.301219999999994</v>
      </c>
      <c r="DV16" s="20">
        <f t="shared" si="101"/>
        <v>11.314177200000001</v>
      </c>
      <c r="DW16" s="51">
        <f t="shared" si="102"/>
        <v>7.333545600000001</v>
      </c>
      <c r="DZ16" s="33">
        <f t="shared" si="43"/>
        <v>3038.82719</v>
      </c>
      <c r="EA16" s="33">
        <f t="shared" si="44"/>
        <v>3038.82719</v>
      </c>
      <c r="EB16" s="20">
        <f t="shared" si="104"/>
        <v>742.5685394000001</v>
      </c>
      <c r="EC16" s="51">
        <f t="shared" si="105"/>
        <v>481.31297120000005</v>
      </c>
      <c r="EF16" s="33">
        <f t="shared" si="45"/>
        <v>2667.8458100000003</v>
      </c>
      <c r="EG16" s="33">
        <f t="shared" si="46"/>
        <v>2667.8458100000003</v>
      </c>
      <c r="EH16" s="20">
        <f t="shared" si="107"/>
        <v>651.9154406</v>
      </c>
      <c r="EI16" s="51">
        <f t="shared" si="108"/>
        <v>422.5540688</v>
      </c>
    </row>
    <row r="17" spans="1:139" ht="12">
      <c r="A17" s="19">
        <v>43556</v>
      </c>
      <c r="D17" s="35">
        <v>952700</v>
      </c>
      <c r="E17" s="35">
        <f t="shared" si="0"/>
        <v>952700</v>
      </c>
      <c r="F17" s="35">
        <v>232802</v>
      </c>
      <c r="G17" s="35">
        <v>150896</v>
      </c>
      <c r="I17" s="71">
        <f t="shared" si="47"/>
        <v>0</v>
      </c>
      <c r="J17" s="51">
        <f t="shared" si="1"/>
        <v>96526.23022000001</v>
      </c>
      <c r="K17" s="51">
        <f t="shared" si="2"/>
        <v>96526.23022000001</v>
      </c>
      <c r="L17" s="51">
        <f t="shared" si="3"/>
        <v>23587.172717200003</v>
      </c>
      <c r="M17" s="51">
        <f t="shared" si="3"/>
        <v>15288.5714656</v>
      </c>
      <c r="O17" s="33">
        <f t="shared" si="48"/>
        <v>0</v>
      </c>
      <c r="P17" s="33">
        <f t="shared" si="4"/>
        <v>9646.0875</v>
      </c>
      <c r="Q17" s="33">
        <f t="shared" si="5"/>
        <v>9646.0875</v>
      </c>
      <c r="R17" s="20">
        <f t="shared" si="49"/>
        <v>2357.12025</v>
      </c>
      <c r="S17" s="51">
        <f t="shared" si="50"/>
        <v>1527.8220000000001</v>
      </c>
      <c r="T17" s="20"/>
      <c r="U17" s="20">
        <f t="shared" si="51"/>
        <v>0</v>
      </c>
      <c r="V17" s="20">
        <f t="shared" si="6"/>
        <v>1240.9395537190085</v>
      </c>
      <c r="W17" s="20">
        <f t="shared" si="7"/>
        <v>1240.9395537190085</v>
      </c>
      <c r="X17" s="20">
        <f t="shared" si="52"/>
        <v>303.2362863282173</v>
      </c>
      <c r="Y17" s="51">
        <f t="shared" si="53"/>
        <v>196.5496115230225</v>
      </c>
      <c r="AA17" s="33">
        <f t="shared" si="54"/>
        <v>0</v>
      </c>
      <c r="AB17" s="51">
        <f t="shared" si="8"/>
        <v>22640.343880000004</v>
      </c>
      <c r="AC17" s="51">
        <f t="shared" si="9"/>
        <v>22640.343880000004</v>
      </c>
      <c r="AD17" s="20">
        <f t="shared" si="55"/>
        <v>5532.399848800001</v>
      </c>
      <c r="AE17" s="51">
        <f t="shared" si="56"/>
        <v>3585.9529024000003</v>
      </c>
      <c r="AG17" s="33">
        <f t="shared" si="57"/>
        <v>0</v>
      </c>
      <c r="AH17" s="33">
        <f t="shared" si="10"/>
        <v>655.0765200000001</v>
      </c>
      <c r="AI17" s="33">
        <f t="shared" si="11"/>
        <v>655.0765200000001</v>
      </c>
      <c r="AJ17" s="20">
        <f t="shared" si="58"/>
        <v>160.0746552</v>
      </c>
      <c r="AK17" s="51">
        <f t="shared" si="59"/>
        <v>103.7560896</v>
      </c>
      <c r="AM17" s="33">
        <f t="shared" si="60"/>
        <v>0</v>
      </c>
      <c r="AN17" s="33">
        <f t="shared" si="12"/>
        <v>477.87432</v>
      </c>
      <c r="AO17" s="33">
        <f t="shared" si="13"/>
        <v>477.87432</v>
      </c>
      <c r="AP17" s="20">
        <f t="shared" si="61"/>
        <v>116.77348320000002</v>
      </c>
      <c r="AQ17" s="51">
        <f t="shared" si="62"/>
        <v>75.6894336</v>
      </c>
      <c r="AS17" s="33">
        <f t="shared" si="63"/>
        <v>0</v>
      </c>
      <c r="AT17" s="33">
        <f t="shared" si="14"/>
        <v>6668.9</v>
      </c>
      <c r="AU17" s="33">
        <f t="shared" si="15"/>
        <v>6668.9</v>
      </c>
      <c r="AV17" s="20">
        <f t="shared" si="64"/>
        <v>1629.614</v>
      </c>
      <c r="AW17" s="51">
        <f t="shared" si="65"/>
        <v>1056.272</v>
      </c>
      <c r="AY17" s="33">
        <f t="shared" si="66"/>
        <v>0</v>
      </c>
      <c r="AZ17" s="33">
        <f t="shared" si="16"/>
        <v>4932.794789999999</v>
      </c>
      <c r="BA17" s="33">
        <f t="shared" si="17"/>
        <v>4932.794789999999</v>
      </c>
      <c r="BB17" s="20">
        <f t="shared" si="67"/>
        <v>1205.3789154</v>
      </c>
      <c r="BC17" s="51">
        <f t="shared" si="68"/>
        <v>781.2942192</v>
      </c>
      <c r="BD17" s="20"/>
      <c r="BE17" s="20">
        <f t="shared" si="18"/>
        <v>0</v>
      </c>
      <c r="BF17" s="20">
        <f t="shared" si="19"/>
        <v>1712.3351762809914</v>
      </c>
      <c r="BG17" s="20">
        <f t="shared" si="20"/>
        <v>1712.3351762809914</v>
      </c>
      <c r="BH17" s="20">
        <f t="shared" si="69"/>
        <v>418.4266334717827</v>
      </c>
      <c r="BI17" s="51">
        <f t="shared" si="70"/>
        <v>271.21289887697753</v>
      </c>
      <c r="BK17" s="51">
        <f t="shared" si="71"/>
        <v>0</v>
      </c>
      <c r="BL17" s="51">
        <f t="shared" si="21"/>
        <v>2609.0642199999998</v>
      </c>
      <c r="BM17" s="33">
        <f t="shared" si="22"/>
        <v>2609.0642199999998</v>
      </c>
      <c r="BN17" s="20">
        <f t="shared" si="72"/>
        <v>637.5515571999999</v>
      </c>
      <c r="BO17" s="51">
        <f t="shared" si="73"/>
        <v>413.24378559999997</v>
      </c>
      <c r="BQ17" s="51">
        <f t="shared" si="74"/>
        <v>0</v>
      </c>
      <c r="BR17" s="51">
        <f t="shared" si="23"/>
        <v>7439.062679999999</v>
      </c>
      <c r="BS17" s="33">
        <f t="shared" si="24"/>
        <v>7439.062679999999</v>
      </c>
      <c r="BT17" s="20">
        <f t="shared" si="75"/>
        <v>1817.8111368</v>
      </c>
      <c r="BU17" s="51">
        <f t="shared" si="76"/>
        <v>1178.2563264</v>
      </c>
      <c r="BW17" s="33">
        <f t="shared" si="77"/>
        <v>0</v>
      </c>
      <c r="BX17" s="33">
        <f t="shared" si="25"/>
        <v>3495.36103</v>
      </c>
      <c r="BY17" s="33">
        <f t="shared" si="26"/>
        <v>3495.36103</v>
      </c>
      <c r="BZ17" s="20">
        <f t="shared" si="78"/>
        <v>854.1272578</v>
      </c>
      <c r="CA17" s="51">
        <f t="shared" si="79"/>
        <v>553.6223344</v>
      </c>
      <c r="CC17" s="33">
        <f t="shared" si="80"/>
        <v>0</v>
      </c>
      <c r="CD17" s="33">
        <f t="shared" si="27"/>
        <v>2529.7043099999996</v>
      </c>
      <c r="CE17" s="33">
        <f t="shared" si="28"/>
        <v>2529.7043099999996</v>
      </c>
      <c r="CF17" s="20">
        <f t="shared" si="81"/>
        <v>618.1591506000001</v>
      </c>
      <c r="CG17" s="51">
        <f t="shared" si="82"/>
        <v>400.6741488</v>
      </c>
      <c r="CI17" s="33">
        <f t="shared" si="83"/>
        <v>0</v>
      </c>
      <c r="CJ17" s="33">
        <f t="shared" si="29"/>
        <v>3641.12413</v>
      </c>
      <c r="CK17" s="33">
        <f t="shared" si="30"/>
        <v>3641.12413</v>
      </c>
      <c r="CL17" s="20">
        <f t="shared" si="84"/>
        <v>889.7459638</v>
      </c>
      <c r="CM17" s="51">
        <f t="shared" si="85"/>
        <v>576.7094224</v>
      </c>
      <c r="CO17" s="33">
        <f t="shared" si="86"/>
        <v>0</v>
      </c>
      <c r="CP17" s="33">
        <f t="shared" si="31"/>
        <v>748.91747</v>
      </c>
      <c r="CQ17" s="33">
        <f t="shared" si="32"/>
        <v>748.91747</v>
      </c>
      <c r="CR17" s="20">
        <f t="shared" si="109"/>
        <v>183.0056522</v>
      </c>
      <c r="CS17" s="51">
        <f t="shared" si="87"/>
        <v>118.6193456</v>
      </c>
      <c r="CU17" s="33">
        <f t="shared" si="88"/>
        <v>0</v>
      </c>
      <c r="CV17" s="33">
        <f t="shared" si="33"/>
        <v>2841.2372100000002</v>
      </c>
      <c r="CW17" s="33">
        <f t="shared" si="34"/>
        <v>2841.2372100000002</v>
      </c>
      <c r="CX17" s="20">
        <f t="shared" si="89"/>
        <v>694.2854046</v>
      </c>
      <c r="CY17" s="51">
        <f t="shared" si="90"/>
        <v>450.0171408</v>
      </c>
      <c r="DA17" s="33">
        <f t="shared" si="91"/>
        <v>0</v>
      </c>
      <c r="DB17" s="33">
        <f t="shared" si="35"/>
        <v>708.71353</v>
      </c>
      <c r="DC17" s="33">
        <f t="shared" si="36"/>
        <v>708.71353</v>
      </c>
      <c r="DD17" s="20">
        <f t="shared" si="92"/>
        <v>173.18140780000002</v>
      </c>
      <c r="DE17" s="51">
        <f t="shared" si="93"/>
        <v>112.25153440000001</v>
      </c>
      <c r="DG17" s="33">
        <f t="shared" si="94"/>
        <v>0</v>
      </c>
      <c r="DH17" s="33">
        <f t="shared" si="37"/>
        <v>2847.7155700000003</v>
      </c>
      <c r="DI17" s="33">
        <f t="shared" si="38"/>
        <v>2847.7155700000003</v>
      </c>
      <c r="DJ17" s="20">
        <f t="shared" si="95"/>
        <v>695.8684582000001</v>
      </c>
      <c r="DK17" s="51">
        <f t="shared" si="96"/>
        <v>451.0432336</v>
      </c>
      <c r="DM17" s="33">
        <f t="shared" si="97"/>
        <v>0</v>
      </c>
      <c r="DN17" s="33">
        <f t="shared" si="39"/>
        <v>15938.004110000002</v>
      </c>
      <c r="DO17" s="33">
        <f t="shared" si="40"/>
        <v>15938.004110000002</v>
      </c>
      <c r="DP17" s="20">
        <f t="shared" si="98"/>
        <v>3894.6144986</v>
      </c>
      <c r="DQ17" s="51">
        <f t="shared" si="99"/>
        <v>2524.3844528</v>
      </c>
      <c r="DS17" s="33">
        <f t="shared" si="100"/>
        <v>0</v>
      </c>
      <c r="DT17" s="33">
        <f t="shared" si="41"/>
        <v>46.301219999999994</v>
      </c>
      <c r="DU17" s="33">
        <f t="shared" si="42"/>
        <v>46.301219999999994</v>
      </c>
      <c r="DV17" s="20">
        <f t="shared" si="101"/>
        <v>11.314177200000001</v>
      </c>
      <c r="DW17" s="51">
        <f t="shared" si="102"/>
        <v>7.333545600000001</v>
      </c>
      <c r="DY17" s="33">
        <f t="shared" si="103"/>
        <v>0</v>
      </c>
      <c r="DZ17" s="33">
        <f t="shared" si="43"/>
        <v>3038.82719</v>
      </c>
      <c r="EA17" s="33">
        <f t="shared" si="44"/>
        <v>3038.82719</v>
      </c>
      <c r="EB17" s="20">
        <f t="shared" si="104"/>
        <v>742.5685394000001</v>
      </c>
      <c r="EC17" s="51">
        <f t="shared" si="105"/>
        <v>481.31297120000005</v>
      </c>
      <c r="EE17" s="33">
        <f t="shared" si="106"/>
        <v>0</v>
      </c>
      <c r="EF17" s="33">
        <f t="shared" si="45"/>
        <v>2667.8458100000003</v>
      </c>
      <c r="EG17" s="33">
        <f t="shared" si="46"/>
        <v>2667.8458100000003</v>
      </c>
      <c r="EH17" s="20">
        <f t="shared" si="107"/>
        <v>651.9154406</v>
      </c>
      <c r="EI17" s="51">
        <f t="shared" si="108"/>
        <v>422.5540688</v>
      </c>
    </row>
    <row r="18" spans="1:139" ht="12">
      <c r="A18" s="19">
        <v>43739</v>
      </c>
      <c r="D18" s="35">
        <v>952700</v>
      </c>
      <c r="E18" s="35">
        <f t="shared" si="0"/>
        <v>952700</v>
      </c>
      <c r="F18" s="35">
        <v>232802</v>
      </c>
      <c r="G18" s="35">
        <v>150896</v>
      </c>
      <c r="I18" s="71"/>
      <c r="J18" s="51">
        <f t="shared" si="1"/>
        <v>96526.23022000001</v>
      </c>
      <c r="K18" s="51">
        <f t="shared" si="2"/>
        <v>96526.23022000001</v>
      </c>
      <c r="L18" s="51">
        <f t="shared" si="3"/>
        <v>23587.172717200003</v>
      </c>
      <c r="M18" s="51">
        <f t="shared" si="3"/>
        <v>15288.5714656</v>
      </c>
      <c r="P18" s="33">
        <f t="shared" si="4"/>
        <v>9646.0875</v>
      </c>
      <c r="Q18" s="33">
        <f t="shared" si="5"/>
        <v>9646.0875</v>
      </c>
      <c r="R18" s="20">
        <f t="shared" si="49"/>
        <v>2357.12025</v>
      </c>
      <c r="S18" s="51">
        <f t="shared" si="50"/>
        <v>1527.8220000000001</v>
      </c>
      <c r="T18" s="20"/>
      <c r="U18" s="20">
        <f t="shared" si="51"/>
        <v>0</v>
      </c>
      <c r="V18" s="20">
        <f t="shared" si="6"/>
        <v>1240.9395537190085</v>
      </c>
      <c r="W18" s="20">
        <f t="shared" si="7"/>
        <v>1240.9395537190085</v>
      </c>
      <c r="X18" s="20">
        <f t="shared" si="52"/>
        <v>303.2362863282173</v>
      </c>
      <c r="Y18" s="51">
        <f t="shared" si="53"/>
        <v>196.5496115230225</v>
      </c>
      <c r="AB18" s="51">
        <f t="shared" si="8"/>
        <v>22640.343880000004</v>
      </c>
      <c r="AC18" s="51">
        <f t="shared" si="9"/>
        <v>22640.343880000004</v>
      </c>
      <c r="AD18" s="20">
        <f t="shared" si="55"/>
        <v>5532.399848800001</v>
      </c>
      <c r="AE18" s="51">
        <f t="shared" si="56"/>
        <v>3585.9529024000003</v>
      </c>
      <c r="AH18" s="33">
        <f t="shared" si="10"/>
        <v>655.0765200000001</v>
      </c>
      <c r="AI18" s="33">
        <f t="shared" si="11"/>
        <v>655.0765200000001</v>
      </c>
      <c r="AJ18" s="20">
        <f t="shared" si="58"/>
        <v>160.0746552</v>
      </c>
      <c r="AK18" s="51">
        <f t="shared" si="59"/>
        <v>103.7560896</v>
      </c>
      <c r="AN18" s="33">
        <f t="shared" si="12"/>
        <v>477.87432</v>
      </c>
      <c r="AO18" s="33">
        <f t="shared" si="13"/>
        <v>477.87432</v>
      </c>
      <c r="AP18" s="20">
        <f t="shared" si="61"/>
        <v>116.77348320000002</v>
      </c>
      <c r="AQ18" s="51">
        <f t="shared" si="62"/>
        <v>75.6894336</v>
      </c>
      <c r="AT18" s="33">
        <f t="shared" si="14"/>
        <v>6668.9</v>
      </c>
      <c r="AU18" s="33">
        <f t="shared" si="15"/>
        <v>6668.9</v>
      </c>
      <c r="AV18" s="20">
        <f t="shared" si="64"/>
        <v>1629.614</v>
      </c>
      <c r="AW18" s="51">
        <f t="shared" si="65"/>
        <v>1056.272</v>
      </c>
      <c r="AZ18" s="33">
        <f t="shared" si="16"/>
        <v>4932.794789999999</v>
      </c>
      <c r="BA18" s="33">
        <f t="shared" si="17"/>
        <v>4932.794789999999</v>
      </c>
      <c r="BB18" s="20">
        <f t="shared" si="67"/>
        <v>1205.3789154</v>
      </c>
      <c r="BC18" s="51">
        <f t="shared" si="68"/>
        <v>781.2942192</v>
      </c>
      <c r="BD18" s="20"/>
      <c r="BE18" s="20">
        <f t="shared" si="18"/>
        <v>0</v>
      </c>
      <c r="BF18" s="20">
        <f t="shared" si="19"/>
        <v>1712.3351762809914</v>
      </c>
      <c r="BG18" s="20">
        <f t="shared" si="20"/>
        <v>1712.3351762809914</v>
      </c>
      <c r="BH18" s="20">
        <f t="shared" si="69"/>
        <v>418.4266334717827</v>
      </c>
      <c r="BI18" s="51">
        <f t="shared" si="70"/>
        <v>271.21289887697753</v>
      </c>
      <c r="BK18" s="51"/>
      <c r="BL18" s="51">
        <f t="shared" si="21"/>
        <v>2609.0642199999998</v>
      </c>
      <c r="BM18" s="33">
        <f t="shared" si="22"/>
        <v>2609.0642199999998</v>
      </c>
      <c r="BN18" s="20">
        <f t="shared" si="72"/>
        <v>637.5515571999999</v>
      </c>
      <c r="BO18" s="51">
        <f t="shared" si="73"/>
        <v>413.24378559999997</v>
      </c>
      <c r="BQ18" s="51"/>
      <c r="BR18" s="51">
        <f t="shared" si="23"/>
        <v>7439.062679999999</v>
      </c>
      <c r="BS18" s="33">
        <f t="shared" si="24"/>
        <v>7439.062679999999</v>
      </c>
      <c r="BT18" s="20">
        <f t="shared" si="75"/>
        <v>1817.8111368</v>
      </c>
      <c r="BU18" s="51">
        <f t="shared" si="76"/>
        <v>1178.2563264</v>
      </c>
      <c r="BX18" s="33">
        <f t="shared" si="25"/>
        <v>3495.36103</v>
      </c>
      <c r="BY18" s="33">
        <f t="shared" si="26"/>
        <v>3495.36103</v>
      </c>
      <c r="BZ18" s="20">
        <f t="shared" si="78"/>
        <v>854.1272578</v>
      </c>
      <c r="CA18" s="51">
        <f t="shared" si="79"/>
        <v>553.6223344</v>
      </c>
      <c r="CD18" s="33">
        <f t="shared" si="27"/>
        <v>2529.7043099999996</v>
      </c>
      <c r="CE18" s="33">
        <f t="shared" si="28"/>
        <v>2529.7043099999996</v>
      </c>
      <c r="CF18" s="20">
        <f t="shared" si="81"/>
        <v>618.1591506000001</v>
      </c>
      <c r="CG18" s="51">
        <f t="shared" si="82"/>
        <v>400.6741488</v>
      </c>
      <c r="CJ18" s="33">
        <f t="shared" si="29"/>
        <v>3641.12413</v>
      </c>
      <c r="CK18" s="33">
        <f t="shared" si="30"/>
        <v>3641.12413</v>
      </c>
      <c r="CL18" s="20">
        <f t="shared" si="84"/>
        <v>889.7459638</v>
      </c>
      <c r="CM18" s="51">
        <f t="shared" si="85"/>
        <v>576.7094224</v>
      </c>
      <c r="CP18" s="33">
        <f t="shared" si="31"/>
        <v>748.91747</v>
      </c>
      <c r="CQ18" s="33">
        <f t="shared" si="32"/>
        <v>748.91747</v>
      </c>
      <c r="CR18" s="20">
        <f t="shared" si="109"/>
        <v>183.0056522</v>
      </c>
      <c r="CS18" s="51">
        <f t="shared" si="87"/>
        <v>118.6193456</v>
      </c>
      <c r="CV18" s="33">
        <f t="shared" si="33"/>
        <v>2841.2372100000002</v>
      </c>
      <c r="CW18" s="33">
        <f t="shared" si="34"/>
        <v>2841.2372100000002</v>
      </c>
      <c r="CX18" s="20">
        <f t="shared" si="89"/>
        <v>694.2854046</v>
      </c>
      <c r="CY18" s="51">
        <f t="shared" si="90"/>
        <v>450.0171408</v>
      </c>
      <c r="DB18" s="33">
        <f t="shared" si="35"/>
        <v>708.71353</v>
      </c>
      <c r="DC18" s="33">
        <f t="shared" si="36"/>
        <v>708.71353</v>
      </c>
      <c r="DD18" s="20">
        <f t="shared" si="92"/>
        <v>173.18140780000002</v>
      </c>
      <c r="DE18" s="51">
        <f t="shared" si="93"/>
        <v>112.25153440000001</v>
      </c>
      <c r="DH18" s="33">
        <f t="shared" si="37"/>
        <v>2847.7155700000003</v>
      </c>
      <c r="DI18" s="33">
        <f t="shared" si="38"/>
        <v>2847.7155700000003</v>
      </c>
      <c r="DJ18" s="20">
        <f t="shared" si="95"/>
        <v>695.8684582000001</v>
      </c>
      <c r="DK18" s="51">
        <f t="shared" si="96"/>
        <v>451.0432336</v>
      </c>
      <c r="DN18" s="33">
        <f t="shared" si="39"/>
        <v>15938.004110000002</v>
      </c>
      <c r="DO18" s="33">
        <f t="shared" si="40"/>
        <v>15938.004110000002</v>
      </c>
      <c r="DP18" s="20">
        <f t="shared" si="98"/>
        <v>3894.6144986</v>
      </c>
      <c r="DQ18" s="51">
        <f t="shared" si="99"/>
        <v>2524.3844528</v>
      </c>
      <c r="DT18" s="33">
        <f t="shared" si="41"/>
        <v>46.301219999999994</v>
      </c>
      <c r="DU18" s="33">
        <f t="shared" si="42"/>
        <v>46.301219999999994</v>
      </c>
      <c r="DV18" s="20">
        <f t="shared" si="101"/>
        <v>11.314177200000001</v>
      </c>
      <c r="DW18" s="51">
        <f t="shared" si="102"/>
        <v>7.333545600000001</v>
      </c>
      <c r="DZ18" s="33">
        <f t="shared" si="43"/>
        <v>3038.82719</v>
      </c>
      <c r="EA18" s="33">
        <f t="shared" si="44"/>
        <v>3038.82719</v>
      </c>
      <c r="EB18" s="20">
        <f t="shared" si="104"/>
        <v>742.5685394000001</v>
      </c>
      <c r="EC18" s="51">
        <f t="shared" si="105"/>
        <v>481.31297120000005</v>
      </c>
      <c r="EF18" s="33">
        <f t="shared" si="45"/>
        <v>2667.8458100000003</v>
      </c>
      <c r="EG18" s="33">
        <f t="shared" si="46"/>
        <v>2667.8458100000003</v>
      </c>
      <c r="EH18" s="20">
        <f t="shared" si="107"/>
        <v>651.9154406</v>
      </c>
      <c r="EI18" s="51">
        <f t="shared" si="108"/>
        <v>422.5540688</v>
      </c>
    </row>
    <row r="19" spans="1:139" ht="12">
      <c r="A19" s="52">
        <v>43922</v>
      </c>
      <c r="D19" s="35">
        <v>952700</v>
      </c>
      <c r="E19" s="35">
        <f t="shared" si="0"/>
        <v>952700</v>
      </c>
      <c r="F19" s="35">
        <v>232802</v>
      </c>
      <c r="G19" s="35">
        <v>150896</v>
      </c>
      <c r="I19" s="71">
        <f t="shared" si="47"/>
        <v>0</v>
      </c>
      <c r="J19" s="51">
        <f t="shared" si="1"/>
        <v>96526.23022000001</v>
      </c>
      <c r="K19" s="51">
        <f t="shared" si="2"/>
        <v>96526.23022000001</v>
      </c>
      <c r="L19" s="51">
        <f t="shared" si="3"/>
        <v>23587.172717200003</v>
      </c>
      <c r="M19" s="51">
        <f t="shared" si="3"/>
        <v>15288.5714656</v>
      </c>
      <c r="O19" s="33">
        <f t="shared" si="48"/>
        <v>0</v>
      </c>
      <c r="P19" s="33">
        <f t="shared" si="4"/>
        <v>9646.0875</v>
      </c>
      <c r="Q19" s="33">
        <f t="shared" si="5"/>
        <v>9646.0875</v>
      </c>
      <c r="R19" s="20">
        <f t="shared" si="49"/>
        <v>2357.12025</v>
      </c>
      <c r="S19" s="51">
        <f t="shared" si="50"/>
        <v>1527.8220000000001</v>
      </c>
      <c r="T19" s="20"/>
      <c r="U19" s="20">
        <f t="shared" si="51"/>
        <v>0</v>
      </c>
      <c r="V19" s="20">
        <f t="shared" si="6"/>
        <v>1240.9395537190085</v>
      </c>
      <c r="W19" s="20">
        <f t="shared" si="7"/>
        <v>1240.9395537190085</v>
      </c>
      <c r="X19" s="20">
        <f t="shared" si="52"/>
        <v>303.2362863282173</v>
      </c>
      <c r="Y19" s="51">
        <f t="shared" si="53"/>
        <v>196.5496115230225</v>
      </c>
      <c r="AA19" s="33">
        <f t="shared" si="54"/>
        <v>0</v>
      </c>
      <c r="AB19" s="51">
        <f t="shared" si="8"/>
        <v>22640.343880000004</v>
      </c>
      <c r="AC19" s="51">
        <f t="shared" si="9"/>
        <v>22640.343880000004</v>
      </c>
      <c r="AD19" s="20">
        <f t="shared" si="55"/>
        <v>5532.399848800001</v>
      </c>
      <c r="AE19" s="51">
        <f t="shared" si="56"/>
        <v>3585.9529024000003</v>
      </c>
      <c r="AG19" s="33">
        <f t="shared" si="57"/>
        <v>0</v>
      </c>
      <c r="AH19" s="33">
        <f t="shared" si="10"/>
        <v>655.0765200000001</v>
      </c>
      <c r="AI19" s="33">
        <f t="shared" si="11"/>
        <v>655.0765200000001</v>
      </c>
      <c r="AJ19" s="20">
        <f t="shared" si="58"/>
        <v>160.0746552</v>
      </c>
      <c r="AK19" s="51">
        <f t="shared" si="59"/>
        <v>103.7560896</v>
      </c>
      <c r="AM19" s="33">
        <f t="shared" si="60"/>
        <v>0</v>
      </c>
      <c r="AN19" s="33">
        <f t="shared" si="12"/>
        <v>477.87432</v>
      </c>
      <c r="AO19" s="33">
        <f t="shared" si="13"/>
        <v>477.87432</v>
      </c>
      <c r="AP19" s="20">
        <f t="shared" si="61"/>
        <v>116.77348320000002</v>
      </c>
      <c r="AQ19" s="51">
        <f t="shared" si="62"/>
        <v>75.6894336</v>
      </c>
      <c r="AS19" s="33">
        <f t="shared" si="63"/>
        <v>0</v>
      </c>
      <c r="AT19" s="33">
        <f t="shared" si="14"/>
        <v>6668.9</v>
      </c>
      <c r="AU19" s="33">
        <f t="shared" si="15"/>
        <v>6668.9</v>
      </c>
      <c r="AV19" s="20">
        <f t="shared" si="64"/>
        <v>1629.614</v>
      </c>
      <c r="AW19" s="51">
        <f t="shared" si="65"/>
        <v>1056.272</v>
      </c>
      <c r="AY19" s="33">
        <f t="shared" si="66"/>
        <v>0</v>
      </c>
      <c r="AZ19" s="33">
        <f t="shared" si="16"/>
        <v>4932.794789999999</v>
      </c>
      <c r="BA19" s="33">
        <f t="shared" si="17"/>
        <v>4932.794789999999</v>
      </c>
      <c r="BB19" s="20">
        <f t="shared" si="67"/>
        <v>1205.3789154</v>
      </c>
      <c r="BC19" s="51">
        <f t="shared" si="68"/>
        <v>781.2942192</v>
      </c>
      <c r="BD19" s="20"/>
      <c r="BE19" s="20">
        <f t="shared" si="18"/>
        <v>0</v>
      </c>
      <c r="BF19" s="20">
        <f t="shared" si="19"/>
        <v>1712.3351762809914</v>
      </c>
      <c r="BG19" s="20">
        <f t="shared" si="20"/>
        <v>1712.3351762809914</v>
      </c>
      <c r="BH19" s="20">
        <f t="shared" si="69"/>
        <v>418.4266334717827</v>
      </c>
      <c r="BI19" s="51">
        <f t="shared" si="70"/>
        <v>271.21289887697753</v>
      </c>
      <c r="BK19" s="51">
        <f t="shared" si="71"/>
        <v>0</v>
      </c>
      <c r="BL19" s="51">
        <f t="shared" si="21"/>
        <v>2609.0642199999998</v>
      </c>
      <c r="BM19" s="33">
        <f t="shared" si="22"/>
        <v>2609.0642199999998</v>
      </c>
      <c r="BN19" s="20">
        <f t="shared" si="72"/>
        <v>637.5515571999999</v>
      </c>
      <c r="BO19" s="51">
        <f t="shared" si="73"/>
        <v>413.24378559999997</v>
      </c>
      <c r="BQ19" s="51">
        <f t="shared" si="74"/>
        <v>0</v>
      </c>
      <c r="BR19" s="51">
        <f t="shared" si="23"/>
        <v>7439.062679999999</v>
      </c>
      <c r="BS19" s="33">
        <f t="shared" si="24"/>
        <v>7439.062679999999</v>
      </c>
      <c r="BT19" s="20">
        <f t="shared" si="75"/>
        <v>1817.8111368</v>
      </c>
      <c r="BU19" s="51">
        <f t="shared" si="76"/>
        <v>1178.2563264</v>
      </c>
      <c r="BW19" s="33">
        <f t="shared" si="77"/>
        <v>0</v>
      </c>
      <c r="BX19" s="33">
        <f t="shared" si="25"/>
        <v>3495.36103</v>
      </c>
      <c r="BY19" s="33">
        <f t="shared" si="26"/>
        <v>3495.36103</v>
      </c>
      <c r="BZ19" s="20">
        <f t="shared" si="78"/>
        <v>854.1272578</v>
      </c>
      <c r="CA19" s="51">
        <f t="shared" si="79"/>
        <v>553.6223344</v>
      </c>
      <c r="CC19" s="33">
        <f t="shared" si="80"/>
        <v>0</v>
      </c>
      <c r="CD19" s="33">
        <f t="shared" si="27"/>
        <v>2529.7043099999996</v>
      </c>
      <c r="CE19" s="33">
        <f t="shared" si="28"/>
        <v>2529.7043099999996</v>
      </c>
      <c r="CF19" s="20">
        <f t="shared" si="81"/>
        <v>618.1591506000001</v>
      </c>
      <c r="CG19" s="51">
        <f t="shared" si="82"/>
        <v>400.6741488</v>
      </c>
      <c r="CI19" s="33">
        <f t="shared" si="83"/>
        <v>0</v>
      </c>
      <c r="CJ19" s="33">
        <f t="shared" si="29"/>
        <v>3641.12413</v>
      </c>
      <c r="CK19" s="33">
        <f t="shared" si="30"/>
        <v>3641.12413</v>
      </c>
      <c r="CL19" s="20">
        <f t="shared" si="84"/>
        <v>889.7459638</v>
      </c>
      <c r="CM19" s="51">
        <f t="shared" si="85"/>
        <v>576.7094224</v>
      </c>
      <c r="CO19" s="33">
        <f t="shared" si="86"/>
        <v>0</v>
      </c>
      <c r="CP19" s="33">
        <f t="shared" si="31"/>
        <v>748.91747</v>
      </c>
      <c r="CQ19" s="33">
        <f t="shared" si="32"/>
        <v>748.91747</v>
      </c>
      <c r="CR19" s="20">
        <f t="shared" si="109"/>
        <v>183.0056522</v>
      </c>
      <c r="CS19" s="51">
        <f t="shared" si="87"/>
        <v>118.6193456</v>
      </c>
      <c r="CU19" s="33">
        <f t="shared" si="88"/>
        <v>0</v>
      </c>
      <c r="CV19" s="33">
        <f t="shared" si="33"/>
        <v>2841.2372100000002</v>
      </c>
      <c r="CW19" s="33">
        <f t="shared" si="34"/>
        <v>2841.2372100000002</v>
      </c>
      <c r="CX19" s="20">
        <f t="shared" si="89"/>
        <v>694.2854046</v>
      </c>
      <c r="CY19" s="51">
        <f t="shared" si="90"/>
        <v>450.0171408</v>
      </c>
      <c r="DA19" s="33">
        <f t="shared" si="91"/>
        <v>0</v>
      </c>
      <c r="DB19" s="33">
        <f t="shared" si="35"/>
        <v>708.71353</v>
      </c>
      <c r="DC19" s="33">
        <f t="shared" si="36"/>
        <v>708.71353</v>
      </c>
      <c r="DD19" s="20">
        <f t="shared" si="92"/>
        <v>173.18140780000002</v>
      </c>
      <c r="DE19" s="51">
        <f t="shared" si="93"/>
        <v>112.25153440000001</v>
      </c>
      <c r="DG19" s="33">
        <f t="shared" si="94"/>
        <v>0</v>
      </c>
      <c r="DH19" s="33">
        <f t="shared" si="37"/>
        <v>2847.7155700000003</v>
      </c>
      <c r="DI19" s="33">
        <f t="shared" si="38"/>
        <v>2847.7155700000003</v>
      </c>
      <c r="DJ19" s="20">
        <f t="shared" si="95"/>
        <v>695.8684582000001</v>
      </c>
      <c r="DK19" s="51">
        <f t="shared" si="96"/>
        <v>451.0432336</v>
      </c>
      <c r="DM19" s="33">
        <f t="shared" si="97"/>
        <v>0</v>
      </c>
      <c r="DN19" s="33">
        <f t="shared" si="39"/>
        <v>15938.004110000002</v>
      </c>
      <c r="DO19" s="33">
        <f t="shared" si="40"/>
        <v>15938.004110000002</v>
      </c>
      <c r="DP19" s="20">
        <f t="shared" si="98"/>
        <v>3894.6144986</v>
      </c>
      <c r="DQ19" s="51">
        <f t="shared" si="99"/>
        <v>2524.3844528</v>
      </c>
      <c r="DS19" s="33">
        <f t="shared" si="100"/>
        <v>0</v>
      </c>
      <c r="DT19" s="33">
        <f t="shared" si="41"/>
        <v>46.301219999999994</v>
      </c>
      <c r="DU19" s="33">
        <f t="shared" si="42"/>
        <v>46.301219999999994</v>
      </c>
      <c r="DV19" s="20">
        <f t="shared" si="101"/>
        <v>11.314177200000001</v>
      </c>
      <c r="DW19" s="51">
        <f t="shared" si="102"/>
        <v>7.333545600000001</v>
      </c>
      <c r="DY19" s="33">
        <f t="shared" si="103"/>
        <v>0</v>
      </c>
      <c r="DZ19" s="33">
        <f t="shared" si="43"/>
        <v>3038.82719</v>
      </c>
      <c r="EA19" s="33">
        <f t="shared" si="44"/>
        <v>3038.82719</v>
      </c>
      <c r="EB19" s="20">
        <f t="shared" si="104"/>
        <v>742.5685394000001</v>
      </c>
      <c r="EC19" s="51">
        <f t="shared" si="105"/>
        <v>481.31297120000005</v>
      </c>
      <c r="EE19" s="33">
        <f t="shared" si="106"/>
        <v>0</v>
      </c>
      <c r="EF19" s="33">
        <f t="shared" si="45"/>
        <v>2667.8458100000003</v>
      </c>
      <c r="EG19" s="33">
        <f t="shared" si="46"/>
        <v>2667.8458100000003</v>
      </c>
      <c r="EH19" s="20">
        <f t="shared" si="107"/>
        <v>651.9154406</v>
      </c>
      <c r="EI19" s="51">
        <f t="shared" si="108"/>
        <v>422.5540688</v>
      </c>
    </row>
    <row r="20" spans="1:139" ht="12">
      <c r="A20" s="52">
        <v>44105</v>
      </c>
      <c r="D20" s="35">
        <v>952700</v>
      </c>
      <c r="E20" s="35">
        <f t="shared" si="0"/>
        <v>952700</v>
      </c>
      <c r="F20" s="35">
        <v>232802</v>
      </c>
      <c r="G20" s="35">
        <v>150896</v>
      </c>
      <c r="I20" s="71"/>
      <c r="J20" s="51">
        <f t="shared" si="1"/>
        <v>96526.23022000001</v>
      </c>
      <c r="K20" s="51">
        <f t="shared" si="2"/>
        <v>96526.23022000001</v>
      </c>
      <c r="L20" s="51">
        <f t="shared" si="3"/>
        <v>23587.172717200003</v>
      </c>
      <c r="M20" s="51">
        <f t="shared" si="3"/>
        <v>15288.5714656</v>
      </c>
      <c r="P20" s="33">
        <f t="shared" si="4"/>
        <v>9646.0875</v>
      </c>
      <c r="Q20" s="33">
        <f t="shared" si="5"/>
        <v>9646.0875</v>
      </c>
      <c r="R20" s="20">
        <f t="shared" si="49"/>
        <v>2357.12025</v>
      </c>
      <c r="S20" s="51">
        <f t="shared" si="50"/>
        <v>1527.8220000000001</v>
      </c>
      <c r="T20" s="20"/>
      <c r="U20" s="20">
        <f t="shared" si="51"/>
        <v>0</v>
      </c>
      <c r="V20" s="20">
        <f t="shared" si="6"/>
        <v>1240.9395537190085</v>
      </c>
      <c r="W20" s="20">
        <f t="shared" si="7"/>
        <v>1240.9395537190085</v>
      </c>
      <c r="X20" s="20">
        <f t="shared" si="52"/>
        <v>303.2362863282173</v>
      </c>
      <c r="Y20" s="51">
        <f t="shared" si="53"/>
        <v>196.5496115230225</v>
      </c>
      <c r="AB20" s="51">
        <f t="shared" si="8"/>
        <v>22640.343880000004</v>
      </c>
      <c r="AC20" s="51">
        <f t="shared" si="9"/>
        <v>22640.343880000004</v>
      </c>
      <c r="AD20" s="20">
        <f t="shared" si="55"/>
        <v>5532.399848800001</v>
      </c>
      <c r="AE20" s="51">
        <f t="shared" si="56"/>
        <v>3585.9529024000003</v>
      </c>
      <c r="AH20" s="33">
        <f t="shared" si="10"/>
        <v>655.0765200000001</v>
      </c>
      <c r="AI20" s="33">
        <f t="shared" si="11"/>
        <v>655.0765200000001</v>
      </c>
      <c r="AJ20" s="20">
        <f t="shared" si="58"/>
        <v>160.0746552</v>
      </c>
      <c r="AK20" s="51">
        <f t="shared" si="59"/>
        <v>103.7560896</v>
      </c>
      <c r="AN20" s="33">
        <f t="shared" si="12"/>
        <v>477.87432</v>
      </c>
      <c r="AO20" s="33">
        <f t="shared" si="13"/>
        <v>477.87432</v>
      </c>
      <c r="AP20" s="20">
        <f t="shared" si="61"/>
        <v>116.77348320000002</v>
      </c>
      <c r="AQ20" s="51">
        <f t="shared" si="62"/>
        <v>75.6894336</v>
      </c>
      <c r="AT20" s="33">
        <f t="shared" si="14"/>
        <v>6668.9</v>
      </c>
      <c r="AU20" s="33">
        <f t="shared" si="15"/>
        <v>6668.9</v>
      </c>
      <c r="AV20" s="20">
        <f t="shared" si="64"/>
        <v>1629.614</v>
      </c>
      <c r="AW20" s="51">
        <f t="shared" si="65"/>
        <v>1056.272</v>
      </c>
      <c r="AZ20" s="33">
        <f t="shared" si="16"/>
        <v>4932.794789999999</v>
      </c>
      <c r="BA20" s="33">
        <f t="shared" si="17"/>
        <v>4932.794789999999</v>
      </c>
      <c r="BB20" s="20">
        <f t="shared" si="67"/>
        <v>1205.3789154</v>
      </c>
      <c r="BC20" s="51">
        <f t="shared" si="68"/>
        <v>781.2942192</v>
      </c>
      <c r="BD20" s="20"/>
      <c r="BE20" s="20">
        <f t="shared" si="18"/>
        <v>0</v>
      </c>
      <c r="BF20" s="20">
        <f t="shared" si="19"/>
        <v>1712.3351762809914</v>
      </c>
      <c r="BG20" s="20">
        <f t="shared" si="20"/>
        <v>1712.3351762809914</v>
      </c>
      <c r="BH20" s="20">
        <f t="shared" si="69"/>
        <v>418.4266334717827</v>
      </c>
      <c r="BI20" s="51">
        <f t="shared" si="70"/>
        <v>271.21289887697753</v>
      </c>
      <c r="BK20" s="51"/>
      <c r="BL20" s="51">
        <f t="shared" si="21"/>
        <v>2609.0642199999998</v>
      </c>
      <c r="BM20" s="33">
        <f t="shared" si="22"/>
        <v>2609.0642199999998</v>
      </c>
      <c r="BN20" s="20">
        <f t="shared" si="72"/>
        <v>637.5515571999999</v>
      </c>
      <c r="BO20" s="51">
        <f t="shared" si="73"/>
        <v>413.24378559999997</v>
      </c>
      <c r="BQ20" s="51"/>
      <c r="BR20" s="51">
        <f t="shared" si="23"/>
        <v>7439.062679999999</v>
      </c>
      <c r="BS20" s="33">
        <f t="shared" si="24"/>
        <v>7439.062679999999</v>
      </c>
      <c r="BT20" s="20">
        <f t="shared" si="75"/>
        <v>1817.8111368</v>
      </c>
      <c r="BU20" s="51">
        <f t="shared" si="76"/>
        <v>1178.2563264</v>
      </c>
      <c r="BX20" s="33">
        <f t="shared" si="25"/>
        <v>3495.36103</v>
      </c>
      <c r="BY20" s="33">
        <f t="shared" si="26"/>
        <v>3495.36103</v>
      </c>
      <c r="BZ20" s="20">
        <f t="shared" si="78"/>
        <v>854.1272578</v>
      </c>
      <c r="CA20" s="51">
        <f t="shared" si="79"/>
        <v>553.6223344</v>
      </c>
      <c r="CD20" s="33">
        <f t="shared" si="27"/>
        <v>2529.7043099999996</v>
      </c>
      <c r="CE20" s="33">
        <f t="shared" si="28"/>
        <v>2529.7043099999996</v>
      </c>
      <c r="CF20" s="20">
        <f t="shared" si="81"/>
        <v>618.1591506000001</v>
      </c>
      <c r="CG20" s="51">
        <f t="shared" si="82"/>
        <v>400.6741488</v>
      </c>
      <c r="CJ20" s="33">
        <f t="shared" si="29"/>
        <v>3641.12413</v>
      </c>
      <c r="CK20" s="33">
        <f t="shared" si="30"/>
        <v>3641.12413</v>
      </c>
      <c r="CL20" s="20">
        <f t="shared" si="84"/>
        <v>889.7459638</v>
      </c>
      <c r="CM20" s="51">
        <f t="shared" si="85"/>
        <v>576.7094224</v>
      </c>
      <c r="CP20" s="33">
        <f t="shared" si="31"/>
        <v>748.91747</v>
      </c>
      <c r="CQ20" s="33">
        <f t="shared" si="32"/>
        <v>748.91747</v>
      </c>
      <c r="CR20" s="20">
        <f t="shared" si="109"/>
        <v>183.0056522</v>
      </c>
      <c r="CS20" s="51">
        <f t="shared" si="87"/>
        <v>118.6193456</v>
      </c>
      <c r="CV20" s="33">
        <f t="shared" si="33"/>
        <v>2841.2372100000002</v>
      </c>
      <c r="CW20" s="33">
        <f t="shared" si="34"/>
        <v>2841.2372100000002</v>
      </c>
      <c r="CX20" s="20">
        <f t="shared" si="89"/>
        <v>694.2854046</v>
      </c>
      <c r="CY20" s="51">
        <f t="shared" si="90"/>
        <v>450.0171408</v>
      </c>
      <c r="DB20" s="33">
        <f t="shared" si="35"/>
        <v>708.71353</v>
      </c>
      <c r="DC20" s="33">
        <f t="shared" si="36"/>
        <v>708.71353</v>
      </c>
      <c r="DD20" s="20">
        <f t="shared" si="92"/>
        <v>173.18140780000002</v>
      </c>
      <c r="DE20" s="51">
        <f t="shared" si="93"/>
        <v>112.25153440000001</v>
      </c>
      <c r="DH20" s="33">
        <f t="shared" si="37"/>
        <v>2847.7155700000003</v>
      </c>
      <c r="DI20" s="33">
        <f t="shared" si="38"/>
        <v>2847.7155700000003</v>
      </c>
      <c r="DJ20" s="20">
        <f t="shared" si="95"/>
        <v>695.8684582000001</v>
      </c>
      <c r="DK20" s="51">
        <f t="shared" si="96"/>
        <v>451.0432336</v>
      </c>
      <c r="DN20" s="33">
        <f t="shared" si="39"/>
        <v>15938.004110000002</v>
      </c>
      <c r="DO20" s="33">
        <f t="shared" si="40"/>
        <v>15938.004110000002</v>
      </c>
      <c r="DP20" s="20">
        <f t="shared" si="98"/>
        <v>3894.6144986</v>
      </c>
      <c r="DQ20" s="51">
        <f t="shared" si="99"/>
        <v>2524.3844528</v>
      </c>
      <c r="DT20" s="33">
        <f t="shared" si="41"/>
        <v>46.301219999999994</v>
      </c>
      <c r="DU20" s="33">
        <f t="shared" si="42"/>
        <v>46.301219999999994</v>
      </c>
      <c r="DV20" s="20">
        <f t="shared" si="101"/>
        <v>11.314177200000001</v>
      </c>
      <c r="DW20" s="51">
        <f t="shared" si="102"/>
        <v>7.333545600000001</v>
      </c>
      <c r="DZ20" s="33">
        <f t="shared" si="43"/>
        <v>3038.82719</v>
      </c>
      <c r="EA20" s="33">
        <f t="shared" si="44"/>
        <v>3038.82719</v>
      </c>
      <c r="EB20" s="20">
        <f t="shared" si="104"/>
        <v>742.5685394000001</v>
      </c>
      <c r="EC20" s="51">
        <f t="shared" si="105"/>
        <v>481.31297120000005</v>
      </c>
      <c r="EF20" s="33">
        <f t="shared" si="45"/>
        <v>2667.8458100000003</v>
      </c>
      <c r="EG20" s="33">
        <f t="shared" si="46"/>
        <v>2667.8458100000003</v>
      </c>
      <c r="EH20" s="20">
        <f t="shared" si="107"/>
        <v>651.9154406</v>
      </c>
      <c r="EI20" s="51">
        <f t="shared" si="108"/>
        <v>422.5540688</v>
      </c>
    </row>
    <row r="21" spans="1:139" ht="12">
      <c r="A21" s="52">
        <v>44287</v>
      </c>
      <c r="C21" s="35">
        <v>4745000</v>
      </c>
      <c r="D21" s="35">
        <v>952700</v>
      </c>
      <c r="E21" s="35">
        <f t="shared" si="0"/>
        <v>5697700</v>
      </c>
      <c r="F21" s="35">
        <v>232802</v>
      </c>
      <c r="G21" s="35">
        <v>150896</v>
      </c>
      <c r="I21" s="71">
        <f t="shared" si="47"/>
        <v>480756.7570000001</v>
      </c>
      <c r="J21" s="51">
        <f t="shared" si="1"/>
        <v>96526.23022000001</v>
      </c>
      <c r="K21" s="51">
        <f t="shared" si="2"/>
        <v>577282.9872200001</v>
      </c>
      <c r="L21" s="51">
        <f t="shared" si="3"/>
        <v>23587.172717200003</v>
      </c>
      <c r="M21" s="51">
        <f t="shared" si="3"/>
        <v>15288.5714656</v>
      </c>
      <c r="O21" s="33">
        <f t="shared" si="48"/>
        <v>48043.125</v>
      </c>
      <c r="P21" s="33">
        <f t="shared" si="4"/>
        <v>9646.0875</v>
      </c>
      <c r="Q21" s="33">
        <f t="shared" si="5"/>
        <v>57689.2125</v>
      </c>
      <c r="R21" s="20">
        <f t="shared" si="49"/>
        <v>2357.12025</v>
      </c>
      <c r="S21" s="51">
        <f t="shared" si="50"/>
        <v>1527.8220000000001</v>
      </c>
      <c r="T21" s="20"/>
      <c r="U21" s="20">
        <f t="shared" si="51"/>
        <v>6180.600590318773</v>
      </c>
      <c r="V21" s="20">
        <f t="shared" si="6"/>
        <v>1240.9395537190085</v>
      </c>
      <c r="W21" s="20">
        <f t="shared" si="7"/>
        <v>7421.540144037782</v>
      </c>
      <c r="X21" s="20">
        <f t="shared" si="52"/>
        <v>303.2362863282173</v>
      </c>
      <c r="Y21" s="51">
        <f t="shared" si="53"/>
        <v>196.5496115230225</v>
      </c>
      <c r="AA21" s="33">
        <f t="shared" si="54"/>
        <v>112762.07800000001</v>
      </c>
      <c r="AB21" s="51">
        <f t="shared" si="8"/>
        <v>22640.343880000004</v>
      </c>
      <c r="AC21" s="51">
        <f t="shared" si="9"/>
        <v>135402.42188</v>
      </c>
      <c r="AD21" s="20">
        <f t="shared" si="55"/>
        <v>5532.399848800001</v>
      </c>
      <c r="AE21" s="51">
        <f t="shared" si="56"/>
        <v>3585.9529024000003</v>
      </c>
      <c r="AG21" s="33">
        <f t="shared" si="57"/>
        <v>3262.6620000000003</v>
      </c>
      <c r="AH21" s="33">
        <f t="shared" si="10"/>
        <v>655.0765200000001</v>
      </c>
      <c r="AI21" s="33">
        <f t="shared" si="11"/>
        <v>3917.7385200000003</v>
      </c>
      <c r="AJ21" s="20">
        <f t="shared" si="58"/>
        <v>160.0746552</v>
      </c>
      <c r="AK21" s="51">
        <f t="shared" si="59"/>
        <v>103.7560896</v>
      </c>
      <c r="AM21" s="33">
        <f t="shared" si="60"/>
        <v>2380.092</v>
      </c>
      <c r="AN21" s="33">
        <f t="shared" si="12"/>
        <v>477.87432</v>
      </c>
      <c r="AO21" s="33">
        <f t="shared" si="13"/>
        <v>2857.96632</v>
      </c>
      <c r="AP21" s="20">
        <f t="shared" si="61"/>
        <v>116.77348320000002</v>
      </c>
      <c r="AQ21" s="51">
        <f t="shared" si="62"/>
        <v>75.6894336</v>
      </c>
      <c r="AS21" s="33">
        <f t="shared" si="63"/>
        <v>33215</v>
      </c>
      <c r="AT21" s="33">
        <f t="shared" si="14"/>
        <v>6668.9</v>
      </c>
      <c r="AU21" s="33">
        <f t="shared" si="15"/>
        <v>39883.9</v>
      </c>
      <c r="AV21" s="20">
        <f t="shared" si="64"/>
        <v>1629.614</v>
      </c>
      <c r="AW21" s="51">
        <f t="shared" si="65"/>
        <v>1056.272</v>
      </c>
      <c r="AY21" s="33">
        <f t="shared" si="66"/>
        <v>24568.1865</v>
      </c>
      <c r="AZ21" s="33">
        <f t="shared" si="16"/>
        <v>4932.794789999999</v>
      </c>
      <c r="BA21" s="33">
        <f t="shared" si="17"/>
        <v>29500.98129</v>
      </c>
      <c r="BB21" s="20">
        <f t="shared" si="67"/>
        <v>1205.3789154</v>
      </c>
      <c r="BC21" s="51">
        <f t="shared" si="68"/>
        <v>781.2942192</v>
      </c>
      <c r="BD21" s="20"/>
      <c r="BE21" s="20">
        <f t="shared" si="18"/>
        <v>8528.424909681227</v>
      </c>
      <c r="BF21" s="20">
        <f t="shared" si="19"/>
        <v>1712.3351762809914</v>
      </c>
      <c r="BG21" s="20">
        <f t="shared" si="20"/>
        <v>10240.760085962218</v>
      </c>
      <c r="BH21" s="20">
        <f t="shared" si="69"/>
        <v>418.4266334717827</v>
      </c>
      <c r="BI21" s="51">
        <f t="shared" si="70"/>
        <v>271.21289887697753</v>
      </c>
      <c r="BK21" s="51">
        <f t="shared" si="71"/>
        <v>12994.657</v>
      </c>
      <c r="BL21" s="51">
        <f t="shared" si="21"/>
        <v>2609.0642199999998</v>
      </c>
      <c r="BM21" s="33">
        <f t="shared" si="22"/>
        <v>15603.72122</v>
      </c>
      <c r="BN21" s="20">
        <f t="shared" si="72"/>
        <v>637.5515571999999</v>
      </c>
      <c r="BO21" s="51">
        <f t="shared" si="73"/>
        <v>413.24378559999997</v>
      </c>
      <c r="BQ21" s="51">
        <f t="shared" si="74"/>
        <v>37050.858</v>
      </c>
      <c r="BR21" s="51">
        <f t="shared" si="23"/>
        <v>7439.062679999999</v>
      </c>
      <c r="BS21" s="33">
        <f t="shared" si="24"/>
        <v>44489.920679999996</v>
      </c>
      <c r="BT21" s="20">
        <f t="shared" si="75"/>
        <v>1817.8111368</v>
      </c>
      <c r="BU21" s="51">
        <f t="shared" si="76"/>
        <v>1178.2563264</v>
      </c>
      <c r="BW21" s="33">
        <f t="shared" si="77"/>
        <v>17408.930500000002</v>
      </c>
      <c r="BX21" s="33">
        <f t="shared" si="25"/>
        <v>3495.36103</v>
      </c>
      <c r="BY21" s="33">
        <f t="shared" si="26"/>
        <v>20904.291530000002</v>
      </c>
      <c r="BZ21" s="20">
        <f t="shared" si="78"/>
        <v>854.1272578</v>
      </c>
      <c r="CA21" s="51">
        <f t="shared" si="79"/>
        <v>553.6223344</v>
      </c>
      <c r="CC21" s="33">
        <f t="shared" si="80"/>
        <v>12599.3985</v>
      </c>
      <c r="CD21" s="33">
        <f t="shared" si="27"/>
        <v>2529.7043099999996</v>
      </c>
      <c r="CE21" s="33">
        <f t="shared" si="28"/>
        <v>15129.102809999998</v>
      </c>
      <c r="CF21" s="20">
        <f t="shared" si="81"/>
        <v>618.1591506000001</v>
      </c>
      <c r="CG21" s="51">
        <f t="shared" si="82"/>
        <v>400.6741488</v>
      </c>
      <c r="CI21" s="33">
        <f t="shared" si="83"/>
        <v>18134.9155</v>
      </c>
      <c r="CJ21" s="33">
        <f t="shared" si="29"/>
        <v>3641.12413</v>
      </c>
      <c r="CK21" s="33">
        <f t="shared" si="30"/>
        <v>21776.03963</v>
      </c>
      <c r="CL21" s="20">
        <f t="shared" si="84"/>
        <v>889.7459638</v>
      </c>
      <c r="CM21" s="51">
        <f t="shared" si="85"/>
        <v>576.7094224</v>
      </c>
      <c r="CO21" s="33">
        <f t="shared" si="86"/>
        <v>3730.0445</v>
      </c>
      <c r="CP21" s="33">
        <f t="shared" si="31"/>
        <v>748.91747</v>
      </c>
      <c r="CQ21" s="33">
        <f t="shared" si="32"/>
        <v>4478.96197</v>
      </c>
      <c r="CR21" s="20">
        <f t="shared" si="109"/>
        <v>183.0056522</v>
      </c>
      <c r="CS21" s="51">
        <f t="shared" si="87"/>
        <v>118.6193456</v>
      </c>
      <c r="CU21" s="33">
        <f t="shared" si="88"/>
        <v>14151.013500000001</v>
      </c>
      <c r="CV21" s="33">
        <f t="shared" si="33"/>
        <v>2841.2372100000002</v>
      </c>
      <c r="CW21" s="33">
        <f t="shared" si="34"/>
        <v>16992.25071</v>
      </c>
      <c r="CX21" s="20">
        <f t="shared" si="89"/>
        <v>694.2854046</v>
      </c>
      <c r="CY21" s="51">
        <f t="shared" si="90"/>
        <v>450.0171408</v>
      </c>
      <c r="DA21" s="33">
        <f t="shared" si="91"/>
        <v>3529.8055</v>
      </c>
      <c r="DB21" s="33">
        <f t="shared" si="35"/>
        <v>708.71353</v>
      </c>
      <c r="DC21" s="33">
        <f t="shared" si="36"/>
        <v>4238.5190299999995</v>
      </c>
      <c r="DD21" s="20">
        <f t="shared" si="92"/>
        <v>173.18140780000002</v>
      </c>
      <c r="DE21" s="51">
        <f t="shared" si="93"/>
        <v>112.25153440000001</v>
      </c>
      <c r="DG21" s="33">
        <f t="shared" si="94"/>
        <v>14183.279499999999</v>
      </c>
      <c r="DH21" s="33">
        <f t="shared" si="37"/>
        <v>2847.7155700000003</v>
      </c>
      <c r="DI21" s="33">
        <f t="shared" si="38"/>
        <v>17030.995069999997</v>
      </c>
      <c r="DJ21" s="20">
        <f t="shared" si="95"/>
        <v>695.8684582000001</v>
      </c>
      <c r="DK21" s="51">
        <f t="shared" si="96"/>
        <v>451.0432336</v>
      </c>
      <c r="DM21" s="33">
        <f t="shared" si="97"/>
        <v>79380.5285</v>
      </c>
      <c r="DN21" s="33">
        <f t="shared" si="39"/>
        <v>15938.004110000002</v>
      </c>
      <c r="DO21" s="33">
        <f t="shared" si="40"/>
        <v>95318.53261</v>
      </c>
      <c r="DP21" s="20">
        <f t="shared" si="98"/>
        <v>3894.6144986</v>
      </c>
      <c r="DQ21" s="51">
        <f t="shared" si="99"/>
        <v>2524.3844528</v>
      </c>
      <c r="DS21" s="33">
        <f t="shared" si="100"/>
        <v>230.60699999999997</v>
      </c>
      <c r="DT21" s="33">
        <f t="shared" si="41"/>
        <v>46.301219999999994</v>
      </c>
      <c r="DU21" s="33">
        <f t="shared" si="42"/>
        <v>276.90822</v>
      </c>
      <c r="DV21" s="20">
        <f t="shared" si="101"/>
        <v>11.314177200000001</v>
      </c>
      <c r="DW21" s="51">
        <f t="shared" si="102"/>
        <v>7.333545600000001</v>
      </c>
      <c r="DY21" s="33">
        <f t="shared" si="103"/>
        <v>15135.126499999998</v>
      </c>
      <c r="DZ21" s="33">
        <f t="shared" si="43"/>
        <v>3038.82719</v>
      </c>
      <c r="EA21" s="33">
        <f t="shared" si="44"/>
        <v>18173.95369</v>
      </c>
      <c r="EB21" s="20">
        <f t="shared" si="104"/>
        <v>742.5685394000001</v>
      </c>
      <c r="EC21" s="51">
        <f t="shared" si="105"/>
        <v>481.31297120000005</v>
      </c>
      <c r="EE21" s="33">
        <f t="shared" si="106"/>
        <v>13287.4235</v>
      </c>
      <c r="EF21" s="33">
        <f t="shared" si="45"/>
        <v>2667.8458100000003</v>
      </c>
      <c r="EG21" s="33">
        <f t="shared" si="46"/>
        <v>15955.269310000001</v>
      </c>
      <c r="EH21" s="20">
        <f t="shared" si="107"/>
        <v>651.9154406</v>
      </c>
      <c r="EI21" s="51">
        <f t="shared" si="108"/>
        <v>422.5540688</v>
      </c>
    </row>
    <row r="22" spans="1:139" ht="12">
      <c r="A22" s="52">
        <v>44470</v>
      </c>
      <c r="D22" s="35">
        <v>834075</v>
      </c>
      <c r="E22" s="35">
        <f t="shared" si="0"/>
        <v>834075</v>
      </c>
      <c r="F22" s="35">
        <v>232802</v>
      </c>
      <c r="G22" s="35">
        <v>150896</v>
      </c>
      <c r="I22" s="71"/>
      <c r="J22" s="51">
        <f t="shared" si="1"/>
        <v>84507.31129499999</v>
      </c>
      <c r="K22" s="51">
        <f t="shared" si="2"/>
        <v>84507.31129499999</v>
      </c>
      <c r="L22" s="51">
        <f t="shared" si="3"/>
        <v>23587.172717200003</v>
      </c>
      <c r="M22" s="51">
        <f t="shared" si="3"/>
        <v>15288.5714656</v>
      </c>
      <c r="P22" s="33">
        <f t="shared" si="4"/>
        <v>8445.009375</v>
      </c>
      <c r="Q22" s="33">
        <f t="shared" si="5"/>
        <v>8445.009375</v>
      </c>
      <c r="R22" s="20">
        <f t="shared" si="49"/>
        <v>2357.12025</v>
      </c>
      <c r="S22" s="51">
        <f t="shared" si="50"/>
        <v>1527.8220000000001</v>
      </c>
      <c r="T22" s="20"/>
      <c r="U22" s="20">
        <f t="shared" si="51"/>
        <v>0</v>
      </c>
      <c r="V22" s="20">
        <f t="shared" si="6"/>
        <v>1086.4245389610392</v>
      </c>
      <c r="W22" s="20">
        <f t="shared" si="7"/>
        <v>1086.4245389610392</v>
      </c>
      <c r="X22" s="20">
        <f t="shared" si="52"/>
        <v>303.2362863282173</v>
      </c>
      <c r="Y22" s="51">
        <f t="shared" si="53"/>
        <v>196.5496115230225</v>
      </c>
      <c r="AB22" s="51">
        <f t="shared" si="8"/>
        <v>19821.291930000003</v>
      </c>
      <c r="AC22" s="51">
        <f t="shared" si="9"/>
        <v>19821.291930000003</v>
      </c>
      <c r="AD22" s="20">
        <f t="shared" si="55"/>
        <v>5532.399848800001</v>
      </c>
      <c r="AE22" s="51">
        <f t="shared" si="56"/>
        <v>3585.9529024000003</v>
      </c>
      <c r="AH22" s="33">
        <f t="shared" si="10"/>
        <v>573.5099700000001</v>
      </c>
      <c r="AI22" s="33">
        <f t="shared" si="11"/>
        <v>573.5099700000001</v>
      </c>
      <c r="AJ22" s="20">
        <f t="shared" si="58"/>
        <v>160.0746552</v>
      </c>
      <c r="AK22" s="51">
        <f t="shared" si="59"/>
        <v>103.7560896</v>
      </c>
      <c r="AN22" s="33">
        <f t="shared" si="12"/>
        <v>418.37202</v>
      </c>
      <c r="AO22" s="33">
        <f t="shared" si="13"/>
        <v>418.37202</v>
      </c>
      <c r="AP22" s="20">
        <f t="shared" si="61"/>
        <v>116.77348320000002</v>
      </c>
      <c r="AQ22" s="51">
        <f t="shared" si="62"/>
        <v>75.6894336</v>
      </c>
      <c r="AT22" s="33">
        <f t="shared" si="14"/>
        <v>5838.525</v>
      </c>
      <c r="AU22" s="33">
        <f t="shared" si="15"/>
        <v>5838.525</v>
      </c>
      <c r="AV22" s="20">
        <f t="shared" si="64"/>
        <v>1629.614</v>
      </c>
      <c r="AW22" s="51">
        <f t="shared" si="65"/>
        <v>1056.272</v>
      </c>
      <c r="AZ22" s="33">
        <f t="shared" si="16"/>
        <v>4318.5901275</v>
      </c>
      <c r="BA22" s="33">
        <f t="shared" si="17"/>
        <v>4318.5901275</v>
      </c>
      <c r="BB22" s="20">
        <f t="shared" si="67"/>
        <v>1205.3789154</v>
      </c>
      <c r="BC22" s="51">
        <f t="shared" si="68"/>
        <v>781.2942192</v>
      </c>
      <c r="BD22" s="20"/>
      <c r="BE22" s="20">
        <f t="shared" si="18"/>
        <v>0</v>
      </c>
      <c r="BF22" s="20">
        <f t="shared" si="19"/>
        <v>1499.1245535389608</v>
      </c>
      <c r="BG22" s="20">
        <f t="shared" si="20"/>
        <v>1499.1245535389608</v>
      </c>
      <c r="BH22" s="20">
        <f t="shared" si="69"/>
        <v>418.4266334717827</v>
      </c>
      <c r="BI22" s="51">
        <f t="shared" si="70"/>
        <v>271.21289887697753</v>
      </c>
      <c r="BK22" s="51"/>
      <c r="BL22" s="51">
        <f t="shared" si="21"/>
        <v>2284.197795</v>
      </c>
      <c r="BM22" s="33">
        <f t="shared" si="22"/>
        <v>2284.197795</v>
      </c>
      <c r="BN22" s="20">
        <f t="shared" si="72"/>
        <v>637.5515571999999</v>
      </c>
      <c r="BO22" s="51">
        <f t="shared" si="73"/>
        <v>413.24378559999997</v>
      </c>
      <c r="BQ22" s="51"/>
      <c r="BR22" s="51">
        <f t="shared" si="23"/>
        <v>6512.79123</v>
      </c>
      <c r="BS22" s="33">
        <f t="shared" si="24"/>
        <v>6512.79123</v>
      </c>
      <c r="BT22" s="20">
        <f t="shared" si="75"/>
        <v>1817.8111368</v>
      </c>
      <c r="BU22" s="51">
        <f t="shared" si="76"/>
        <v>1178.2563264</v>
      </c>
      <c r="BX22" s="33">
        <f t="shared" si="25"/>
        <v>3060.1377675000003</v>
      </c>
      <c r="BY22" s="33">
        <f t="shared" si="26"/>
        <v>3060.1377675000003</v>
      </c>
      <c r="BZ22" s="20">
        <f t="shared" si="78"/>
        <v>854.1272578</v>
      </c>
      <c r="CA22" s="51">
        <f t="shared" si="79"/>
        <v>553.6223344</v>
      </c>
      <c r="CD22" s="33">
        <f t="shared" si="27"/>
        <v>2214.7193475</v>
      </c>
      <c r="CE22" s="33">
        <f t="shared" si="28"/>
        <v>2214.7193475</v>
      </c>
      <c r="CF22" s="20">
        <f t="shared" si="81"/>
        <v>618.1591506000001</v>
      </c>
      <c r="CG22" s="51">
        <f t="shared" si="82"/>
        <v>400.6741488</v>
      </c>
      <c r="CJ22" s="33">
        <f t="shared" si="29"/>
        <v>3187.7512425</v>
      </c>
      <c r="CK22" s="33">
        <f t="shared" si="30"/>
        <v>3187.7512425</v>
      </c>
      <c r="CL22" s="20">
        <f t="shared" si="84"/>
        <v>889.7459638</v>
      </c>
      <c r="CM22" s="51">
        <f t="shared" si="85"/>
        <v>576.7094224</v>
      </c>
      <c r="CP22" s="33">
        <f t="shared" si="31"/>
        <v>655.6663575</v>
      </c>
      <c r="CQ22" s="33">
        <f t="shared" si="32"/>
        <v>655.6663575</v>
      </c>
      <c r="CR22" s="20">
        <f t="shared" si="109"/>
        <v>183.0056522</v>
      </c>
      <c r="CS22" s="51">
        <f t="shared" si="87"/>
        <v>118.6193456</v>
      </c>
      <c r="CV22" s="33">
        <f t="shared" si="33"/>
        <v>2487.4618725</v>
      </c>
      <c r="CW22" s="33">
        <f t="shared" si="34"/>
        <v>2487.4618725</v>
      </c>
      <c r="CX22" s="20">
        <f t="shared" si="89"/>
        <v>694.2854046</v>
      </c>
      <c r="CY22" s="51">
        <f t="shared" si="90"/>
        <v>450.0171408</v>
      </c>
      <c r="DB22" s="33">
        <f t="shared" si="35"/>
        <v>620.4683924999999</v>
      </c>
      <c r="DC22" s="33">
        <f t="shared" si="36"/>
        <v>620.4683924999999</v>
      </c>
      <c r="DD22" s="20">
        <f t="shared" si="92"/>
        <v>173.18140780000002</v>
      </c>
      <c r="DE22" s="51">
        <f t="shared" si="93"/>
        <v>112.25153440000001</v>
      </c>
      <c r="DH22" s="33">
        <f t="shared" si="37"/>
        <v>2493.1335825</v>
      </c>
      <c r="DI22" s="33">
        <f t="shared" si="38"/>
        <v>2493.1335825</v>
      </c>
      <c r="DJ22" s="20">
        <f t="shared" si="95"/>
        <v>695.8684582000001</v>
      </c>
      <c r="DK22" s="51">
        <f t="shared" si="96"/>
        <v>451.0432336</v>
      </c>
      <c r="DN22" s="33">
        <f t="shared" si="39"/>
        <v>13953.4908975</v>
      </c>
      <c r="DO22" s="33">
        <f t="shared" si="40"/>
        <v>13953.4908975</v>
      </c>
      <c r="DP22" s="20">
        <f t="shared" si="98"/>
        <v>3894.6144986</v>
      </c>
      <c r="DQ22" s="51">
        <f t="shared" si="99"/>
        <v>2524.3844528</v>
      </c>
      <c r="DT22" s="33">
        <f t="shared" si="41"/>
        <v>40.536045</v>
      </c>
      <c r="DU22" s="33">
        <f t="shared" si="42"/>
        <v>40.536045</v>
      </c>
      <c r="DV22" s="20">
        <f t="shared" si="101"/>
        <v>11.314177200000001</v>
      </c>
      <c r="DW22" s="51">
        <f t="shared" si="102"/>
        <v>7.333545600000001</v>
      </c>
      <c r="DZ22" s="33">
        <f t="shared" si="43"/>
        <v>2660.4490275000003</v>
      </c>
      <c r="EA22" s="33">
        <f t="shared" si="44"/>
        <v>2660.4490275000003</v>
      </c>
      <c r="EB22" s="20">
        <f t="shared" si="104"/>
        <v>742.5685394000001</v>
      </c>
      <c r="EC22" s="51">
        <f t="shared" si="105"/>
        <v>481.31297120000005</v>
      </c>
      <c r="EF22" s="33">
        <f t="shared" si="45"/>
        <v>2335.6602225</v>
      </c>
      <c r="EG22" s="33">
        <f t="shared" si="46"/>
        <v>2335.6602225</v>
      </c>
      <c r="EH22" s="20">
        <f t="shared" si="107"/>
        <v>651.9154406</v>
      </c>
      <c r="EI22" s="51">
        <f t="shared" si="108"/>
        <v>422.5540688</v>
      </c>
    </row>
    <row r="23" spans="1:139" ht="12">
      <c r="A23" s="52">
        <v>44652</v>
      </c>
      <c r="B23" s="53"/>
      <c r="C23" s="41">
        <v>4985000</v>
      </c>
      <c r="D23" s="41">
        <v>834075</v>
      </c>
      <c r="E23" s="35">
        <f t="shared" si="0"/>
        <v>5819075</v>
      </c>
      <c r="F23" s="35">
        <v>232802</v>
      </c>
      <c r="G23" s="35">
        <v>150896</v>
      </c>
      <c r="I23" s="71">
        <f t="shared" si="47"/>
        <v>505073.2209999999</v>
      </c>
      <c r="J23" s="51">
        <f t="shared" si="1"/>
        <v>84507.31129499999</v>
      </c>
      <c r="K23" s="51">
        <f t="shared" si="2"/>
        <v>589580.5322949999</v>
      </c>
      <c r="L23" s="51">
        <f t="shared" si="3"/>
        <v>23587.172717200003</v>
      </c>
      <c r="M23" s="51">
        <f t="shared" si="3"/>
        <v>15288.5714656</v>
      </c>
      <c r="O23" s="33">
        <f t="shared" si="48"/>
        <v>50473.125</v>
      </c>
      <c r="P23" s="33">
        <f t="shared" si="4"/>
        <v>8445.009375</v>
      </c>
      <c r="Q23" s="33">
        <f t="shared" si="5"/>
        <v>58918.134375</v>
      </c>
      <c r="R23" s="20">
        <f t="shared" si="49"/>
        <v>2357.12025</v>
      </c>
      <c r="S23" s="51">
        <f t="shared" si="50"/>
        <v>1527.8220000000001</v>
      </c>
      <c r="T23" s="20"/>
      <c r="U23" s="20">
        <f t="shared" si="51"/>
        <v>6493.2126328217255</v>
      </c>
      <c r="V23" s="20">
        <f t="shared" si="6"/>
        <v>1086.4245389610392</v>
      </c>
      <c r="W23" s="20">
        <f t="shared" si="7"/>
        <v>7579.637171782764</v>
      </c>
      <c r="X23" s="20">
        <f t="shared" si="52"/>
        <v>303.2362863282173</v>
      </c>
      <c r="Y23" s="51">
        <f t="shared" si="53"/>
        <v>196.5496115230225</v>
      </c>
      <c r="AA23" s="33">
        <f t="shared" si="54"/>
        <v>118465.534</v>
      </c>
      <c r="AB23" s="51">
        <f t="shared" si="8"/>
        <v>19821.291930000003</v>
      </c>
      <c r="AC23" s="51">
        <f t="shared" si="9"/>
        <v>138286.82593</v>
      </c>
      <c r="AD23" s="20">
        <f t="shared" si="55"/>
        <v>5532.399848800001</v>
      </c>
      <c r="AE23" s="51">
        <f t="shared" si="56"/>
        <v>3585.9529024000003</v>
      </c>
      <c r="AG23" s="33">
        <f t="shared" si="57"/>
        <v>3427.686</v>
      </c>
      <c r="AH23" s="33">
        <f t="shared" si="10"/>
        <v>573.5099700000001</v>
      </c>
      <c r="AI23" s="33">
        <f t="shared" si="11"/>
        <v>4001.19597</v>
      </c>
      <c r="AJ23" s="20">
        <f t="shared" si="58"/>
        <v>160.0746552</v>
      </c>
      <c r="AK23" s="51">
        <f t="shared" si="59"/>
        <v>103.7560896</v>
      </c>
      <c r="AM23" s="33">
        <f t="shared" si="60"/>
        <v>2500.476</v>
      </c>
      <c r="AN23" s="33">
        <f t="shared" si="12"/>
        <v>418.37202</v>
      </c>
      <c r="AO23" s="33">
        <f t="shared" si="13"/>
        <v>2918.8480200000004</v>
      </c>
      <c r="AP23" s="20">
        <f t="shared" si="61"/>
        <v>116.77348320000002</v>
      </c>
      <c r="AQ23" s="51">
        <f t="shared" si="62"/>
        <v>75.6894336</v>
      </c>
      <c r="AS23" s="33">
        <f t="shared" si="63"/>
        <v>34895</v>
      </c>
      <c r="AT23" s="33">
        <f t="shared" si="14"/>
        <v>5838.525</v>
      </c>
      <c r="AU23" s="33">
        <f t="shared" si="15"/>
        <v>40733.525</v>
      </c>
      <c r="AV23" s="20">
        <f t="shared" si="64"/>
        <v>1629.614</v>
      </c>
      <c r="AW23" s="51">
        <f t="shared" si="65"/>
        <v>1056.272</v>
      </c>
      <c r="AY23" s="33">
        <f t="shared" si="66"/>
        <v>25810.834499999997</v>
      </c>
      <c r="AZ23" s="33">
        <f t="shared" si="16"/>
        <v>4318.5901275</v>
      </c>
      <c r="BA23" s="33">
        <f t="shared" si="17"/>
        <v>30129.424627499997</v>
      </c>
      <c r="BB23" s="20">
        <f t="shared" si="67"/>
        <v>1205.3789154</v>
      </c>
      <c r="BC23" s="51">
        <f t="shared" si="68"/>
        <v>781.2942192</v>
      </c>
      <c r="BD23" s="20"/>
      <c r="BE23" s="20">
        <f t="shared" si="18"/>
        <v>8959.788867178275</v>
      </c>
      <c r="BF23" s="20">
        <f t="shared" si="19"/>
        <v>1499.1245535389608</v>
      </c>
      <c r="BG23" s="20">
        <f t="shared" si="20"/>
        <v>10458.913420717236</v>
      </c>
      <c r="BH23" s="20">
        <f t="shared" si="69"/>
        <v>418.4266334717827</v>
      </c>
      <c r="BI23" s="51">
        <f t="shared" si="70"/>
        <v>271.21289887697753</v>
      </c>
      <c r="BK23" s="51">
        <f t="shared" si="71"/>
        <v>13651.920999999998</v>
      </c>
      <c r="BL23" s="51">
        <f t="shared" si="21"/>
        <v>2284.197795</v>
      </c>
      <c r="BM23" s="33">
        <f t="shared" si="22"/>
        <v>15936.118794999998</v>
      </c>
      <c r="BN23" s="20">
        <f t="shared" si="72"/>
        <v>637.5515571999999</v>
      </c>
      <c r="BO23" s="51">
        <f t="shared" si="73"/>
        <v>413.24378559999997</v>
      </c>
      <c r="BQ23" s="51">
        <f t="shared" si="74"/>
        <v>38924.873999999996</v>
      </c>
      <c r="BR23" s="51">
        <f t="shared" si="23"/>
        <v>6512.79123</v>
      </c>
      <c r="BS23" s="33">
        <f t="shared" si="24"/>
        <v>45437.66523</v>
      </c>
      <c r="BT23" s="20">
        <f t="shared" si="75"/>
        <v>1817.8111368</v>
      </c>
      <c r="BU23" s="51">
        <f t="shared" si="76"/>
        <v>1178.2563264</v>
      </c>
      <c r="BW23" s="33">
        <f t="shared" si="77"/>
        <v>18289.4665</v>
      </c>
      <c r="BX23" s="33">
        <f t="shared" si="25"/>
        <v>3060.1377675000003</v>
      </c>
      <c r="BY23" s="33">
        <f t="shared" si="26"/>
        <v>21349.6042675</v>
      </c>
      <c r="BZ23" s="20">
        <f t="shared" si="78"/>
        <v>854.1272578</v>
      </c>
      <c r="CA23" s="51">
        <f t="shared" si="79"/>
        <v>553.6223344</v>
      </c>
      <c r="CC23" s="33">
        <f t="shared" si="80"/>
        <v>13236.6705</v>
      </c>
      <c r="CD23" s="33">
        <f t="shared" si="27"/>
        <v>2214.7193475</v>
      </c>
      <c r="CE23" s="33">
        <f t="shared" si="28"/>
        <v>15451.3898475</v>
      </c>
      <c r="CF23" s="20">
        <f t="shared" si="81"/>
        <v>618.1591506000001</v>
      </c>
      <c r="CG23" s="51">
        <f t="shared" si="82"/>
        <v>400.6741488</v>
      </c>
      <c r="CI23" s="33">
        <f t="shared" si="83"/>
        <v>19052.1715</v>
      </c>
      <c r="CJ23" s="33">
        <f t="shared" si="29"/>
        <v>3187.7512425</v>
      </c>
      <c r="CK23" s="33">
        <f t="shared" si="30"/>
        <v>22239.9227425</v>
      </c>
      <c r="CL23" s="20">
        <f t="shared" si="84"/>
        <v>889.7459638</v>
      </c>
      <c r="CM23" s="51">
        <f t="shared" si="85"/>
        <v>576.7094224</v>
      </c>
      <c r="CO23" s="33">
        <f t="shared" si="86"/>
        <v>3918.7084999999997</v>
      </c>
      <c r="CP23" s="33">
        <f t="shared" si="31"/>
        <v>655.6663575</v>
      </c>
      <c r="CQ23" s="33">
        <f t="shared" si="32"/>
        <v>4574.3748575</v>
      </c>
      <c r="CR23" s="20">
        <f t="shared" si="109"/>
        <v>183.0056522</v>
      </c>
      <c r="CS23" s="51">
        <f t="shared" si="87"/>
        <v>118.6193456</v>
      </c>
      <c r="CU23" s="33">
        <f t="shared" si="88"/>
        <v>14866.765500000001</v>
      </c>
      <c r="CV23" s="33">
        <f t="shared" si="33"/>
        <v>2487.4618725</v>
      </c>
      <c r="CW23" s="33">
        <f t="shared" si="34"/>
        <v>17354.2273725</v>
      </c>
      <c r="CX23" s="20">
        <f t="shared" si="89"/>
        <v>694.2854046</v>
      </c>
      <c r="CY23" s="51">
        <f t="shared" si="90"/>
        <v>450.0171408</v>
      </c>
      <c r="DA23" s="33">
        <f t="shared" si="91"/>
        <v>3708.3414999999995</v>
      </c>
      <c r="DB23" s="33">
        <f t="shared" si="35"/>
        <v>620.4683924999999</v>
      </c>
      <c r="DC23" s="33">
        <f t="shared" si="36"/>
        <v>4328.8098924999995</v>
      </c>
      <c r="DD23" s="20">
        <f t="shared" si="92"/>
        <v>173.18140780000002</v>
      </c>
      <c r="DE23" s="51">
        <f t="shared" si="93"/>
        <v>112.25153440000001</v>
      </c>
      <c r="DG23" s="33">
        <f t="shared" si="94"/>
        <v>14900.6635</v>
      </c>
      <c r="DH23" s="33">
        <f t="shared" si="37"/>
        <v>2493.1335825</v>
      </c>
      <c r="DI23" s="33">
        <f t="shared" si="38"/>
        <v>17393.7970825</v>
      </c>
      <c r="DJ23" s="20">
        <f t="shared" si="95"/>
        <v>695.8684582000001</v>
      </c>
      <c r="DK23" s="51">
        <f t="shared" si="96"/>
        <v>451.0432336</v>
      </c>
      <c r="DM23" s="33">
        <f t="shared" si="97"/>
        <v>83395.56049999999</v>
      </c>
      <c r="DN23" s="33">
        <f t="shared" si="39"/>
        <v>13953.4908975</v>
      </c>
      <c r="DO23" s="33">
        <f t="shared" si="40"/>
        <v>97349.05139749999</v>
      </c>
      <c r="DP23" s="20">
        <f t="shared" si="98"/>
        <v>3894.6144986</v>
      </c>
      <c r="DQ23" s="51">
        <f t="shared" si="99"/>
        <v>2524.3844528</v>
      </c>
      <c r="DS23" s="33">
        <f t="shared" si="100"/>
        <v>242.271</v>
      </c>
      <c r="DT23" s="33">
        <f t="shared" si="41"/>
        <v>40.536045</v>
      </c>
      <c r="DU23" s="33">
        <f t="shared" si="42"/>
        <v>282.807045</v>
      </c>
      <c r="DV23" s="20">
        <f t="shared" si="101"/>
        <v>11.314177200000001</v>
      </c>
      <c r="DW23" s="51">
        <f t="shared" si="102"/>
        <v>7.333545600000001</v>
      </c>
      <c r="DY23" s="33">
        <f t="shared" si="103"/>
        <v>15900.654499999999</v>
      </c>
      <c r="DZ23" s="33">
        <f t="shared" si="43"/>
        <v>2660.4490275000003</v>
      </c>
      <c r="EA23" s="33">
        <f t="shared" si="44"/>
        <v>18561.1035275</v>
      </c>
      <c r="EB23" s="20">
        <f t="shared" si="104"/>
        <v>742.5685394000001</v>
      </c>
      <c r="EC23" s="51">
        <f t="shared" si="105"/>
        <v>481.31297120000005</v>
      </c>
      <c r="EE23" s="33">
        <f t="shared" si="106"/>
        <v>13959.4955</v>
      </c>
      <c r="EF23" s="33">
        <f t="shared" si="45"/>
        <v>2335.6602225</v>
      </c>
      <c r="EG23" s="33">
        <f t="shared" si="46"/>
        <v>16295.155722500002</v>
      </c>
      <c r="EH23" s="20">
        <f t="shared" si="107"/>
        <v>651.9154406</v>
      </c>
      <c r="EI23" s="51">
        <f t="shared" si="108"/>
        <v>422.5540688</v>
      </c>
    </row>
    <row r="24" spans="1:139" ht="12">
      <c r="A24" s="52">
        <v>44835</v>
      </c>
      <c r="B24" s="53"/>
      <c r="C24" s="41"/>
      <c r="D24" s="41">
        <v>709450</v>
      </c>
      <c r="E24" s="35">
        <f t="shared" si="0"/>
        <v>709450</v>
      </c>
      <c r="F24" s="35">
        <v>232802</v>
      </c>
      <c r="G24" s="35">
        <v>150896</v>
      </c>
      <c r="I24" s="71"/>
      <c r="J24" s="51">
        <f t="shared" si="1"/>
        <v>71880.48076999998</v>
      </c>
      <c r="K24" s="51">
        <f t="shared" si="2"/>
        <v>71880.48076999998</v>
      </c>
      <c r="L24" s="51">
        <f t="shared" si="3"/>
        <v>23587.172717200003</v>
      </c>
      <c r="M24" s="51">
        <f t="shared" si="3"/>
        <v>15288.5714656</v>
      </c>
      <c r="P24" s="33">
        <f t="shared" si="4"/>
        <v>7183.18125</v>
      </c>
      <c r="Q24" s="33">
        <f t="shared" si="5"/>
        <v>7183.18125</v>
      </c>
      <c r="R24" s="20">
        <f t="shared" si="49"/>
        <v>2357.12025</v>
      </c>
      <c r="S24" s="51">
        <f t="shared" si="50"/>
        <v>1527.8220000000001</v>
      </c>
      <c r="T24" s="20"/>
      <c r="U24" s="20">
        <f t="shared" si="51"/>
        <v>0</v>
      </c>
      <c r="V24" s="20">
        <f t="shared" si="6"/>
        <v>924.0942231404961</v>
      </c>
      <c r="W24" s="20">
        <f t="shared" si="7"/>
        <v>924.0942231404961</v>
      </c>
      <c r="X24" s="20">
        <f t="shared" si="52"/>
        <v>303.2362863282173</v>
      </c>
      <c r="Y24" s="51">
        <f t="shared" si="53"/>
        <v>196.5496115230225</v>
      </c>
      <c r="AB24" s="51">
        <f t="shared" si="8"/>
        <v>16859.65358</v>
      </c>
      <c r="AC24" s="51">
        <f t="shared" si="9"/>
        <v>16859.65358</v>
      </c>
      <c r="AD24" s="20">
        <f t="shared" si="55"/>
        <v>5532.399848800001</v>
      </c>
      <c r="AE24" s="51">
        <f t="shared" si="56"/>
        <v>3585.9529024000003</v>
      </c>
      <c r="AH24" s="33">
        <f t="shared" si="10"/>
        <v>487.81782</v>
      </c>
      <c r="AI24" s="33">
        <f t="shared" si="11"/>
        <v>487.81782</v>
      </c>
      <c r="AJ24" s="20">
        <f t="shared" si="58"/>
        <v>160.0746552</v>
      </c>
      <c r="AK24" s="51">
        <f t="shared" si="59"/>
        <v>103.7560896</v>
      </c>
      <c r="AN24" s="33">
        <f t="shared" si="12"/>
        <v>355.86012000000005</v>
      </c>
      <c r="AO24" s="33">
        <f t="shared" si="13"/>
        <v>355.86012000000005</v>
      </c>
      <c r="AP24" s="20">
        <f t="shared" si="61"/>
        <v>116.77348320000002</v>
      </c>
      <c r="AQ24" s="51">
        <f t="shared" si="62"/>
        <v>75.6894336</v>
      </c>
      <c r="AT24" s="33">
        <f t="shared" si="14"/>
        <v>4966.15</v>
      </c>
      <c r="AU24" s="33">
        <f t="shared" si="15"/>
        <v>4966.15</v>
      </c>
      <c r="AV24" s="20">
        <f t="shared" si="64"/>
        <v>1629.614</v>
      </c>
      <c r="AW24" s="51">
        <f t="shared" si="65"/>
        <v>1056.272</v>
      </c>
      <c r="AZ24" s="33">
        <f t="shared" si="16"/>
        <v>3673.3192649999996</v>
      </c>
      <c r="BA24" s="33">
        <f t="shared" si="17"/>
        <v>3673.3192649999996</v>
      </c>
      <c r="BB24" s="20">
        <f t="shared" si="67"/>
        <v>1205.3789154</v>
      </c>
      <c r="BC24" s="51">
        <f t="shared" si="68"/>
        <v>781.2942192</v>
      </c>
      <c r="BD24" s="20"/>
      <c r="BE24" s="20">
        <f t="shared" si="18"/>
        <v>0</v>
      </c>
      <c r="BF24" s="20">
        <f t="shared" si="19"/>
        <v>1275.1298318595038</v>
      </c>
      <c r="BG24" s="20">
        <f t="shared" si="20"/>
        <v>1275.1298318595038</v>
      </c>
      <c r="BH24" s="20">
        <f t="shared" si="69"/>
        <v>418.4266334717827</v>
      </c>
      <c r="BI24" s="51">
        <f t="shared" si="70"/>
        <v>271.21289887697753</v>
      </c>
      <c r="BK24" s="51"/>
      <c r="BL24" s="51">
        <f t="shared" si="21"/>
        <v>1942.8997699999998</v>
      </c>
      <c r="BM24" s="33">
        <f t="shared" si="22"/>
        <v>1942.8997699999998</v>
      </c>
      <c r="BN24" s="20">
        <f t="shared" si="72"/>
        <v>637.5515571999999</v>
      </c>
      <c r="BO24" s="51">
        <f t="shared" si="73"/>
        <v>413.24378559999997</v>
      </c>
      <c r="BQ24" s="51"/>
      <c r="BR24" s="51">
        <f t="shared" si="23"/>
        <v>5539.669379999999</v>
      </c>
      <c r="BS24" s="33">
        <f t="shared" si="24"/>
        <v>5539.669379999999</v>
      </c>
      <c r="BT24" s="20">
        <f t="shared" si="75"/>
        <v>1817.8111368</v>
      </c>
      <c r="BU24" s="51">
        <f t="shared" si="76"/>
        <v>1178.2563264</v>
      </c>
      <c r="BX24" s="33">
        <f t="shared" si="25"/>
        <v>2602.901105</v>
      </c>
      <c r="BY24" s="33">
        <f t="shared" si="26"/>
        <v>2602.901105</v>
      </c>
      <c r="BZ24" s="20">
        <f t="shared" si="78"/>
        <v>854.1272578</v>
      </c>
      <c r="CA24" s="51">
        <f t="shared" si="79"/>
        <v>553.6223344</v>
      </c>
      <c r="CD24" s="33">
        <f t="shared" si="27"/>
        <v>1883.802585</v>
      </c>
      <c r="CE24" s="33">
        <f t="shared" si="28"/>
        <v>1883.802585</v>
      </c>
      <c r="CF24" s="20">
        <f t="shared" si="81"/>
        <v>618.1591506000001</v>
      </c>
      <c r="CG24" s="51">
        <f t="shared" si="82"/>
        <v>400.6741488</v>
      </c>
      <c r="CJ24" s="33">
        <f t="shared" si="29"/>
        <v>2711.446955</v>
      </c>
      <c r="CK24" s="33">
        <f t="shared" si="30"/>
        <v>2711.446955</v>
      </c>
      <c r="CL24" s="20">
        <f t="shared" si="84"/>
        <v>889.7459638</v>
      </c>
      <c r="CM24" s="51">
        <f t="shared" si="85"/>
        <v>576.7094224</v>
      </c>
      <c r="CP24" s="33">
        <f t="shared" si="31"/>
        <v>557.6986449999999</v>
      </c>
      <c r="CQ24" s="33">
        <f t="shared" si="32"/>
        <v>557.6986449999999</v>
      </c>
      <c r="CR24" s="20">
        <f t="shared" si="109"/>
        <v>183.0056522</v>
      </c>
      <c r="CS24" s="51">
        <f t="shared" si="87"/>
        <v>118.6193456</v>
      </c>
      <c r="CV24" s="33">
        <f t="shared" si="33"/>
        <v>2115.792735</v>
      </c>
      <c r="CW24" s="33">
        <f t="shared" si="34"/>
        <v>2115.792735</v>
      </c>
      <c r="CX24" s="20">
        <f t="shared" si="89"/>
        <v>694.2854046</v>
      </c>
      <c r="CY24" s="51">
        <f t="shared" si="90"/>
        <v>450.0171408</v>
      </c>
      <c r="DB24" s="33">
        <f t="shared" si="35"/>
        <v>527.7598549999999</v>
      </c>
      <c r="DC24" s="33">
        <f t="shared" si="36"/>
        <v>527.7598549999999</v>
      </c>
      <c r="DD24" s="20">
        <f t="shared" si="92"/>
        <v>173.18140780000002</v>
      </c>
      <c r="DE24" s="51">
        <f t="shared" si="93"/>
        <v>112.25153440000001</v>
      </c>
      <c r="DH24" s="33">
        <f t="shared" si="37"/>
        <v>2120.6169950000003</v>
      </c>
      <c r="DI24" s="33">
        <f t="shared" si="38"/>
        <v>2120.6169950000003</v>
      </c>
      <c r="DJ24" s="20">
        <f t="shared" si="95"/>
        <v>695.8684582000001</v>
      </c>
      <c r="DK24" s="51">
        <f t="shared" si="96"/>
        <v>451.0432336</v>
      </c>
      <c r="DN24" s="33">
        <f t="shared" si="39"/>
        <v>11868.601885</v>
      </c>
      <c r="DO24" s="33">
        <f t="shared" si="40"/>
        <v>11868.601885</v>
      </c>
      <c r="DP24" s="20">
        <f t="shared" si="98"/>
        <v>3894.6144986</v>
      </c>
      <c r="DQ24" s="51">
        <f t="shared" si="99"/>
        <v>2524.3844528</v>
      </c>
      <c r="DT24" s="33">
        <f t="shared" si="41"/>
        <v>34.47927</v>
      </c>
      <c r="DU24" s="33">
        <f t="shared" si="42"/>
        <v>34.47927</v>
      </c>
      <c r="DV24" s="20">
        <f t="shared" si="101"/>
        <v>11.314177200000001</v>
      </c>
      <c r="DW24" s="51">
        <f t="shared" si="102"/>
        <v>7.333545600000001</v>
      </c>
      <c r="DZ24" s="33">
        <f t="shared" si="43"/>
        <v>2262.932665</v>
      </c>
      <c r="EA24" s="33">
        <f t="shared" si="44"/>
        <v>2262.932665</v>
      </c>
      <c r="EB24" s="20">
        <f t="shared" si="104"/>
        <v>742.5685394000001</v>
      </c>
      <c r="EC24" s="51">
        <f t="shared" si="105"/>
        <v>481.31297120000005</v>
      </c>
      <c r="EF24" s="33">
        <f t="shared" si="45"/>
        <v>1986.6728349999998</v>
      </c>
      <c r="EG24" s="33">
        <f t="shared" si="46"/>
        <v>1986.6728349999998</v>
      </c>
      <c r="EH24" s="20">
        <f t="shared" si="107"/>
        <v>651.9154406</v>
      </c>
      <c r="EI24" s="51">
        <f t="shared" si="108"/>
        <v>422.5540688</v>
      </c>
    </row>
    <row r="25" spans="1:140" s="53" customFormat="1" ht="12">
      <c r="A25" s="52">
        <v>45017</v>
      </c>
      <c r="C25" s="41">
        <v>5230000</v>
      </c>
      <c r="D25" s="41">
        <v>709450</v>
      </c>
      <c r="E25" s="35">
        <f t="shared" si="0"/>
        <v>5939450</v>
      </c>
      <c r="F25" s="35">
        <v>232802</v>
      </c>
      <c r="G25" s="35">
        <v>150896</v>
      </c>
      <c r="H25" s="51"/>
      <c r="I25" s="71">
        <f t="shared" si="47"/>
        <v>529896.278</v>
      </c>
      <c r="J25" s="51">
        <f t="shared" si="1"/>
        <v>71880.48076999998</v>
      </c>
      <c r="K25" s="51">
        <f t="shared" si="2"/>
        <v>601776.7587700001</v>
      </c>
      <c r="L25" s="51">
        <f t="shared" si="3"/>
        <v>23587.172717200003</v>
      </c>
      <c r="M25" s="51">
        <f t="shared" si="3"/>
        <v>15288.5714656</v>
      </c>
      <c r="N25" s="51"/>
      <c r="O25" s="33">
        <f t="shared" si="48"/>
        <v>52953.75</v>
      </c>
      <c r="P25" s="33">
        <f t="shared" si="4"/>
        <v>7183.18125</v>
      </c>
      <c r="Q25" s="33">
        <f t="shared" si="5"/>
        <v>60136.93125</v>
      </c>
      <c r="R25" s="20">
        <f t="shared" si="49"/>
        <v>2357.12025</v>
      </c>
      <c r="S25" s="51">
        <f t="shared" si="50"/>
        <v>1527.8220000000001</v>
      </c>
      <c r="T25" s="20"/>
      <c r="U25" s="20">
        <f t="shared" si="51"/>
        <v>6812.337426210155</v>
      </c>
      <c r="V25" s="20">
        <f t="shared" si="6"/>
        <v>924.0942231404961</v>
      </c>
      <c r="W25" s="20">
        <f t="shared" si="7"/>
        <v>7736.431649350651</v>
      </c>
      <c r="X25" s="20">
        <f t="shared" si="52"/>
        <v>303.2362863282173</v>
      </c>
      <c r="Y25" s="51">
        <f t="shared" si="53"/>
        <v>196.5496115230225</v>
      </c>
      <c r="Z25" s="51"/>
      <c r="AA25" s="33">
        <f t="shared" si="54"/>
        <v>124287.812</v>
      </c>
      <c r="AB25" s="51">
        <f t="shared" si="8"/>
        <v>16859.65358</v>
      </c>
      <c r="AC25" s="51">
        <f t="shared" si="9"/>
        <v>141147.46558000002</v>
      </c>
      <c r="AD25" s="20">
        <f t="shared" si="55"/>
        <v>5532.399848800001</v>
      </c>
      <c r="AE25" s="51">
        <f t="shared" si="56"/>
        <v>3585.9529024000003</v>
      </c>
      <c r="AF25" s="51"/>
      <c r="AG25" s="33">
        <f t="shared" si="57"/>
        <v>3596.1479999999997</v>
      </c>
      <c r="AH25" s="33">
        <f t="shared" si="10"/>
        <v>487.81782</v>
      </c>
      <c r="AI25" s="33">
        <f t="shared" si="11"/>
        <v>4083.9658199999994</v>
      </c>
      <c r="AJ25" s="20">
        <f t="shared" si="58"/>
        <v>160.0746552</v>
      </c>
      <c r="AK25" s="51">
        <f t="shared" si="59"/>
        <v>103.7560896</v>
      </c>
      <c r="AL25" s="51"/>
      <c r="AM25" s="33">
        <f t="shared" si="60"/>
        <v>2623.368</v>
      </c>
      <c r="AN25" s="33">
        <f t="shared" si="12"/>
        <v>355.86012000000005</v>
      </c>
      <c r="AO25" s="33">
        <f t="shared" si="13"/>
        <v>2979.2281199999998</v>
      </c>
      <c r="AP25" s="20">
        <f t="shared" si="61"/>
        <v>116.77348320000002</v>
      </c>
      <c r="AQ25" s="51">
        <f t="shared" si="62"/>
        <v>75.6894336</v>
      </c>
      <c r="AR25" s="51"/>
      <c r="AS25" s="33">
        <f t="shared" si="63"/>
        <v>36610</v>
      </c>
      <c r="AT25" s="33">
        <f t="shared" si="14"/>
        <v>4966.15</v>
      </c>
      <c r="AU25" s="33">
        <f t="shared" si="15"/>
        <v>41576.15</v>
      </c>
      <c r="AV25" s="20">
        <f t="shared" si="64"/>
        <v>1629.614</v>
      </c>
      <c r="AW25" s="51">
        <f t="shared" si="65"/>
        <v>1056.272</v>
      </c>
      <c r="AX25" s="51"/>
      <c r="AY25" s="33">
        <f t="shared" si="66"/>
        <v>27079.370999999996</v>
      </c>
      <c r="AZ25" s="33">
        <f t="shared" si="16"/>
        <v>3673.3192649999996</v>
      </c>
      <c r="BA25" s="33">
        <f t="shared" si="17"/>
        <v>30752.690264999994</v>
      </c>
      <c r="BB25" s="20">
        <f t="shared" si="67"/>
        <v>1205.3789154</v>
      </c>
      <c r="BC25" s="51">
        <f t="shared" si="68"/>
        <v>781.2942192</v>
      </c>
      <c r="BD25" s="20"/>
      <c r="BE25" s="20">
        <f t="shared" si="18"/>
        <v>9400.139573789846</v>
      </c>
      <c r="BF25" s="20">
        <f t="shared" si="19"/>
        <v>1275.1298318595038</v>
      </c>
      <c r="BG25" s="20">
        <f t="shared" si="20"/>
        <v>10675.26940564935</v>
      </c>
      <c r="BH25" s="20">
        <f t="shared" si="69"/>
        <v>418.4266334717827</v>
      </c>
      <c r="BI25" s="51">
        <f t="shared" si="70"/>
        <v>271.21289887697753</v>
      </c>
      <c r="BJ25" s="33"/>
      <c r="BK25" s="51">
        <f t="shared" si="71"/>
        <v>14322.878</v>
      </c>
      <c r="BL25" s="51">
        <f t="shared" si="21"/>
        <v>1942.8997699999998</v>
      </c>
      <c r="BM25" s="33">
        <f t="shared" si="22"/>
        <v>16265.77777</v>
      </c>
      <c r="BN25" s="20">
        <f t="shared" si="72"/>
        <v>637.5515571999999</v>
      </c>
      <c r="BO25" s="51">
        <f t="shared" si="73"/>
        <v>413.24378559999997</v>
      </c>
      <c r="BP25" s="33"/>
      <c r="BQ25" s="51">
        <f t="shared" si="74"/>
        <v>40837.932</v>
      </c>
      <c r="BR25" s="51">
        <f t="shared" si="23"/>
        <v>5539.669379999999</v>
      </c>
      <c r="BS25" s="33">
        <f t="shared" si="24"/>
        <v>46377.60138</v>
      </c>
      <c r="BT25" s="20">
        <f t="shared" si="75"/>
        <v>1817.8111368</v>
      </c>
      <c r="BU25" s="51">
        <f t="shared" si="76"/>
        <v>1178.2563264</v>
      </c>
      <c r="BV25" s="33"/>
      <c r="BW25" s="33">
        <f t="shared" si="77"/>
        <v>19188.346999999998</v>
      </c>
      <c r="BX25" s="33">
        <f t="shared" si="25"/>
        <v>2602.901105</v>
      </c>
      <c r="BY25" s="33">
        <f t="shared" si="26"/>
        <v>21791.248105</v>
      </c>
      <c r="BZ25" s="20">
        <f t="shared" si="78"/>
        <v>854.1272578</v>
      </c>
      <c r="CA25" s="51">
        <f t="shared" si="79"/>
        <v>553.6223344</v>
      </c>
      <c r="CB25" s="51"/>
      <c r="CC25" s="33">
        <f t="shared" si="80"/>
        <v>13887.219</v>
      </c>
      <c r="CD25" s="33">
        <f t="shared" si="27"/>
        <v>1883.802585</v>
      </c>
      <c r="CE25" s="33">
        <f t="shared" si="28"/>
        <v>15771.021584999999</v>
      </c>
      <c r="CF25" s="20">
        <f t="shared" si="81"/>
        <v>618.1591506000001</v>
      </c>
      <c r="CG25" s="51">
        <f t="shared" si="82"/>
        <v>400.6741488</v>
      </c>
      <c r="CH25" s="51"/>
      <c r="CI25" s="33">
        <f t="shared" si="83"/>
        <v>19988.537</v>
      </c>
      <c r="CJ25" s="33">
        <f t="shared" si="29"/>
        <v>2711.446955</v>
      </c>
      <c r="CK25" s="33">
        <f t="shared" si="30"/>
        <v>22699.983955</v>
      </c>
      <c r="CL25" s="20">
        <f t="shared" si="84"/>
        <v>889.7459638</v>
      </c>
      <c r="CM25" s="51">
        <f t="shared" si="85"/>
        <v>576.7094224</v>
      </c>
      <c r="CN25" s="51"/>
      <c r="CO25" s="33">
        <f t="shared" si="86"/>
        <v>4111.303</v>
      </c>
      <c r="CP25" s="33">
        <f t="shared" si="31"/>
        <v>557.6986449999999</v>
      </c>
      <c r="CQ25" s="33">
        <f t="shared" si="32"/>
        <v>4669.001645</v>
      </c>
      <c r="CR25" s="20">
        <f t="shared" si="109"/>
        <v>183.0056522</v>
      </c>
      <c r="CS25" s="51">
        <f t="shared" si="87"/>
        <v>118.6193456</v>
      </c>
      <c r="CT25" s="33"/>
      <c r="CU25" s="33">
        <f t="shared" si="88"/>
        <v>15597.428999999998</v>
      </c>
      <c r="CV25" s="33">
        <f t="shared" si="33"/>
        <v>2115.792735</v>
      </c>
      <c r="CW25" s="33">
        <f t="shared" si="34"/>
        <v>17713.221735</v>
      </c>
      <c r="CX25" s="20">
        <f t="shared" si="89"/>
        <v>694.2854046</v>
      </c>
      <c r="CY25" s="51">
        <f t="shared" si="90"/>
        <v>450.0171408</v>
      </c>
      <c r="CZ25" s="51"/>
      <c r="DA25" s="33">
        <f t="shared" si="91"/>
        <v>3890.597</v>
      </c>
      <c r="DB25" s="33">
        <f t="shared" si="35"/>
        <v>527.7598549999999</v>
      </c>
      <c r="DC25" s="33">
        <f t="shared" si="36"/>
        <v>4418.356855</v>
      </c>
      <c r="DD25" s="20">
        <f t="shared" si="92"/>
        <v>173.18140780000002</v>
      </c>
      <c r="DE25" s="51">
        <f t="shared" si="93"/>
        <v>112.25153440000001</v>
      </c>
      <c r="DF25" s="51"/>
      <c r="DG25" s="33">
        <f t="shared" si="94"/>
        <v>15632.993</v>
      </c>
      <c r="DH25" s="33">
        <f t="shared" si="37"/>
        <v>2120.6169950000003</v>
      </c>
      <c r="DI25" s="33">
        <f t="shared" si="38"/>
        <v>17753.609995</v>
      </c>
      <c r="DJ25" s="20">
        <f t="shared" si="95"/>
        <v>695.8684582000001</v>
      </c>
      <c r="DK25" s="51">
        <f t="shared" si="96"/>
        <v>451.0432336</v>
      </c>
      <c r="DL25" s="51"/>
      <c r="DM25" s="33">
        <f t="shared" si="97"/>
        <v>87494.239</v>
      </c>
      <c r="DN25" s="33">
        <f t="shared" si="39"/>
        <v>11868.601885</v>
      </c>
      <c r="DO25" s="33">
        <f t="shared" si="40"/>
        <v>99362.840885</v>
      </c>
      <c r="DP25" s="20">
        <f t="shared" si="98"/>
        <v>3894.6144986</v>
      </c>
      <c r="DQ25" s="51">
        <f t="shared" si="99"/>
        <v>2524.3844528</v>
      </c>
      <c r="DR25" s="51"/>
      <c r="DS25" s="33">
        <f t="shared" si="100"/>
        <v>254.178</v>
      </c>
      <c r="DT25" s="33">
        <f t="shared" si="41"/>
        <v>34.47927</v>
      </c>
      <c r="DU25" s="33">
        <f t="shared" si="42"/>
        <v>288.65727</v>
      </c>
      <c r="DV25" s="20">
        <f t="shared" si="101"/>
        <v>11.314177200000001</v>
      </c>
      <c r="DW25" s="51">
        <f t="shared" si="102"/>
        <v>7.333545600000001</v>
      </c>
      <c r="DX25" s="51"/>
      <c r="DY25" s="33">
        <f t="shared" si="103"/>
        <v>16682.130999999998</v>
      </c>
      <c r="DZ25" s="33">
        <f t="shared" si="43"/>
        <v>2262.932665</v>
      </c>
      <c r="EA25" s="33">
        <f t="shared" si="44"/>
        <v>18945.063664999998</v>
      </c>
      <c r="EB25" s="20">
        <f t="shared" si="104"/>
        <v>742.5685394000001</v>
      </c>
      <c r="EC25" s="51">
        <f t="shared" si="105"/>
        <v>481.31297120000005</v>
      </c>
      <c r="ED25" s="51"/>
      <c r="EE25" s="33">
        <f t="shared" si="106"/>
        <v>14645.569</v>
      </c>
      <c r="EF25" s="33">
        <f t="shared" si="45"/>
        <v>1986.6728349999998</v>
      </c>
      <c r="EG25" s="33">
        <f t="shared" si="46"/>
        <v>16632.241835</v>
      </c>
      <c r="EH25" s="20">
        <f t="shared" si="107"/>
        <v>651.9154406</v>
      </c>
      <c r="EI25" s="51">
        <f t="shared" si="108"/>
        <v>422.5540688</v>
      </c>
      <c r="EJ25" s="51"/>
    </row>
    <row r="26" spans="1:140" s="53" customFormat="1" ht="12">
      <c r="A26" s="52">
        <v>45200</v>
      </c>
      <c r="C26" s="41"/>
      <c r="D26" s="41">
        <v>578700</v>
      </c>
      <c r="E26" s="35">
        <f t="shared" si="0"/>
        <v>578700</v>
      </c>
      <c r="F26" s="35">
        <v>232802</v>
      </c>
      <c r="G26" s="35">
        <v>150896</v>
      </c>
      <c r="H26" s="51"/>
      <c r="I26" s="71"/>
      <c r="J26" s="51">
        <f t="shared" si="1"/>
        <v>58633.07381999999</v>
      </c>
      <c r="K26" s="51">
        <f t="shared" si="2"/>
        <v>58633.07381999999</v>
      </c>
      <c r="L26" s="51">
        <f t="shared" si="3"/>
        <v>23587.172717200003</v>
      </c>
      <c r="M26" s="51">
        <f t="shared" si="3"/>
        <v>15288.5714656</v>
      </c>
      <c r="N26" s="51"/>
      <c r="O26" s="33"/>
      <c r="P26" s="33">
        <f t="shared" si="4"/>
        <v>5859.3375</v>
      </c>
      <c r="Q26" s="33">
        <f t="shared" si="5"/>
        <v>5859.3375</v>
      </c>
      <c r="R26" s="20">
        <f t="shared" si="49"/>
        <v>2357.12025</v>
      </c>
      <c r="S26" s="51">
        <f t="shared" si="50"/>
        <v>1527.8220000000001</v>
      </c>
      <c r="T26" s="20"/>
      <c r="U26" s="20">
        <f t="shared" si="51"/>
        <v>0</v>
      </c>
      <c r="V26" s="20">
        <f t="shared" si="6"/>
        <v>753.7857874852422</v>
      </c>
      <c r="W26" s="20">
        <f t="shared" si="7"/>
        <v>753.7857874852422</v>
      </c>
      <c r="X26" s="20">
        <f t="shared" si="52"/>
        <v>303.2362863282173</v>
      </c>
      <c r="Y26" s="51">
        <f t="shared" si="53"/>
        <v>196.5496115230225</v>
      </c>
      <c r="Z26" s="51"/>
      <c r="AA26" s="33"/>
      <c r="AB26" s="51">
        <f t="shared" si="8"/>
        <v>13752.458279999999</v>
      </c>
      <c r="AC26" s="51">
        <f t="shared" si="9"/>
        <v>13752.458279999999</v>
      </c>
      <c r="AD26" s="20">
        <f t="shared" si="55"/>
        <v>5532.399848800001</v>
      </c>
      <c r="AE26" s="51">
        <f t="shared" si="56"/>
        <v>3585.9529024000003</v>
      </c>
      <c r="AF26" s="51"/>
      <c r="AG26" s="33"/>
      <c r="AH26" s="33">
        <f t="shared" si="10"/>
        <v>397.91412</v>
      </c>
      <c r="AI26" s="33">
        <f t="shared" si="11"/>
        <v>397.91412</v>
      </c>
      <c r="AJ26" s="20">
        <f t="shared" si="58"/>
        <v>160.0746552</v>
      </c>
      <c r="AK26" s="51">
        <f t="shared" si="59"/>
        <v>103.7560896</v>
      </c>
      <c r="AL26" s="51"/>
      <c r="AM26" s="33"/>
      <c r="AN26" s="33">
        <f t="shared" si="12"/>
        <v>290.27592</v>
      </c>
      <c r="AO26" s="33">
        <f t="shared" si="13"/>
        <v>290.27592</v>
      </c>
      <c r="AP26" s="20">
        <f t="shared" si="61"/>
        <v>116.77348320000002</v>
      </c>
      <c r="AQ26" s="51">
        <f t="shared" si="62"/>
        <v>75.6894336</v>
      </c>
      <c r="AR26" s="51"/>
      <c r="AS26" s="33"/>
      <c r="AT26" s="33">
        <f t="shared" si="14"/>
        <v>4050.9</v>
      </c>
      <c r="AU26" s="33">
        <f t="shared" si="15"/>
        <v>4050.9</v>
      </c>
      <c r="AV26" s="20">
        <f t="shared" si="64"/>
        <v>1629.614</v>
      </c>
      <c r="AW26" s="51">
        <f t="shared" si="65"/>
        <v>1056.272</v>
      </c>
      <c r="AX26" s="51"/>
      <c r="AY26" s="33"/>
      <c r="AZ26" s="33">
        <f t="shared" si="16"/>
        <v>2996.3349899999994</v>
      </c>
      <c r="BA26" s="33">
        <f t="shared" si="17"/>
        <v>2996.3349899999994</v>
      </c>
      <c r="BB26" s="20">
        <f t="shared" si="67"/>
        <v>1205.3789154</v>
      </c>
      <c r="BC26" s="51">
        <f t="shared" si="68"/>
        <v>781.2942192</v>
      </c>
      <c r="BD26" s="20"/>
      <c r="BE26" s="20">
        <f t="shared" si="18"/>
        <v>0</v>
      </c>
      <c r="BF26" s="20">
        <f t="shared" si="19"/>
        <v>1040.1263425147579</v>
      </c>
      <c r="BG26" s="20">
        <f t="shared" si="20"/>
        <v>1040.1263425147579</v>
      </c>
      <c r="BH26" s="20">
        <f t="shared" si="69"/>
        <v>418.4266334717827</v>
      </c>
      <c r="BI26" s="51">
        <f t="shared" si="70"/>
        <v>271.21289887697753</v>
      </c>
      <c r="BJ26" s="33"/>
      <c r="BK26" s="51"/>
      <c r="BL26" s="51">
        <f t="shared" si="21"/>
        <v>1584.82782</v>
      </c>
      <c r="BM26" s="33">
        <f t="shared" si="22"/>
        <v>1584.82782</v>
      </c>
      <c r="BN26" s="20">
        <f t="shared" si="72"/>
        <v>637.5515571999999</v>
      </c>
      <c r="BO26" s="51">
        <f t="shared" si="73"/>
        <v>413.24378559999997</v>
      </c>
      <c r="BP26" s="33"/>
      <c r="BQ26" s="51"/>
      <c r="BR26" s="51">
        <f t="shared" si="23"/>
        <v>4518.72108</v>
      </c>
      <c r="BS26" s="33">
        <f t="shared" si="24"/>
        <v>4518.72108</v>
      </c>
      <c r="BT26" s="20">
        <f t="shared" si="75"/>
        <v>1817.8111368</v>
      </c>
      <c r="BU26" s="51">
        <f t="shared" si="76"/>
        <v>1178.2563264</v>
      </c>
      <c r="BV26" s="33"/>
      <c r="BW26" s="33"/>
      <c r="BX26" s="33">
        <f t="shared" si="25"/>
        <v>2123.19243</v>
      </c>
      <c r="BY26" s="33">
        <f t="shared" si="26"/>
        <v>2123.19243</v>
      </c>
      <c r="BZ26" s="20">
        <f t="shared" si="78"/>
        <v>854.1272578</v>
      </c>
      <c r="CA26" s="51">
        <f t="shared" si="79"/>
        <v>553.6223344</v>
      </c>
      <c r="CB26" s="51"/>
      <c r="CC26" s="33"/>
      <c r="CD26" s="33">
        <f t="shared" si="27"/>
        <v>1536.6221099999998</v>
      </c>
      <c r="CE26" s="33">
        <f t="shared" si="28"/>
        <v>1536.6221099999998</v>
      </c>
      <c r="CF26" s="20">
        <f t="shared" si="81"/>
        <v>618.1591506000001</v>
      </c>
      <c r="CG26" s="51">
        <f t="shared" si="82"/>
        <v>400.6741488</v>
      </c>
      <c r="CH26" s="51"/>
      <c r="CI26" s="33"/>
      <c r="CJ26" s="33">
        <f t="shared" si="29"/>
        <v>2211.7335299999995</v>
      </c>
      <c r="CK26" s="33">
        <f t="shared" si="30"/>
        <v>2211.7335299999995</v>
      </c>
      <c r="CL26" s="20">
        <f t="shared" si="84"/>
        <v>889.7459638</v>
      </c>
      <c r="CM26" s="51">
        <f t="shared" si="85"/>
        <v>576.7094224</v>
      </c>
      <c r="CN26" s="51"/>
      <c r="CO26" s="33"/>
      <c r="CP26" s="33">
        <f t="shared" si="31"/>
        <v>454.91607</v>
      </c>
      <c r="CQ26" s="33">
        <f t="shared" si="32"/>
        <v>454.91607</v>
      </c>
      <c r="CR26" s="20">
        <f t="shared" si="109"/>
        <v>183.0056522</v>
      </c>
      <c r="CS26" s="51">
        <f t="shared" si="87"/>
        <v>118.6193456</v>
      </c>
      <c r="CT26" s="33"/>
      <c r="CU26" s="33"/>
      <c r="CV26" s="33">
        <f t="shared" si="33"/>
        <v>1725.85701</v>
      </c>
      <c r="CW26" s="33">
        <f t="shared" si="34"/>
        <v>1725.85701</v>
      </c>
      <c r="CX26" s="20">
        <f t="shared" si="89"/>
        <v>694.2854046</v>
      </c>
      <c r="CY26" s="51">
        <f t="shared" si="90"/>
        <v>450.0171408</v>
      </c>
      <c r="CZ26" s="51"/>
      <c r="DA26" s="33"/>
      <c r="DB26" s="33">
        <f t="shared" si="35"/>
        <v>430.49493</v>
      </c>
      <c r="DC26" s="33">
        <f t="shared" si="36"/>
        <v>430.49493</v>
      </c>
      <c r="DD26" s="20">
        <f t="shared" si="92"/>
        <v>173.18140780000002</v>
      </c>
      <c r="DE26" s="51">
        <f t="shared" si="93"/>
        <v>112.25153440000001</v>
      </c>
      <c r="DF26" s="51"/>
      <c r="DG26" s="33"/>
      <c r="DH26" s="33">
        <f t="shared" si="37"/>
        <v>1729.79217</v>
      </c>
      <c r="DI26" s="33">
        <f t="shared" si="38"/>
        <v>1729.79217</v>
      </c>
      <c r="DJ26" s="20">
        <f t="shared" si="95"/>
        <v>695.8684582000001</v>
      </c>
      <c r="DK26" s="51">
        <f t="shared" si="96"/>
        <v>451.0432336</v>
      </c>
      <c r="DL26" s="51"/>
      <c r="DM26" s="33"/>
      <c r="DN26" s="33">
        <f t="shared" si="39"/>
        <v>9681.24591</v>
      </c>
      <c r="DO26" s="33">
        <f t="shared" si="40"/>
        <v>9681.24591</v>
      </c>
      <c r="DP26" s="20">
        <f t="shared" si="98"/>
        <v>3894.6144986</v>
      </c>
      <c r="DQ26" s="51">
        <f t="shared" si="99"/>
        <v>2524.3844528</v>
      </c>
      <c r="DR26" s="51"/>
      <c r="DS26" s="33"/>
      <c r="DT26" s="33">
        <f t="shared" si="41"/>
        <v>28.12482</v>
      </c>
      <c r="DU26" s="33">
        <f t="shared" si="42"/>
        <v>28.12482</v>
      </c>
      <c r="DV26" s="20">
        <f t="shared" si="101"/>
        <v>11.314177200000001</v>
      </c>
      <c r="DW26" s="51">
        <f t="shared" si="102"/>
        <v>7.333545600000001</v>
      </c>
      <c r="DX26" s="51"/>
      <c r="DY26" s="33"/>
      <c r="DZ26" s="33">
        <f t="shared" si="43"/>
        <v>1845.8793899999998</v>
      </c>
      <c r="EA26" s="33">
        <f t="shared" si="44"/>
        <v>1845.8793899999998</v>
      </c>
      <c r="EB26" s="20">
        <f t="shared" si="104"/>
        <v>742.5685394000001</v>
      </c>
      <c r="EC26" s="51">
        <f t="shared" si="105"/>
        <v>481.31297120000005</v>
      </c>
      <c r="ED26" s="51"/>
      <c r="EE26" s="33"/>
      <c r="EF26" s="33">
        <f t="shared" si="45"/>
        <v>1620.53361</v>
      </c>
      <c r="EG26" s="33">
        <f t="shared" si="46"/>
        <v>1620.53361</v>
      </c>
      <c r="EH26" s="20">
        <f t="shared" si="107"/>
        <v>651.9154406</v>
      </c>
      <c r="EI26" s="51">
        <f t="shared" si="108"/>
        <v>422.5540688</v>
      </c>
      <c r="EJ26" s="51"/>
    </row>
    <row r="27" spans="1:140" s="53" customFormat="1" ht="12">
      <c r="A27" s="52">
        <v>45383</v>
      </c>
      <c r="C27" s="41">
        <v>5495000</v>
      </c>
      <c r="D27" s="41">
        <v>578700</v>
      </c>
      <c r="E27" s="35">
        <f t="shared" si="0"/>
        <v>6073700</v>
      </c>
      <c r="F27" s="35">
        <v>232802</v>
      </c>
      <c r="G27" s="35">
        <v>150896</v>
      </c>
      <c r="H27" s="51"/>
      <c r="I27" s="71">
        <f t="shared" si="47"/>
        <v>556745.7069999999</v>
      </c>
      <c r="J27" s="51">
        <f t="shared" si="1"/>
        <v>58633.07381999999</v>
      </c>
      <c r="K27" s="51">
        <f t="shared" si="2"/>
        <v>615378.78082</v>
      </c>
      <c r="L27" s="51">
        <f t="shared" si="3"/>
        <v>23587.172717200003</v>
      </c>
      <c r="M27" s="51">
        <f t="shared" si="3"/>
        <v>15288.5714656</v>
      </c>
      <c r="N27" s="51"/>
      <c r="O27" s="33">
        <f t="shared" si="48"/>
        <v>55636.875</v>
      </c>
      <c r="P27" s="33">
        <f t="shared" si="4"/>
        <v>5859.3375</v>
      </c>
      <c r="Q27" s="33">
        <f t="shared" si="5"/>
        <v>61496.2125</v>
      </c>
      <c r="R27" s="20">
        <f t="shared" si="49"/>
        <v>2357.12025</v>
      </c>
      <c r="S27" s="51">
        <f t="shared" si="50"/>
        <v>1527.8220000000001</v>
      </c>
      <c r="T27" s="20"/>
      <c r="U27" s="20">
        <f t="shared" si="51"/>
        <v>7157.513223140498</v>
      </c>
      <c r="V27" s="20">
        <f t="shared" si="6"/>
        <v>753.7857874852422</v>
      </c>
      <c r="W27" s="20">
        <f t="shared" si="7"/>
        <v>7911.29901062574</v>
      </c>
      <c r="X27" s="20">
        <f t="shared" si="52"/>
        <v>303.2362863282173</v>
      </c>
      <c r="Y27" s="51">
        <f t="shared" si="53"/>
        <v>196.5496115230225</v>
      </c>
      <c r="Z27" s="51"/>
      <c r="AA27" s="33">
        <f t="shared" si="54"/>
        <v>130585.37800000001</v>
      </c>
      <c r="AB27" s="51">
        <f t="shared" si="8"/>
        <v>13752.458279999999</v>
      </c>
      <c r="AC27" s="51">
        <f t="shared" si="9"/>
        <v>144337.83628000002</v>
      </c>
      <c r="AD27" s="20">
        <f t="shared" si="55"/>
        <v>5532.399848800001</v>
      </c>
      <c r="AE27" s="51">
        <f t="shared" si="56"/>
        <v>3585.9529024000003</v>
      </c>
      <c r="AF27" s="51"/>
      <c r="AG27" s="33">
        <f t="shared" si="57"/>
        <v>3778.362</v>
      </c>
      <c r="AH27" s="33">
        <f t="shared" si="10"/>
        <v>397.91412</v>
      </c>
      <c r="AI27" s="33">
        <f t="shared" si="11"/>
        <v>4176.27612</v>
      </c>
      <c r="AJ27" s="20">
        <f t="shared" si="58"/>
        <v>160.0746552</v>
      </c>
      <c r="AK27" s="51">
        <f t="shared" si="59"/>
        <v>103.7560896</v>
      </c>
      <c r="AL27" s="51"/>
      <c r="AM27" s="33">
        <f t="shared" si="60"/>
        <v>2756.292</v>
      </c>
      <c r="AN27" s="33">
        <f t="shared" si="12"/>
        <v>290.27592</v>
      </c>
      <c r="AO27" s="33">
        <f t="shared" si="13"/>
        <v>3046.56792</v>
      </c>
      <c r="AP27" s="20">
        <f t="shared" si="61"/>
        <v>116.77348320000002</v>
      </c>
      <c r="AQ27" s="51">
        <f t="shared" si="62"/>
        <v>75.6894336</v>
      </c>
      <c r="AR27" s="51"/>
      <c r="AS27" s="33">
        <f t="shared" si="63"/>
        <v>38464.99999999999</v>
      </c>
      <c r="AT27" s="33">
        <f t="shared" si="14"/>
        <v>4050.9</v>
      </c>
      <c r="AU27" s="33">
        <f t="shared" si="15"/>
        <v>42515.899999999994</v>
      </c>
      <c r="AV27" s="20">
        <f t="shared" si="64"/>
        <v>1629.614</v>
      </c>
      <c r="AW27" s="51">
        <f t="shared" si="65"/>
        <v>1056.272</v>
      </c>
      <c r="AX27" s="51"/>
      <c r="AY27" s="33">
        <f t="shared" si="66"/>
        <v>28451.461499999998</v>
      </c>
      <c r="AZ27" s="33">
        <f t="shared" si="16"/>
        <v>2996.3349899999994</v>
      </c>
      <c r="BA27" s="33">
        <f t="shared" si="17"/>
        <v>31447.796489999997</v>
      </c>
      <c r="BB27" s="20">
        <f t="shared" si="67"/>
        <v>1205.3789154</v>
      </c>
      <c r="BC27" s="51">
        <f t="shared" si="68"/>
        <v>781.2942192</v>
      </c>
      <c r="BD27" s="20"/>
      <c r="BE27" s="20">
        <f t="shared" si="18"/>
        <v>9876.437276859502</v>
      </c>
      <c r="BF27" s="20">
        <f t="shared" si="19"/>
        <v>1040.1263425147579</v>
      </c>
      <c r="BG27" s="20">
        <f t="shared" si="20"/>
        <v>10916.56361937426</v>
      </c>
      <c r="BH27" s="20">
        <f t="shared" si="69"/>
        <v>418.4266334717827</v>
      </c>
      <c r="BI27" s="51">
        <f t="shared" si="70"/>
        <v>271.21289887697753</v>
      </c>
      <c r="BJ27" s="33"/>
      <c r="BK27" s="51">
        <f t="shared" si="71"/>
        <v>15048.607</v>
      </c>
      <c r="BL27" s="51">
        <f t="shared" si="21"/>
        <v>1584.82782</v>
      </c>
      <c r="BM27" s="33">
        <f t="shared" si="22"/>
        <v>16633.43482</v>
      </c>
      <c r="BN27" s="20">
        <f t="shared" si="72"/>
        <v>637.5515571999999</v>
      </c>
      <c r="BO27" s="51">
        <f t="shared" si="73"/>
        <v>413.24378559999997</v>
      </c>
      <c r="BP27" s="33"/>
      <c r="BQ27" s="51">
        <f t="shared" si="74"/>
        <v>42907.157999999996</v>
      </c>
      <c r="BR27" s="51">
        <f t="shared" si="23"/>
        <v>4518.72108</v>
      </c>
      <c r="BS27" s="33">
        <f t="shared" si="24"/>
        <v>47425.87908</v>
      </c>
      <c r="BT27" s="20">
        <f t="shared" si="75"/>
        <v>1817.8111368</v>
      </c>
      <c r="BU27" s="51">
        <f t="shared" si="76"/>
        <v>1178.2563264</v>
      </c>
      <c r="BV27" s="33"/>
      <c r="BW27" s="33">
        <f t="shared" si="77"/>
        <v>20160.6055</v>
      </c>
      <c r="BX27" s="33">
        <f t="shared" si="25"/>
        <v>2123.19243</v>
      </c>
      <c r="BY27" s="33">
        <f t="shared" si="26"/>
        <v>22283.79793</v>
      </c>
      <c r="BZ27" s="20">
        <f t="shared" si="78"/>
        <v>854.1272578</v>
      </c>
      <c r="CA27" s="51">
        <f t="shared" si="79"/>
        <v>553.6223344</v>
      </c>
      <c r="CB27" s="51"/>
      <c r="CC27" s="33">
        <f t="shared" si="80"/>
        <v>14590.873499999998</v>
      </c>
      <c r="CD27" s="33">
        <f t="shared" si="27"/>
        <v>1536.6221099999998</v>
      </c>
      <c r="CE27" s="33">
        <f t="shared" si="28"/>
        <v>16127.495609999998</v>
      </c>
      <c r="CF27" s="20">
        <f t="shared" si="81"/>
        <v>618.1591506000001</v>
      </c>
      <c r="CG27" s="51">
        <f t="shared" si="82"/>
        <v>400.6741488</v>
      </c>
      <c r="CH27" s="51"/>
      <c r="CI27" s="33">
        <f t="shared" si="83"/>
        <v>21001.3405</v>
      </c>
      <c r="CJ27" s="33">
        <f t="shared" si="29"/>
        <v>2211.7335299999995</v>
      </c>
      <c r="CK27" s="33">
        <f t="shared" si="30"/>
        <v>23213.074029999996</v>
      </c>
      <c r="CL27" s="20">
        <f t="shared" si="84"/>
        <v>889.7459638</v>
      </c>
      <c r="CM27" s="51">
        <f t="shared" si="85"/>
        <v>576.7094224</v>
      </c>
      <c r="CN27" s="51"/>
      <c r="CO27" s="33">
        <f t="shared" si="86"/>
        <v>4319.6195</v>
      </c>
      <c r="CP27" s="33">
        <f t="shared" si="31"/>
        <v>454.91607</v>
      </c>
      <c r="CQ27" s="33">
        <f t="shared" si="32"/>
        <v>4774.53557</v>
      </c>
      <c r="CR27" s="20">
        <f t="shared" si="109"/>
        <v>183.0056522</v>
      </c>
      <c r="CS27" s="51">
        <f t="shared" si="87"/>
        <v>118.6193456</v>
      </c>
      <c r="CT27" s="33"/>
      <c r="CU27" s="33">
        <f t="shared" si="88"/>
        <v>16387.7385</v>
      </c>
      <c r="CV27" s="33">
        <f t="shared" si="33"/>
        <v>1725.85701</v>
      </c>
      <c r="CW27" s="33">
        <f t="shared" si="34"/>
        <v>18113.59551</v>
      </c>
      <c r="CX27" s="20">
        <f t="shared" si="89"/>
        <v>694.2854046</v>
      </c>
      <c r="CY27" s="51">
        <f t="shared" si="90"/>
        <v>450.0171408</v>
      </c>
      <c r="CZ27" s="51"/>
      <c r="DA27" s="33">
        <f t="shared" si="91"/>
        <v>4087.7304999999997</v>
      </c>
      <c r="DB27" s="33">
        <f t="shared" si="35"/>
        <v>430.49493</v>
      </c>
      <c r="DC27" s="33">
        <f t="shared" si="36"/>
        <v>4518.2254299999995</v>
      </c>
      <c r="DD27" s="20">
        <f t="shared" si="92"/>
        <v>173.18140780000002</v>
      </c>
      <c r="DE27" s="51">
        <f t="shared" si="93"/>
        <v>112.25153440000001</v>
      </c>
      <c r="DF27" s="51"/>
      <c r="DG27" s="33">
        <f t="shared" si="94"/>
        <v>16425.1045</v>
      </c>
      <c r="DH27" s="33">
        <f t="shared" si="37"/>
        <v>1729.79217</v>
      </c>
      <c r="DI27" s="33">
        <f t="shared" si="38"/>
        <v>18154.896670000002</v>
      </c>
      <c r="DJ27" s="20">
        <f t="shared" si="95"/>
        <v>695.8684582000001</v>
      </c>
      <c r="DK27" s="51">
        <f t="shared" si="96"/>
        <v>451.0432336</v>
      </c>
      <c r="DL27" s="51"/>
      <c r="DM27" s="33">
        <f t="shared" si="97"/>
        <v>91927.50349999999</v>
      </c>
      <c r="DN27" s="33">
        <f t="shared" si="39"/>
        <v>9681.24591</v>
      </c>
      <c r="DO27" s="33">
        <f t="shared" si="40"/>
        <v>101608.74940999999</v>
      </c>
      <c r="DP27" s="20">
        <f t="shared" si="98"/>
        <v>3894.6144986</v>
      </c>
      <c r="DQ27" s="51">
        <f t="shared" si="99"/>
        <v>2524.3844528</v>
      </c>
      <c r="DR27" s="51"/>
      <c r="DS27" s="33">
        <f t="shared" si="100"/>
        <v>267.05699999999996</v>
      </c>
      <c r="DT27" s="33">
        <f t="shared" si="41"/>
        <v>28.12482</v>
      </c>
      <c r="DU27" s="33">
        <f t="shared" si="42"/>
        <v>295.18181999999996</v>
      </c>
      <c r="DV27" s="20">
        <f t="shared" si="101"/>
        <v>11.314177200000001</v>
      </c>
      <c r="DW27" s="51">
        <f t="shared" si="102"/>
        <v>7.333545600000001</v>
      </c>
      <c r="DX27" s="51"/>
      <c r="DY27" s="33">
        <f t="shared" si="103"/>
        <v>17527.4015</v>
      </c>
      <c r="DZ27" s="33">
        <f t="shared" si="43"/>
        <v>1845.8793899999998</v>
      </c>
      <c r="EA27" s="33">
        <f t="shared" si="44"/>
        <v>19373.280889999998</v>
      </c>
      <c r="EB27" s="20">
        <f t="shared" si="104"/>
        <v>742.5685394000001</v>
      </c>
      <c r="EC27" s="51">
        <f t="shared" si="105"/>
        <v>481.31297120000005</v>
      </c>
      <c r="ED27" s="51"/>
      <c r="EE27" s="33">
        <f t="shared" si="106"/>
        <v>15387.648500000001</v>
      </c>
      <c r="EF27" s="33">
        <f t="shared" si="45"/>
        <v>1620.53361</v>
      </c>
      <c r="EG27" s="33">
        <f t="shared" si="46"/>
        <v>17008.18211</v>
      </c>
      <c r="EH27" s="20">
        <f t="shared" si="107"/>
        <v>651.9154406</v>
      </c>
      <c r="EI27" s="51">
        <f t="shared" si="108"/>
        <v>422.5540688</v>
      </c>
      <c r="EJ27" s="51"/>
    </row>
    <row r="28" spans="1:140" s="53" customFormat="1" ht="12">
      <c r="A28" s="52">
        <v>45566</v>
      </c>
      <c r="C28" s="41"/>
      <c r="D28" s="41">
        <v>441325</v>
      </c>
      <c r="E28" s="35">
        <f t="shared" si="0"/>
        <v>441325</v>
      </c>
      <c r="F28" s="35">
        <v>232802</v>
      </c>
      <c r="G28" s="35">
        <v>150896</v>
      </c>
      <c r="H28" s="51"/>
      <c r="I28" s="71"/>
      <c r="J28" s="51">
        <f t="shared" si="1"/>
        <v>44714.431145</v>
      </c>
      <c r="K28" s="51">
        <f t="shared" si="2"/>
        <v>44714.431145</v>
      </c>
      <c r="L28" s="51">
        <f t="shared" si="3"/>
        <v>23587.172717200003</v>
      </c>
      <c r="M28" s="51">
        <f t="shared" si="3"/>
        <v>15288.5714656</v>
      </c>
      <c r="N28" s="51"/>
      <c r="O28" s="33"/>
      <c r="P28" s="33">
        <f t="shared" si="4"/>
        <v>4468.415625</v>
      </c>
      <c r="Q28" s="33">
        <f t="shared" si="5"/>
        <v>4468.415625</v>
      </c>
      <c r="R28" s="20">
        <f t="shared" si="49"/>
        <v>2357.12025</v>
      </c>
      <c r="S28" s="51">
        <f t="shared" si="50"/>
        <v>1527.8220000000001</v>
      </c>
      <c r="T28" s="20"/>
      <c r="U28" s="20">
        <f t="shared" si="51"/>
        <v>0</v>
      </c>
      <c r="V28" s="20">
        <f t="shared" si="6"/>
        <v>574.8479569067298</v>
      </c>
      <c r="W28" s="20">
        <f t="shared" si="7"/>
        <v>574.8479569067298</v>
      </c>
      <c r="X28" s="20">
        <f t="shared" si="52"/>
        <v>303.2362863282173</v>
      </c>
      <c r="Y28" s="51">
        <f t="shared" si="53"/>
        <v>196.5496115230225</v>
      </c>
      <c r="Z28" s="51"/>
      <c r="AA28" s="33"/>
      <c r="AB28" s="51">
        <f t="shared" si="8"/>
        <v>10487.823830000001</v>
      </c>
      <c r="AC28" s="51">
        <f t="shared" si="9"/>
        <v>10487.823830000001</v>
      </c>
      <c r="AD28" s="20">
        <f t="shared" si="55"/>
        <v>5532.399848800001</v>
      </c>
      <c r="AE28" s="51">
        <f t="shared" si="56"/>
        <v>3585.9529024000003</v>
      </c>
      <c r="AF28" s="51"/>
      <c r="AG28" s="33"/>
      <c r="AH28" s="33">
        <f t="shared" si="10"/>
        <v>303.45507000000003</v>
      </c>
      <c r="AI28" s="33">
        <f t="shared" si="11"/>
        <v>303.45507000000003</v>
      </c>
      <c r="AJ28" s="20">
        <f t="shared" si="58"/>
        <v>160.0746552</v>
      </c>
      <c r="AK28" s="51">
        <f t="shared" si="59"/>
        <v>103.7560896</v>
      </c>
      <c r="AL28" s="51"/>
      <c r="AM28" s="33"/>
      <c r="AN28" s="33">
        <f t="shared" si="12"/>
        <v>221.36862000000002</v>
      </c>
      <c r="AO28" s="33">
        <f t="shared" si="13"/>
        <v>221.36862000000002</v>
      </c>
      <c r="AP28" s="20">
        <f t="shared" si="61"/>
        <v>116.77348320000002</v>
      </c>
      <c r="AQ28" s="51">
        <f t="shared" si="62"/>
        <v>75.6894336</v>
      </c>
      <c r="AR28" s="51"/>
      <c r="AS28" s="33"/>
      <c r="AT28" s="33">
        <f t="shared" si="14"/>
        <v>3089.275</v>
      </c>
      <c r="AU28" s="33">
        <f t="shared" si="15"/>
        <v>3089.275</v>
      </c>
      <c r="AV28" s="20">
        <f t="shared" si="64"/>
        <v>1629.614</v>
      </c>
      <c r="AW28" s="51">
        <f t="shared" si="65"/>
        <v>1056.272</v>
      </c>
      <c r="AX28" s="51"/>
      <c r="AY28" s="33"/>
      <c r="AZ28" s="33">
        <f t="shared" si="16"/>
        <v>2285.0484524999997</v>
      </c>
      <c r="BA28" s="33">
        <f t="shared" si="17"/>
        <v>2285.0484524999997</v>
      </c>
      <c r="BB28" s="20">
        <f t="shared" si="67"/>
        <v>1205.3789154</v>
      </c>
      <c r="BC28" s="51">
        <f t="shared" si="68"/>
        <v>781.2942192</v>
      </c>
      <c r="BD28" s="20"/>
      <c r="BE28" s="20">
        <f t="shared" si="18"/>
        <v>0</v>
      </c>
      <c r="BF28" s="20">
        <f t="shared" si="19"/>
        <v>793.2154105932702</v>
      </c>
      <c r="BG28" s="20">
        <f t="shared" si="20"/>
        <v>793.2154105932702</v>
      </c>
      <c r="BH28" s="20">
        <f t="shared" si="69"/>
        <v>418.4266334717827</v>
      </c>
      <c r="BI28" s="51">
        <f t="shared" si="70"/>
        <v>271.21289887697753</v>
      </c>
      <c r="BJ28" s="33"/>
      <c r="BK28" s="51"/>
      <c r="BL28" s="51">
        <f t="shared" si="21"/>
        <v>1208.612645</v>
      </c>
      <c r="BM28" s="33">
        <f t="shared" si="22"/>
        <v>1208.612645</v>
      </c>
      <c r="BN28" s="20">
        <f t="shared" si="72"/>
        <v>637.5515571999999</v>
      </c>
      <c r="BO28" s="51">
        <f t="shared" si="73"/>
        <v>413.24378559999997</v>
      </c>
      <c r="BP28" s="33"/>
      <c r="BQ28" s="51"/>
      <c r="BR28" s="51">
        <f t="shared" si="23"/>
        <v>3446.04213</v>
      </c>
      <c r="BS28" s="33">
        <f t="shared" si="24"/>
        <v>3446.04213</v>
      </c>
      <c r="BT28" s="20">
        <f t="shared" si="75"/>
        <v>1817.8111368</v>
      </c>
      <c r="BU28" s="51">
        <f t="shared" si="76"/>
        <v>1178.2563264</v>
      </c>
      <c r="BV28" s="33"/>
      <c r="BW28" s="33"/>
      <c r="BX28" s="33">
        <f t="shared" si="25"/>
        <v>1619.1772925</v>
      </c>
      <c r="BY28" s="33">
        <f t="shared" si="26"/>
        <v>1619.1772925</v>
      </c>
      <c r="BZ28" s="20">
        <f t="shared" si="78"/>
        <v>854.1272578</v>
      </c>
      <c r="CA28" s="51">
        <f t="shared" si="79"/>
        <v>553.6223344</v>
      </c>
      <c r="CB28" s="51"/>
      <c r="CC28" s="33"/>
      <c r="CD28" s="33">
        <f t="shared" si="27"/>
        <v>1171.8502725</v>
      </c>
      <c r="CE28" s="33">
        <f t="shared" si="28"/>
        <v>1171.8502725</v>
      </c>
      <c r="CF28" s="20">
        <f t="shared" si="81"/>
        <v>618.1591506000001</v>
      </c>
      <c r="CG28" s="51">
        <f t="shared" si="82"/>
        <v>400.6741488</v>
      </c>
      <c r="CH28" s="51"/>
      <c r="CI28" s="33"/>
      <c r="CJ28" s="33">
        <f t="shared" si="29"/>
        <v>1686.7000175</v>
      </c>
      <c r="CK28" s="33">
        <f t="shared" si="30"/>
        <v>1686.7000175</v>
      </c>
      <c r="CL28" s="20">
        <f t="shared" si="84"/>
        <v>889.7459638</v>
      </c>
      <c r="CM28" s="51">
        <f t="shared" si="85"/>
        <v>576.7094224</v>
      </c>
      <c r="CN28" s="51"/>
      <c r="CO28" s="33"/>
      <c r="CP28" s="33">
        <f t="shared" si="31"/>
        <v>346.9255825</v>
      </c>
      <c r="CQ28" s="33">
        <f t="shared" si="32"/>
        <v>346.9255825</v>
      </c>
      <c r="CR28" s="20">
        <f t="shared" si="109"/>
        <v>183.0056522</v>
      </c>
      <c r="CS28" s="51">
        <f t="shared" si="87"/>
        <v>118.6193456</v>
      </c>
      <c r="CT28" s="33"/>
      <c r="CU28" s="33"/>
      <c r="CV28" s="33">
        <f t="shared" si="33"/>
        <v>1316.1635475</v>
      </c>
      <c r="CW28" s="33">
        <f t="shared" si="34"/>
        <v>1316.1635475</v>
      </c>
      <c r="CX28" s="20">
        <f t="shared" si="89"/>
        <v>694.2854046</v>
      </c>
      <c r="CY28" s="51">
        <f t="shared" si="90"/>
        <v>450.0171408</v>
      </c>
      <c r="CZ28" s="51"/>
      <c r="DA28" s="33"/>
      <c r="DB28" s="33">
        <f t="shared" si="35"/>
        <v>328.30166749999995</v>
      </c>
      <c r="DC28" s="33">
        <f t="shared" si="36"/>
        <v>328.30166749999995</v>
      </c>
      <c r="DD28" s="20">
        <f t="shared" si="92"/>
        <v>173.18140780000002</v>
      </c>
      <c r="DE28" s="51">
        <f t="shared" si="93"/>
        <v>112.25153440000001</v>
      </c>
      <c r="DF28" s="51"/>
      <c r="DG28" s="33"/>
      <c r="DH28" s="33">
        <f t="shared" si="37"/>
        <v>1319.1645575</v>
      </c>
      <c r="DI28" s="33">
        <f t="shared" si="38"/>
        <v>1319.1645575</v>
      </c>
      <c r="DJ28" s="20">
        <f t="shared" si="95"/>
        <v>695.8684582000001</v>
      </c>
      <c r="DK28" s="51">
        <f t="shared" si="96"/>
        <v>451.0432336</v>
      </c>
      <c r="DL28" s="51"/>
      <c r="DM28" s="33"/>
      <c r="DN28" s="33">
        <f t="shared" si="39"/>
        <v>7383.0583225</v>
      </c>
      <c r="DO28" s="33">
        <f t="shared" si="40"/>
        <v>7383.0583225</v>
      </c>
      <c r="DP28" s="20">
        <f t="shared" si="98"/>
        <v>3894.6144986</v>
      </c>
      <c r="DQ28" s="51">
        <f t="shared" si="99"/>
        <v>2524.3844528</v>
      </c>
      <c r="DR28" s="51"/>
      <c r="DS28" s="33"/>
      <c r="DT28" s="33">
        <f t="shared" si="41"/>
        <v>21.448395</v>
      </c>
      <c r="DU28" s="33">
        <f t="shared" si="42"/>
        <v>21.448395</v>
      </c>
      <c r="DV28" s="20">
        <f t="shared" si="101"/>
        <v>11.314177200000001</v>
      </c>
      <c r="DW28" s="51">
        <f t="shared" si="102"/>
        <v>7.333545600000001</v>
      </c>
      <c r="DX28" s="51"/>
      <c r="DY28" s="33"/>
      <c r="DZ28" s="33">
        <f t="shared" si="43"/>
        <v>1407.6943524999997</v>
      </c>
      <c r="EA28" s="33">
        <f t="shared" si="44"/>
        <v>1407.6943524999997</v>
      </c>
      <c r="EB28" s="20">
        <f t="shared" si="104"/>
        <v>742.5685394000001</v>
      </c>
      <c r="EC28" s="51">
        <f t="shared" si="105"/>
        <v>481.31297120000005</v>
      </c>
      <c r="ED28" s="51"/>
      <c r="EE28" s="33"/>
      <c r="EF28" s="33">
        <f t="shared" si="45"/>
        <v>1235.8423974999998</v>
      </c>
      <c r="EG28" s="33">
        <f t="shared" si="46"/>
        <v>1235.8423974999998</v>
      </c>
      <c r="EH28" s="20">
        <f t="shared" si="107"/>
        <v>651.9154406</v>
      </c>
      <c r="EI28" s="51">
        <f t="shared" si="108"/>
        <v>422.5540688</v>
      </c>
      <c r="EJ28" s="51"/>
    </row>
    <row r="29" spans="1:140" s="53" customFormat="1" ht="12">
      <c r="A29" s="52">
        <v>45748</v>
      </c>
      <c r="C29" s="41">
        <v>5770000</v>
      </c>
      <c r="D29" s="41">
        <v>441325</v>
      </c>
      <c r="E29" s="35">
        <f t="shared" si="0"/>
        <v>6211325</v>
      </c>
      <c r="F29" s="35">
        <v>232802</v>
      </c>
      <c r="G29" s="35">
        <v>150896</v>
      </c>
      <c r="H29" s="51"/>
      <c r="I29" s="71">
        <f t="shared" si="47"/>
        <v>584608.3220000003</v>
      </c>
      <c r="J29" s="51">
        <f t="shared" si="1"/>
        <v>44714.431145</v>
      </c>
      <c r="K29" s="51">
        <f t="shared" si="2"/>
        <v>629322.7531450003</v>
      </c>
      <c r="L29" s="51">
        <f t="shared" si="3"/>
        <v>23587.172717200003</v>
      </c>
      <c r="M29" s="51">
        <f t="shared" si="3"/>
        <v>15288.5714656</v>
      </c>
      <c r="N29" s="51"/>
      <c r="O29" s="33">
        <f t="shared" si="48"/>
        <v>58421.25</v>
      </c>
      <c r="P29" s="33">
        <f t="shared" si="4"/>
        <v>4468.415625</v>
      </c>
      <c r="Q29" s="33">
        <f t="shared" si="5"/>
        <v>62889.665625</v>
      </c>
      <c r="R29" s="20">
        <f t="shared" si="49"/>
        <v>2357.12025</v>
      </c>
      <c r="S29" s="51">
        <f t="shared" si="50"/>
        <v>1527.8220000000001</v>
      </c>
      <c r="T29" s="20"/>
      <c r="U29" s="20">
        <f t="shared" si="51"/>
        <v>7515.714521841796</v>
      </c>
      <c r="V29" s="20">
        <f t="shared" si="6"/>
        <v>574.8479569067298</v>
      </c>
      <c r="W29" s="20">
        <f t="shared" si="7"/>
        <v>8090.562478748526</v>
      </c>
      <c r="X29" s="20">
        <f t="shared" si="52"/>
        <v>303.2362863282173</v>
      </c>
      <c r="Y29" s="51">
        <f t="shared" si="53"/>
        <v>196.5496115230225</v>
      </c>
      <c r="Z29" s="51"/>
      <c r="AA29" s="33">
        <f t="shared" si="54"/>
        <v>137120.58800000002</v>
      </c>
      <c r="AB29" s="51">
        <f t="shared" si="8"/>
        <v>10487.823830000001</v>
      </c>
      <c r="AC29" s="51">
        <f t="shared" si="9"/>
        <v>147608.41183000003</v>
      </c>
      <c r="AD29" s="20">
        <f t="shared" si="55"/>
        <v>5532.399848800001</v>
      </c>
      <c r="AE29" s="51">
        <f t="shared" si="56"/>
        <v>3585.9529024000003</v>
      </c>
      <c r="AF29" s="51"/>
      <c r="AG29" s="33">
        <f t="shared" si="57"/>
        <v>3967.452</v>
      </c>
      <c r="AH29" s="33">
        <f t="shared" si="10"/>
        <v>303.45507000000003</v>
      </c>
      <c r="AI29" s="33">
        <f t="shared" si="11"/>
        <v>4270.90707</v>
      </c>
      <c r="AJ29" s="20">
        <f t="shared" si="58"/>
        <v>160.0746552</v>
      </c>
      <c r="AK29" s="51">
        <f t="shared" si="59"/>
        <v>103.7560896</v>
      </c>
      <c r="AL29" s="51"/>
      <c r="AM29" s="33">
        <f t="shared" si="60"/>
        <v>2894.232</v>
      </c>
      <c r="AN29" s="33">
        <f t="shared" si="12"/>
        <v>221.36862000000002</v>
      </c>
      <c r="AO29" s="33">
        <f t="shared" si="13"/>
        <v>3115.60062</v>
      </c>
      <c r="AP29" s="20">
        <f t="shared" si="61"/>
        <v>116.77348320000002</v>
      </c>
      <c r="AQ29" s="51">
        <f t="shared" si="62"/>
        <v>75.6894336</v>
      </c>
      <c r="AR29" s="51"/>
      <c r="AS29" s="33">
        <f t="shared" si="63"/>
        <v>40389.99999999999</v>
      </c>
      <c r="AT29" s="33">
        <f t="shared" si="14"/>
        <v>3089.275</v>
      </c>
      <c r="AU29" s="33">
        <f t="shared" si="15"/>
        <v>43479.274999999994</v>
      </c>
      <c r="AV29" s="20">
        <f t="shared" si="64"/>
        <v>1629.614</v>
      </c>
      <c r="AW29" s="51">
        <f t="shared" si="65"/>
        <v>1056.272</v>
      </c>
      <c r="AX29" s="51"/>
      <c r="AY29" s="33">
        <f t="shared" si="66"/>
        <v>29875.328999999998</v>
      </c>
      <c r="AZ29" s="33">
        <f t="shared" si="16"/>
        <v>2285.0484524999997</v>
      </c>
      <c r="BA29" s="33">
        <f t="shared" si="17"/>
        <v>32160.377452499997</v>
      </c>
      <c r="BB29" s="20">
        <f t="shared" si="67"/>
        <v>1205.3789154</v>
      </c>
      <c r="BC29" s="51">
        <f t="shared" si="68"/>
        <v>781.2942192</v>
      </c>
      <c r="BD29" s="20"/>
      <c r="BE29" s="20">
        <f t="shared" si="18"/>
        <v>10370.708478158203</v>
      </c>
      <c r="BF29" s="20">
        <f t="shared" si="19"/>
        <v>793.2154105932702</v>
      </c>
      <c r="BG29" s="20">
        <f t="shared" si="20"/>
        <v>11163.923888751473</v>
      </c>
      <c r="BH29" s="20">
        <f t="shared" si="69"/>
        <v>418.4266334717827</v>
      </c>
      <c r="BI29" s="51">
        <f t="shared" si="70"/>
        <v>271.21289887697753</v>
      </c>
      <c r="BJ29" s="33"/>
      <c r="BK29" s="51">
        <f t="shared" si="71"/>
        <v>15801.722</v>
      </c>
      <c r="BL29" s="51">
        <f t="shared" si="21"/>
        <v>1208.612645</v>
      </c>
      <c r="BM29" s="33">
        <f t="shared" si="22"/>
        <v>17010.334645</v>
      </c>
      <c r="BN29" s="20">
        <f t="shared" si="72"/>
        <v>637.5515571999999</v>
      </c>
      <c r="BO29" s="51">
        <f t="shared" si="73"/>
        <v>413.24378559999997</v>
      </c>
      <c r="BP29" s="33"/>
      <c r="BQ29" s="51">
        <f t="shared" si="74"/>
        <v>45054.468</v>
      </c>
      <c r="BR29" s="51">
        <f t="shared" si="23"/>
        <v>3446.04213</v>
      </c>
      <c r="BS29" s="33">
        <f t="shared" si="24"/>
        <v>48500.51013</v>
      </c>
      <c r="BT29" s="20">
        <f t="shared" si="75"/>
        <v>1817.8111368</v>
      </c>
      <c r="BU29" s="51">
        <f t="shared" si="76"/>
        <v>1178.2563264</v>
      </c>
      <c r="BV29" s="33"/>
      <c r="BW29" s="33">
        <f t="shared" si="77"/>
        <v>21169.553</v>
      </c>
      <c r="BX29" s="33">
        <f t="shared" si="25"/>
        <v>1619.1772925</v>
      </c>
      <c r="BY29" s="33">
        <f t="shared" si="26"/>
        <v>22788.7302925</v>
      </c>
      <c r="BZ29" s="20">
        <f t="shared" si="78"/>
        <v>854.1272578</v>
      </c>
      <c r="CA29" s="51">
        <f t="shared" si="79"/>
        <v>553.6223344</v>
      </c>
      <c r="CB29" s="51"/>
      <c r="CC29" s="33">
        <f t="shared" si="80"/>
        <v>15321.080999999998</v>
      </c>
      <c r="CD29" s="33">
        <f t="shared" si="27"/>
        <v>1171.8502725</v>
      </c>
      <c r="CE29" s="33">
        <f t="shared" si="28"/>
        <v>16492.931272499998</v>
      </c>
      <c r="CF29" s="20">
        <f t="shared" si="81"/>
        <v>618.1591506000001</v>
      </c>
      <c r="CG29" s="51">
        <f t="shared" si="82"/>
        <v>400.6741488</v>
      </c>
      <c r="CH29" s="51"/>
      <c r="CI29" s="33">
        <f t="shared" si="83"/>
        <v>22052.362999999998</v>
      </c>
      <c r="CJ29" s="33">
        <f t="shared" si="29"/>
        <v>1686.7000175</v>
      </c>
      <c r="CK29" s="33">
        <f t="shared" si="30"/>
        <v>23739.063017499997</v>
      </c>
      <c r="CL29" s="20">
        <f t="shared" si="84"/>
        <v>889.7459638</v>
      </c>
      <c r="CM29" s="51">
        <f t="shared" si="85"/>
        <v>576.7094224</v>
      </c>
      <c r="CN29" s="51"/>
      <c r="CO29" s="33">
        <f t="shared" si="86"/>
        <v>4535.7970000000005</v>
      </c>
      <c r="CP29" s="33">
        <f t="shared" si="31"/>
        <v>346.9255825</v>
      </c>
      <c r="CQ29" s="33">
        <f t="shared" si="32"/>
        <v>4882.7225825000005</v>
      </c>
      <c r="CR29" s="20">
        <f t="shared" si="109"/>
        <v>183.0056522</v>
      </c>
      <c r="CS29" s="51">
        <f t="shared" si="87"/>
        <v>118.6193456</v>
      </c>
      <c r="CT29" s="33"/>
      <c r="CU29" s="33">
        <f t="shared" si="88"/>
        <v>17207.871</v>
      </c>
      <c r="CV29" s="33">
        <f t="shared" si="33"/>
        <v>1316.1635475</v>
      </c>
      <c r="CW29" s="33">
        <f t="shared" si="34"/>
        <v>18524.0345475</v>
      </c>
      <c r="CX29" s="20">
        <f t="shared" si="89"/>
        <v>694.2854046</v>
      </c>
      <c r="CY29" s="51">
        <f t="shared" si="90"/>
        <v>450.0171408</v>
      </c>
      <c r="CZ29" s="51"/>
      <c r="DA29" s="33">
        <f t="shared" si="91"/>
        <v>4292.303</v>
      </c>
      <c r="DB29" s="33">
        <f t="shared" si="35"/>
        <v>328.30166749999995</v>
      </c>
      <c r="DC29" s="33">
        <f t="shared" si="36"/>
        <v>4620.6046675</v>
      </c>
      <c r="DD29" s="20">
        <f t="shared" si="92"/>
        <v>173.18140780000002</v>
      </c>
      <c r="DE29" s="51">
        <f t="shared" si="93"/>
        <v>112.25153440000001</v>
      </c>
      <c r="DF29" s="51"/>
      <c r="DG29" s="33">
        <f t="shared" si="94"/>
        <v>17247.107</v>
      </c>
      <c r="DH29" s="33">
        <f t="shared" si="37"/>
        <v>1319.1645575</v>
      </c>
      <c r="DI29" s="33">
        <f t="shared" si="38"/>
        <v>18566.2715575</v>
      </c>
      <c r="DJ29" s="20">
        <f t="shared" si="95"/>
        <v>695.8684582000001</v>
      </c>
      <c r="DK29" s="51">
        <f t="shared" si="96"/>
        <v>451.0432336</v>
      </c>
      <c r="DL29" s="51"/>
      <c r="DM29" s="33">
        <f t="shared" si="97"/>
        <v>96528.061</v>
      </c>
      <c r="DN29" s="33">
        <f t="shared" si="39"/>
        <v>7383.0583225</v>
      </c>
      <c r="DO29" s="33">
        <f t="shared" si="40"/>
        <v>103911.1193225</v>
      </c>
      <c r="DP29" s="20">
        <f t="shared" si="98"/>
        <v>3894.6144986</v>
      </c>
      <c r="DQ29" s="51">
        <f t="shared" si="99"/>
        <v>2524.3844528</v>
      </c>
      <c r="DR29" s="51"/>
      <c r="DS29" s="33">
        <f t="shared" si="100"/>
        <v>280.42199999999997</v>
      </c>
      <c r="DT29" s="33">
        <f t="shared" si="41"/>
        <v>21.448395</v>
      </c>
      <c r="DU29" s="33">
        <f t="shared" si="42"/>
        <v>301.870395</v>
      </c>
      <c r="DV29" s="20">
        <f t="shared" si="101"/>
        <v>11.314177200000001</v>
      </c>
      <c r="DW29" s="51">
        <f t="shared" si="102"/>
        <v>7.333545600000001</v>
      </c>
      <c r="DX29" s="51"/>
      <c r="DY29" s="33">
        <f t="shared" si="103"/>
        <v>18404.569</v>
      </c>
      <c r="DZ29" s="33">
        <f t="shared" si="43"/>
        <v>1407.6943524999997</v>
      </c>
      <c r="EA29" s="33">
        <f t="shared" si="44"/>
        <v>19812.2633525</v>
      </c>
      <c r="EB29" s="20">
        <f t="shared" si="104"/>
        <v>742.5685394000001</v>
      </c>
      <c r="EC29" s="51">
        <f t="shared" si="105"/>
        <v>481.31297120000005</v>
      </c>
      <c r="ED29" s="51"/>
      <c r="EE29" s="33">
        <f t="shared" si="106"/>
        <v>16157.731000000002</v>
      </c>
      <c r="EF29" s="33">
        <f t="shared" si="45"/>
        <v>1235.8423974999998</v>
      </c>
      <c r="EG29" s="33">
        <f t="shared" si="46"/>
        <v>17393.5733975</v>
      </c>
      <c r="EH29" s="20">
        <f t="shared" si="107"/>
        <v>651.9154406</v>
      </c>
      <c r="EI29" s="51">
        <f t="shared" si="108"/>
        <v>422.5540688</v>
      </c>
      <c r="EJ29" s="51"/>
    </row>
    <row r="30" spans="1:140" s="53" customFormat="1" ht="12">
      <c r="A30" s="52">
        <v>45931</v>
      </c>
      <c r="C30" s="41"/>
      <c r="D30" s="41">
        <v>297075</v>
      </c>
      <c r="E30" s="35">
        <f t="shared" si="0"/>
        <v>297075</v>
      </c>
      <c r="F30" s="35">
        <v>232802</v>
      </c>
      <c r="G30" s="35">
        <v>150896</v>
      </c>
      <c r="H30" s="51"/>
      <c r="I30" s="71"/>
      <c r="J30" s="51">
        <f t="shared" si="1"/>
        <v>30099.223095000005</v>
      </c>
      <c r="K30" s="51">
        <f t="shared" si="2"/>
        <v>30099.223095000005</v>
      </c>
      <c r="L30" s="51">
        <f t="shared" si="3"/>
        <v>23587.172717200003</v>
      </c>
      <c r="M30" s="51">
        <f t="shared" si="3"/>
        <v>15288.5714656</v>
      </c>
      <c r="N30" s="51"/>
      <c r="O30" s="33"/>
      <c r="P30" s="33">
        <f t="shared" si="4"/>
        <v>3007.884375</v>
      </c>
      <c r="Q30" s="33">
        <f t="shared" si="5"/>
        <v>3007.884375</v>
      </c>
      <c r="R30" s="20">
        <f t="shared" si="49"/>
        <v>2357.12025</v>
      </c>
      <c r="S30" s="51">
        <f t="shared" si="50"/>
        <v>1527.8220000000001</v>
      </c>
      <c r="T30" s="20"/>
      <c r="U30" s="20">
        <f t="shared" si="51"/>
        <v>0</v>
      </c>
      <c r="V30" s="20">
        <f t="shared" si="6"/>
        <v>386.9550938606849</v>
      </c>
      <c r="W30" s="20">
        <f t="shared" si="7"/>
        <v>386.9550938606849</v>
      </c>
      <c r="X30" s="20">
        <f t="shared" si="52"/>
        <v>303.2362863282173</v>
      </c>
      <c r="Y30" s="51">
        <f t="shared" si="53"/>
        <v>196.5496115230225</v>
      </c>
      <c r="Z30" s="51"/>
      <c r="AA30" s="33"/>
      <c r="AB30" s="51">
        <f t="shared" si="8"/>
        <v>7059.809130000001</v>
      </c>
      <c r="AC30" s="51">
        <f t="shared" si="9"/>
        <v>7059.809130000001</v>
      </c>
      <c r="AD30" s="20">
        <f t="shared" si="55"/>
        <v>5532.399848800001</v>
      </c>
      <c r="AE30" s="51">
        <f t="shared" si="56"/>
        <v>3585.9529024000003</v>
      </c>
      <c r="AF30" s="51"/>
      <c r="AG30" s="33"/>
      <c r="AH30" s="33">
        <f t="shared" si="10"/>
        <v>204.26877000000002</v>
      </c>
      <c r="AI30" s="33">
        <f t="shared" si="11"/>
        <v>204.26877000000002</v>
      </c>
      <c r="AJ30" s="20">
        <f t="shared" si="58"/>
        <v>160.0746552</v>
      </c>
      <c r="AK30" s="51">
        <f t="shared" si="59"/>
        <v>103.7560896</v>
      </c>
      <c r="AL30" s="51"/>
      <c r="AM30" s="33"/>
      <c r="AN30" s="33">
        <f t="shared" si="12"/>
        <v>149.01282</v>
      </c>
      <c r="AO30" s="33">
        <f t="shared" si="13"/>
        <v>149.01282</v>
      </c>
      <c r="AP30" s="20">
        <f t="shared" si="61"/>
        <v>116.77348320000002</v>
      </c>
      <c r="AQ30" s="51">
        <f t="shared" si="62"/>
        <v>75.6894336</v>
      </c>
      <c r="AR30" s="51"/>
      <c r="AS30" s="33"/>
      <c r="AT30" s="33">
        <f t="shared" si="14"/>
        <v>2079.525</v>
      </c>
      <c r="AU30" s="33">
        <f t="shared" si="15"/>
        <v>2079.525</v>
      </c>
      <c r="AV30" s="20">
        <f t="shared" si="64"/>
        <v>1629.614</v>
      </c>
      <c r="AW30" s="51">
        <f t="shared" si="65"/>
        <v>1056.272</v>
      </c>
      <c r="AX30" s="51"/>
      <c r="AY30" s="33"/>
      <c r="AZ30" s="33">
        <f t="shared" si="16"/>
        <v>1538.1652274999997</v>
      </c>
      <c r="BA30" s="33">
        <f t="shared" si="17"/>
        <v>1538.1652274999997</v>
      </c>
      <c r="BB30" s="20">
        <f t="shared" si="67"/>
        <v>1205.3789154</v>
      </c>
      <c r="BC30" s="51">
        <f t="shared" si="68"/>
        <v>781.2942192</v>
      </c>
      <c r="BD30" s="20"/>
      <c r="BE30" s="20">
        <f t="shared" si="18"/>
        <v>0</v>
      </c>
      <c r="BF30" s="20">
        <f t="shared" si="19"/>
        <v>533.9476986393151</v>
      </c>
      <c r="BG30" s="20">
        <f t="shared" si="20"/>
        <v>533.9476986393151</v>
      </c>
      <c r="BH30" s="20">
        <f t="shared" si="69"/>
        <v>418.4266334717827</v>
      </c>
      <c r="BI30" s="51">
        <f t="shared" si="70"/>
        <v>271.21289887697753</v>
      </c>
      <c r="BJ30" s="33"/>
      <c r="BK30" s="51"/>
      <c r="BL30" s="51">
        <f t="shared" si="21"/>
        <v>813.5695949999999</v>
      </c>
      <c r="BM30" s="33">
        <f t="shared" si="22"/>
        <v>813.5695949999999</v>
      </c>
      <c r="BN30" s="20">
        <f t="shared" si="72"/>
        <v>637.5515571999999</v>
      </c>
      <c r="BO30" s="51">
        <f t="shared" si="73"/>
        <v>413.24378559999997</v>
      </c>
      <c r="BP30" s="33"/>
      <c r="BQ30" s="51"/>
      <c r="BR30" s="51">
        <f t="shared" si="23"/>
        <v>2319.68043</v>
      </c>
      <c r="BS30" s="33">
        <f t="shared" si="24"/>
        <v>2319.68043</v>
      </c>
      <c r="BT30" s="20">
        <f t="shared" si="75"/>
        <v>1817.8111368</v>
      </c>
      <c r="BU30" s="51">
        <f t="shared" si="76"/>
        <v>1178.2563264</v>
      </c>
      <c r="BV30" s="33"/>
      <c r="BW30" s="33"/>
      <c r="BX30" s="33">
        <f t="shared" si="25"/>
        <v>1089.9384675</v>
      </c>
      <c r="BY30" s="33">
        <f t="shared" si="26"/>
        <v>1089.9384675</v>
      </c>
      <c r="BZ30" s="20">
        <f t="shared" si="78"/>
        <v>854.1272578</v>
      </c>
      <c r="CA30" s="51">
        <f t="shared" si="79"/>
        <v>553.6223344</v>
      </c>
      <c r="CB30" s="51"/>
      <c r="CC30" s="33"/>
      <c r="CD30" s="33">
        <f t="shared" si="27"/>
        <v>788.8232475</v>
      </c>
      <c r="CE30" s="33">
        <f t="shared" si="28"/>
        <v>788.8232475</v>
      </c>
      <c r="CF30" s="20">
        <f t="shared" si="81"/>
        <v>618.1591506000001</v>
      </c>
      <c r="CG30" s="51">
        <f t="shared" si="82"/>
        <v>400.6741488</v>
      </c>
      <c r="CH30" s="51"/>
      <c r="CI30" s="33"/>
      <c r="CJ30" s="33">
        <f t="shared" si="29"/>
        <v>1135.3909425</v>
      </c>
      <c r="CK30" s="33">
        <f t="shared" si="30"/>
        <v>1135.3909425</v>
      </c>
      <c r="CL30" s="20">
        <f t="shared" si="84"/>
        <v>889.7459638</v>
      </c>
      <c r="CM30" s="51">
        <f t="shared" si="85"/>
        <v>576.7094224</v>
      </c>
      <c r="CN30" s="51"/>
      <c r="CO30" s="33"/>
      <c r="CP30" s="33">
        <f t="shared" si="31"/>
        <v>233.53065750000002</v>
      </c>
      <c r="CQ30" s="33">
        <f t="shared" si="32"/>
        <v>233.53065750000002</v>
      </c>
      <c r="CR30" s="20">
        <f t="shared" si="109"/>
        <v>183.0056522</v>
      </c>
      <c r="CS30" s="51">
        <f t="shared" si="87"/>
        <v>118.6193456</v>
      </c>
      <c r="CT30" s="33"/>
      <c r="CU30" s="33"/>
      <c r="CV30" s="33">
        <f t="shared" si="33"/>
        <v>885.9667724999999</v>
      </c>
      <c r="CW30" s="33">
        <f t="shared" si="34"/>
        <v>885.9667724999999</v>
      </c>
      <c r="CX30" s="20">
        <f t="shared" si="89"/>
        <v>694.2854046</v>
      </c>
      <c r="CY30" s="51">
        <f t="shared" si="90"/>
        <v>450.0171408</v>
      </c>
      <c r="CZ30" s="51"/>
      <c r="DA30" s="33"/>
      <c r="DB30" s="33">
        <f t="shared" si="35"/>
        <v>220.9940925</v>
      </c>
      <c r="DC30" s="33">
        <f t="shared" si="36"/>
        <v>220.9940925</v>
      </c>
      <c r="DD30" s="20">
        <f t="shared" si="92"/>
        <v>173.18140780000002</v>
      </c>
      <c r="DE30" s="51">
        <f t="shared" si="93"/>
        <v>112.25153440000001</v>
      </c>
      <c r="DF30" s="51"/>
      <c r="DG30" s="33"/>
      <c r="DH30" s="33">
        <f t="shared" si="37"/>
        <v>887.9868825000001</v>
      </c>
      <c r="DI30" s="33">
        <f t="shared" si="38"/>
        <v>887.9868825000001</v>
      </c>
      <c r="DJ30" s="20">
        <f t="shared" si="95"/>
        <v>695.8684582000001</v>
      </c>
      <c r="DK30" s="51">
        <f t="shared" si="96"/>
        <v>451.0432336</v>
      </c>
      <c r="DL30" s="51"/>
      <c r="DM30" s="33"/>
      <c r="DN30" s="33">
        <f t="shared" si="39"/>
        <v>4969.8567975000005</v>
      </c>
      <c r="DO30" s="33">
        <f t="shared" si="40"/>
        <v>4969.8567975000005</v>
      </c>
      <c r="DP30" s="20">
        <f t="shared" si="98"/>
        <v>3894.6144986</v>
      </c>
      <c r="DQ30" s="51">
        <f t="shared" si="99"/>
        <v>2524.3844528</v>
      </c>
      <c r="DR30" s="51"/>
      <c r="DS30" s="33"/>
      <c r="DT30" s="33">
        <f t="shared" si="41"/>
        <v>14.437845</v>
      </c>
      <c r="DU30" s="33">
        <f t="shared" si="42"/>
        <v>14.437845</v>
      </c>
      <c r="DV30" s="20">
        <f t="shared" si="101"/>
        <v>11.314177200000001</v>
      </c>
      <c r="DW30" s="51">
        <f t="shared" si="102"/>
        <v>7.333545600000001</v>
      </c>
      <c r="DX30" s="51"/>
      <c r="DY30" s="33"/>
      <c r="DZ30" s="33">
        <f t="shared" si="43"/>
        <v>947.5801274999999</v>
      </c>
      <c r="EA30" s="33">
        <f t="shared" si="44"/>
        <v>947.5801274999999</v>
      </c>
      <c r="EB30" s="20">
        <f t="shared" si="104"/>
        <v>742.5685394000001</v>
      </c>
      <c r="EC30" s="51">
        <f t="shared" si="105"/>
        <v>481.31297120000005</v>
      </c>
      <c r="ED30" s="51"/>
      <c r="EE30" s="33"/>
      <c r="EF30" s="33">
        <f t="shared" si="45"/>
        <v>831.8991225</v>
      </c>
      <c r="EG30" s="33">
        <f t="shared" si="46"/>
        <v>831.8991225</v>
      </c>
      <c r="EH30" s="20">
        <f t="shared" si="107"/>
        <v>651.9154406</v>
      </c>
      <c r="EI30" s="51">
        <f t="shared" si="108"/>
        <v>422.5540688</v>
      </c>
      <c r="EJ30" s="51"/>
    </row>
    <row r="31" spans="1:140" s="53" customFormat="1" ht="12">
      <c r="A31" s="52">
        <v>46113</v>
      </c>
      <c r="C31" s="41">
        <v>6060000</v>
      </c>
      <c r="D31" s="41">
        <v>297075</v>
      </c>
      <c r="E31" s="35">
        <f t="shared" si="0"/>
        <v>6357075</v>
      </c>
      <c r="F31" s="35">
        <v>232802</v>
      </c>
      <c r="G31" s="35">
        <v>150896</v>
      </c>
      <c r="H31" s="51"/>
      <c r="I31" s="71">
        <f t="shared" si="47"/>
        <v>613990.7159999999</v>
      </c>
      <c r="J31" s="51">
        <f t="shared" si="1"/>
        <v>30099.223095000005</v>
      </c>
      <c r="K31" s="51">
        <f t="shared" si="2"/>
        <v>644089.9390949999</v>
      </c>
      <c r="L31" s="51">
        <f t="shared" si="3"/>
        <v>23587.172717200003</v>
      </c>
      <c r="M31" s="51">
        <f t="shared" si="3"/>
        <v>15288.5714656</v>
      </c>
      <c r="N31" s="51"/>
      <c r="O31" s="33">
        <f t="shared" si="48"/>
        <v>61357.5</v>
      </c>
      <c r="P31" s="33">
        <f t="shared" si="4"/>
        <v>3007.884375</v>
      </c>
      <c r="Q31" s="33">
        <f t="shared" si="5"/>
        <v>64365.384375</v>
      </c>
      <c r="R31" s="20">
        <f t="shared" si="49"/>
        <v>2357.12025</v>
      </c>
      <c r="S31" s="51">
        <f t="shared" si="50"/>
        <v>1527.8220000000001</v>
      </c>
      <c r="T31" s="20"/>
      <c r="U31" s="20">
        <f t="shared" si="51"/>
        <v>7893.454073199529</v>
      </c>
      <c r="V31" s="20">
        <f t="shared" si="6"/>
        <v>386.9550938606849</v>
      </c>
      <c r="W31" s="20">
        <f t="shared" si="7"/>
        <v>8280.409167060214</v>
      </c>
      <c r="X31" s="20">
        <f t="shared" si="52"/>
        <v>303.2362863282173</v>
      </c>
      <c r="Y31" s="51">
        <f t="shared" si="53"/>
        <v>196.5496115230225</v>
      </c>
      <c r="Z31" s="51"/>
      <c r="AA31" s="33">
        <f t="shared" si="54"/>
        <v>144012.264</v>
      </c>
      <c r="AB31" s="51">
        <f t="shared" si="8"/>
        <v>7059.809130000001</v>
      </c>
      <c r="AC31" s="51">
        <f t="shared" si="9"/>
        <v>151072.07313</v>
      </c>
      <c r="AD31" s="20">
        <f t="shared" si="55"/>
        <v>5532.399848800001</v>
      </c>
      <c r="AE31" s="51">
        <f t="shared" si="56"/>
        <v>3585.9529024000003</v>
      </c>
      <c r="AF31" s="51"/>
      <c r="AG31" s="33">
        <f t="shared" si="57"/>
        <v>4166.856000000001</v>
      </c>
      <c r="AH31" s="33">
        <f t="shared" si="10"/>
        <v>204.26877000000002</v>
      </c>
      <c r="AI31" s="33">
        <f t="shared" si="11"/>
        <v>4371.12477</v>
      </c>
      <c r="AJ31" s="20">
        <f t="shared" si="58"/>
        <v>160.0746552</v>
      </c>
      <c r="AK31" s="51">
        <f t="shared" si="59"/>
        <v>103.7560896</v>
      </c>
      <c r="AL31" s="51"/>
      <c r="AM31" s="33">
        <f t="shared" si="60"/>
        <v>3039.6960000000004</v>
      </c>
      <c r="AN31" s="33">
        <f t="shared" si="12"/>
        <v>149.01282</v>
      </c>
      <c r="AO31" s="33">
        <f t="shared" si="13"/>
        <v>3188.7088200000003</v>
      </c>
      <c r="AP31" s="20">
        <f t="shared" si="61"/>
        <v>116.77348320000002</v>
      </c>
      <c r="AQ31" s="51">
        <f t="shared" si="62"/>
        <v>75.6894336</v>
      </c>
      <c r="AR31" s="51"/>
      <c r="AS31" s="33">
        <f t="shared" si="63"/>
        <v>42420</v>
      </c>
      <c r="AT31" s="33">
        <f t="shared" si="14"/>
        <v>2079.525</v>
      </c>
      <c r="AU31" s="33">
        <f t="shared" si="15"/>
        <v>44499.525</v>
      </c>
      <c r="AV31" s="20">
        <f t="shared" si="64"/>
        <v>1629.614</v>
      </c>
      <c r="AW31" s="51">
        <f t="shared" si="65"/>
        <v>1056.272</v>
      </c>
      <c r="AX31" s="51"/>
      <c r="AY31" s="33">
        <f t="shared" si="66"/>
        <v>31376.861999999997</v>
      </c>
      <c r="AZ31" s="33">
        <f t="shared" si="16"/>
        <v>1538.1652274999997</v>
      </c>
      <c r="BA31" s="33">
        <f t="shared" si="17"/>
        <v>32915.027227499995</v>
      </c>
      <c r="BB31" s="20">
        <f t="shared" si="67"/>
        <v>1205.3789154</v>
      </c>
      <c r="BC31" s="51">
        <f t="shared" si="68"/>
        <v>781.2942192</v>
      </c>
      <c r="BD31" s="20"/>
      <c r="BE31" s="20">
        <f t="shared" si="18"/>
        <v>10891.93992680047</v>
      </c>
      <c r="BF31" s="20">
        <f t="shared" si="19"/>
        <v>533.9476986393151</v>
      </c>
      <c r="BG31" s="20">
        <f t="shared" si="20"/>
        <v>11425.887625439786</v>
      </c>
      <c r="BH31" s="20">
        <f t="shared" si="69"/>
        <v>418.4266334717827</v>
      </c>
      <c r="BI31" s="51">
        <f t="shared" si="70"/>
        <v>271.21289887697753</v>
      </c>
      <c r="BJ31" s="33"/>
      <c r="BK31" s="51">
        <f t="shared" si="71"/>
        <v>16595.915999999997</v>
      </c>
      <c r="BL31" s="51">
        <f t="shared" si="21"/>
        <v>813.5695949999999</v>
      </c>
      <c r="BM31" s="33">
        <f t="shared" si="22"/>
        <v>17409.485595</v>
      </c>
      <c r="BN31" s="20">
        <f t="shared" si="72"/>
        <v>637.5515571999999</v>
      </c>
      <c r="BO31" s="51">
        <f t="shared" si="73"/>
        <v>413.24378559999997</v>
      </c>
      <c r="BP31" s="33"/>
      <c r="BQ31" s="51">
        <f t="shared" si="74"/>
        <v>47318.903999999995</v>
      </c>
      <c r="BR31" s="51">
        <f t="shared" si="23"/>
        <v>2319.68043</v>
      </c>
      <c r="BS31" s="33">
        <f t="shared" si="24"/>
        <v>49638.584429999995</v>
      </c>
      <c r="BT31" s="20">
        <f t="shared" si="75"/>
        <v>1817.8111368</v>
      </c>
      <c r="BU31" s="51">
        <f t="shared" si="76"/>
        <v>1178.2563264</v>
      </c>
      <c r="BV31" s="33"/>
      <c r="BW31" s="33">
        <f t="shared" si="77"/>
        <v>22233.534</v>
      </c>
      <c r="BX31" s="33">
        <f t="shared" si="25"/>
        <v>1089.9384675</v>
      </c>
      <c r="BY31" s="33">
        <f t="shared" si="26"/>
        <v>23323.4724675</v>
      </c>
      <c r="BZ31" s="20">
        <f t="shared" si="78"/>
        <v>854.1272578</v>
      </c>
      <c r="CA31" s="51">
        <f t="shared" si="79"/>
        <v>553.6223344</v>
      </c>
      <c r="CB31" s="51"/>
      <c r="CC31" s="33">
        <f t="shared" si="80"/>
        <v>16091.117999999999</v>
      </c>
      <c r="CD31" s="33">
        <f t="shared" si="27"/>
        <v>788.8232475</v>
      </c>
      <c r="CE31" s="33">
        <f t="shared" si="28"/>
        <v>16879.9412475</v>
      </c>
      <c r="CF31" s="20">
        <f t="shared" si="81"/>
        <v>618.1591506000001</v>
      </c>
      <c r="CG31" s="51">
        <f t="shared" si="82"/>
        <v>400.6741488</v>
      </c>
      <c r="CH31" s="51"/>
      <c r="CI31" s="33">
        <f t="shared" si="83"/>
        <v>23160.714</v>
      </c>
      <c r="CJ31" s="33">
        <f t="shared" si="29"/>
        <v>1135.3909425</v>
      </c>
      <c r="CK31" s="33">
        <f t="shared" si="30"/>
        <v>24296.1049425</v>
      </c>
      <c r="CL31" s="20">
        <f t="shared" si="84"/>
        <v>889.7459638</v>
      </c>
      <c r="CM31" s="51">
        <f t="shared" si="85"/>
        <v>576.7094224</v>
      </c>
      <c r="CN31" s="51"/>
      <c r="CO31" s="33">
        <f t="shared" si="86"/>
        <v>4763.766</v>
      </c>
      <c r="CP31" s="33">
        <f t="shared" si="31"/>
        <v>233.53065750000002</v>
      </c>
      <c r="CQ31" s="33">
        <f t="shared" si="32"/>
        <v>4997.2966575</v>
      </c>
      <c r="CR31" s="20">
        <f t="shared" si="109"/>
        <v>183.0056522</v>
      </c>
      <c r="CS31" s="51">
        <f t="shared" si="87"/>
        <v>118.6193456</v>
      </c>
      <c r="CT31" s="33"/>
      <c r="CU31" s="33">
        <f t="shared" si="88"/>
        <v>18072.738</v>
      </c>
      <c r="CV31" s="33">
        <f t="shared" si="33"/>
        <v>885.9667724999999</v>
      </c>
      <c r="CW31" s="33">
        <f t="shared" si="34"/>
        <v>18958.7047725</v>
      </c>
      <c r="CX31" s="20">
        <f t="shared" si="89"/>
        <v>694.2854046</v>
      </c>
      <c r="CY31" s="51">
        <f t="shared" si="90"/>
        <v>450.0171408</v>
      </c>
      <c r="CZ31" s="51"/>
      <c r="DA31" s="33">
        <f t="shared" si="91"/>
        <v>4508.034</v>
      </c>
      <c r="DB31" s="33">
        <f t="shared" si="35"/>
        <v>220.9940925</v>
      </c>
      <c r="DC31" s="33">
        <f t="shared" si="36"/>
        <v>4729.0280925</v>
      </c>
      <c r="DD31" s="20">
        <f t="shared" si="92"/>
        <v>173.18140780000002</v>
      </c>
      <c r="DE31" s="51">
        <f t="shared" si="93"/>
        <v>112.25153440000001</v>
      </c>
      <c r="DF31" s="51"/>
      <c r="DG31" s="33">
        <f t="shared" si="94"/>
        <v>18113.946</v>
      </c>
      <c r="DH31" s="33">
        <f t="shared" si="37"/>
        <v>887.9868825000001</v>
      </c>
      <c r="DI31" s="33">
        <f t="shared" si="38"/>
        <v>19001.9328825</v>
      </c>
      <c r="DJ31" s="20">
        <f t="shared" si="95"/>
        <v>695.8684582000001</v>
      </c>
      <c r="DK31" s="51">
        <f t="shared" si="96"/>
        <v>451.0432336</v>
      </c>
      <c r="DL31" s="51"/>
      <c r="DM31" s="33">
        <f t="shared" si="97"/>
        <v>101379.558</v>
      </c>
      <c r="DN31" s="33">
        <f t="shared" si="39"/>
        <v>4969.8567975000005</v>
      </c>
      <c r="DO31" s="33">
        <f t="shared" si="40"/>
        <v>106349.41479750001</v>
      </c>
      <c r="DP31" s="20">
        <f t="shared" si="98"/>
        <v>3894.6144986</v>
      </c>
      <c r="DQ31" s="51">
        <f t="shared" si="99"/>
        <v>2524.3844528</v>
      </c>
      <c r="DR31" s="51"/>
      <c r="DS31" s="33">
        <f t="shared" si="100"/>
        <v>294.51599999999996</v>
      </c>
      <c r="DT31" s="33">
        <f t="shared" si="41"/>
        <v>14.437845</v>
      </c>
      <c r="DU31" s="33">
        <f t="shared" si="42"/>
        <v>308.95384499999994</v>
      </c>
      <c r="DV31" s="20">
        <f t="shared" si="101"/>
        <v>11.314177200000001</v>
      </c>
      <c r="DW31" s="51">
        <f t="shared" si="102"/>
        <v>7.333545600000001</v>
      </c>
      <c r="DX31" s="51"/>
      <c r="DY31" s="33">
        <f t="shared" si="103"/>
        <v>19329.582</v>
      </c>
      <c r="DZ31" s="33">
        <f t="shared" si="43"/>
        <v>947.5801274999999</v>
      </c>
      <c r="EA31" s="33">
        <f t="shared" si="44"/>
        <v>20277.1621275</v>
      </c>
      <c r="EB31" s="20">
        <f t="shared" si="104"/>
        <v>742.5685394000001</v>
      </c>
      <c r="EC31" s="51">
        <f t="shared" si="105"/>
        <v>481.31297120000005</v>
      </c>
      <c r="ED31" s="51"/>
      <c r="EE31" s="33">
        <f t="shared" si="106"/>
        <v>16969.818</v>
      </c>
      <c r="EF31" s="33">
        <f t="shared" si="45"/>
        <v>831.8991225</v>
      </c>
      <c r="EG31" s="33">
        <f t="shared" si="46"/>
        <v>17801.7171225</v>
      </c>
      <c r="EH31" s="20">
        <f t="shared" si="107"/>
        <v>651.9154406</v>
      </c>
      <c r="EI31" s="51">
        <f t="shared" si="108"/>
        <v>422.5540688</v>
      </c>
      <c r="EJ31" s="51"/>
    </row>
    <row r="32" spans="1:140" s="53" customFormat="1" ht="12">
      <c r="A32" s="19">
        <v>46296</v>
      </c>
      <c r="C32" s="41"/>
      <c r="D32" s="41">
        <v>191025</v>
      </c>
      <c r="E32" s="35">
        <f t="shared" si="0"/>
        <v>191025</v>
      </c>
      <c r="F32" s="35">
        <v>232802</v>
      </c>
      <c r="G32" s="35">
        <v>150896</v>
      </c>
      <c r="H32" s="51"/>
      <c r="I32" s="71"/>
      <c r="J32" s="51">
        <f t="shared" si="1"/>
        <v>19354.385565</v>
      </c>
      <c r="K32" s="51">
        <f t="shared" si="2"/>
        <v>19354.385565</v>
      </c>
      <c r="L32" s="51">
        <f t="shared" si="3"/>
        <v>23587.172717200003</v>
      </c>
      <c r="M32" s="51">
        <f t="shared" si="3"/>
        <v>15288.5714656</v>
      </c>
      <c r="N32" s="51"/>
      <c r="O32" s="33"/>
      <c r="P32" s="33">
        <f t="shared" si="4"/>
        <v>1934.128125</v>
      </c>
      <c r="Q32" s="33">
        <f t="shared" si="5"/>
        <v>1934.128125</v>
      </c>
      <c r="R32" s="20">
        <f t="shared" si="49"/>
        <v>2357.12025</v>
      </c>
      <c r="S32" s="51">
        <f t="shared" si="50"/>
        <v>1527.8220000000001</v>
      </c>
      <c r="T32" s="20"/>
      <c r="U32" s="20">
        <f t="shared" si="51"/>
        <v>0</v>
      </c>
      <c r="V32" s="20">
        <f t="shared" si="6"/>
        <v>248.8196475796931</v>
      </c>
      <c r="W32" s="20">
        <f t="shared" si="7"/>
        <v>248.8196475796931</v>
      </c>
      <c r="X32" s="20">
        <f t="shared" si="52"/>
        <v>303.2362863282173</v>
      </c>
      <c r="Y32" s="51">
        <f t="shared" si="53"/>
        <v>196.5496115230225</v>
      </c>
      <c r="Z32" s="51"/>
      <c r="AA32" s="33"/>
      <c r="AB32" s="51">
        <f t="shared" si="8"/>
        <v>4539.59451</v>
      </c>
      <c r="AC32" s="51">
        <f t="shared" si="9"/>
        <v>4539.59451</v>
      </c>
      <c r="AD32" s="20">
        <f t="shared" si="55"/>
        <v>5532.399848800001</v>
      </c>
      <c r="AE32" s="51">
        <f t="shared" si="56"/>
        <v>3585.9529024000003</v>
      </c>
      <c r="AF32" s="51"/>
      <c r="AG32" s="33"/>
      <c r="AH32" s="33">
        <f t="shared" si="10"/>
        <v>131.34879</v>
      </c>
      <c r="AI32" s="33">
        <f t="shared" si="11"/>
        <v>131.34879</v>
      </c>
      <c r="AJ32" s="20">
        <f t="shared" si="58"/>
        <v>160.0746552</v>
      </c>
      <c r="AK32" s="51">
        <f t="shared" si="59"/>
        <v>103.7560896</v>
      </c>
      <c r="AL32" s="51"/>
      <c r="AM32" s="33"/>
      <c r="AN32" s="33">
        <f t="shared" si="12"/>
        <v>95.81814</v>
      </c>
      <c r="AO32" s="33">
        <f t="shared" si="13"/>
        <v>95.81814</v>
      </c>
      <c r="AP32" s="20">
        <f t="shared" si="61"/>
        <v>116.77348320000002</v>
      </c>
      <c r="AQ32" s="51">
        <f t="shared" si="62"/>
        <v>75.6894336</v>
      </c>
      <c r="AR32" s="51"/>
      <c r="AS32" s="33"/>
      <c r="AT32" s="33">
        <f t="shared" si="14"/>
        <v>1337.175</v>
      </c>
      <c r="AU32" s="33">
        <f t="shared" si="15"/>
        <v>1337.175</v>
      </c>
      <c r="AV32" s="20">
        <f t="shared" si="64"/>
        <v>1629.614</v>
      </c>
      <c r="AW32" s="51">
        <f t="shared" si="65"/>
        <v>1056.272</v>
      </c>
      <c r="AX32" s="51"/>
      <c r="AY32" s="33"/>
      <c r="AZ32" s="33">
        <f t="shared" si="16"/>
        <v>989.0701425</v>
      </c>
      <c r="BA32" s="33">
        <f t="shared" si="17"/>
        <v>989.0701425</v>
      </c>
      <c r="BB32" s="20">
        <f t="shared" si="67"/>
        <v>1205.3789154</v>
      </c>
      <c r="BC32" s="51">
        <f t="shared" si="68"/>
        <v>781.2942192</v>
      </c>
      <c r="BD32" s="20"/>
      <c r="BE32" s="20">
        <f t="shared" si="18"/>
        <v>0</v>
      </c>
      <c r="BF32" s="20">
        <f t="shared" si="19"/>
        <v>343.3387499203069</v>
      </c>
      <c r="BG32" s="20">
        <f t="shared" si="20"/>
        <v>343.3387499203069</v>
      </c>
      <c r="BH32" s="20">
        <f t="shared" si="69"/>
        <v>418.4266334717827</v>
      </c>
      <c r="BI32" s="51">
        <f t="shared" si="70"/>
        <v>271.21289887697753</v>
      </c>
      <c r="BJ32" s="33"/>
      <c r="BK32" s="51"/>
      <c r="BL32" s="51">
        <f t="shared" si="21"/>
        <v>523.141065</v>
      </c>
      <c r="BM32" s="33">
        <f t="shared" si="22"/>
        <v>523.141065</v>
      </c>
      <c r="BN32" s="20">
        <f t="shared" si="72"/>
        <v>637.5515571999999</v>
      </c>
      <c r="BO32" s="51">
        <f t="shared" si="73"/>
        <v>413.24378559999997</v>
      </c>
      <c r="BP32" s="33"/>
      <c r="BQ32" s="51"/>
      <c r="BR32" s="51">
        <f t="shared" si="23"/>
        <v>1491.5996100000002</v>
      </c>
      <c r="BS32" s="33">
        <f t="shared" si="24"/>
        <v>1491.5996100000002</v>
      </c>
      <c r="BT32" s="20">
        <f t="shared" si="75"/>
        <v>1817.8111368</v>
      </c>
      <c r="BU32" s="51">
        <f t="shared" si="76"/>
        <v>1178.2563264</v>
      </c>
      <c r="BV32" s="33"/>
      <c r="BW32" s="33"/>
      <c r="BX32" s="33">
        <f t="shared" si="25"/>
        <v>700.8516225</v>
      </c>
      <c r="BY32" s="33">
        <f t="shared" si="26"/>
        <v>700.8516225</v>
      </c>
      <c r="BZ32" s="20">
        <f t="shared" si="78"/>
        <v>854.1272578</v>
      </c>
      <c r="CA32" s="51">
        <f t="shared" si="79"/>
        <v>553.6223344</v>
      </c>
      <c r="CB32" s="51"/>
      <c r="CC32" s="33"/>
      <c r="CD32" s="33">
        <f t="shared" si="27"/>
        <v>507.2286825</v>
      </c>
      <c r="CE32" s="33">
        <f t="shared" si="28"/>
        <v>507.2286825</v>
      </c>
      <c r="CF32" s="20">
        <f t="shared" si="81"/>
        <v>618.1591506000001</v>
      </c>
      <c r="CG32" s="51">
        <f t="shared" si="82"/>
        <v>400.6741488</v>
      </c>
      <c r="CH32" s="51"/>
      <c r="CI32" s="33"/>
      <c r="CJ32" s="33">
        <f t="shared" si="29"/>
        <v>730.0784474999999</v>
      </c>
      <c r="CK32" s="33">
        <f t="shared" si="30"/>
        <v>730.0784474999999</v>
      </c>
      <c r="CL32" s="20">
        <f t="shared" si="84"/>
        <v>889.7459638</v>
      </c>
      <c r="CM32" s="51">
        <f t="shared" si="85"/>
        <v>576.7094224</v>
      </c>
      <c r="CN32" s="51"/>
      <c r="CO32" s="33"/>
      <c r="CP32" s="33">
        <f t="shared" si="31"/>
        <v>150.1647525</v>
      </c>
      <c r="CQ32" s="33">
        <f t="shared" si="32"/>
        <v>150.1647525</v>
      </c>
      <c r="CR32" s="20">
        <f t="shared" si="109"/>
        <v>183.0056522</v>
      </c>
      <c r="CS32" s="51">
        <f t="shared" si="87"/>
        <v>118.6193456</v>
      </c>
      <c r="CT32" s="33"/>
      <c r="CU32" s="33"/>
      <c r="CV32" s="33">
        <f t="shared" si="33"/>
        <v>569.6938575</v>
      </c>
      <c r="CW32" s="33">
        <f t="shared" si="34"/>
        <v>569.6938575</v>
      </c>
      <c r="CX32" s="20">
        <f t="shared" si="89"/>
        <v>694.2854046</v>
      </c>
      <c r="CY32" s="51">
        <f t="shared" si="90"/>
        <v>450.0171408</v>
      </c>
      <c r="CZ32" s="51"/>
      <c r="DA32" s="33"/>
      <c r="DB32" s="33">
        <f t="shared" si="35"/>
        <v>142.1034975</v>
      </c>
      <c r="DC32" s="33">
        <f t="shared" si="36"/>
        <v>142.1034975</v>
      </c>
      <c r="DD32" s="20">
        <f t="shared" si="92"/>
        <v>173.18140780000002</v>
      </c>
      <c r="DE32" s="51">
        <f t="shared" si="93"/>
        <v>112.25153440000001</v>
      </c>
      <c r="DF32" s="51"/>
      <c r="DG32" s="33"/>
      <c r="DH32" s="33">
        <f t="shared" si="37"/>
        <v>570.9928275</v>
      </c>
      <c r="DI32" s="33">
        <f t="shared" si="38"/>
        <v>570.9928275</v>
      </c>
      <c r="DJ32" s="20">
        <f t="shared" si="95"/>
        <v>695.8684582000001</v>
      </c>
      <c r="DK32" s="51">
        <f t="shared" si="96"/>
        <v>451.0432336</v>
      </c>
      <c r="DL32" s="51"/>
      <c r="DM32" s="33"/>
      <c r="DN32" s="33">
        <f t="shared" si="39"/>
        <v>3195.7145325</v>
      </c>
      <c r="DO32" s="33">
        <f t="shared" si="40"/>
        <v>3195.7145325</v>
      </c>
      <c r="DP32" s="20">
        <f t="shared" si="98"/>
        <v>3894.6144986</v>
      </c>
      <c r="DQ32" s="51">
        <f t="shared" si="99"/>
        <v>2524.3844528</v>
      </c>
      <c r="DR32" s="51"/>
      <c r="DS32" s="33"/>
      <c r="DT32" s="33">
        <f t="shared" si="41"/>
        <v>9.283814999999999</v>
      </c>
      <c r="DU32" s="33">
        <f t="shared" si="42"/>
        <v>9.283814999999999</v>
      </c>
      <c r="DV32" s="20">
        <f t="shared" si="101"/>
        <v>11.314177200000001</v>
      </c>
      <c r="DW32" s="51">
        <f t="shared" si="102"/>
        <v>7.333545600000001</v>
      </c>
      <c r="DX32" s="51"/>
      <c r="DY32" s="33"/>
      <c r="DZ32" s="33">
        <f t="shared" si="43"/>
        <v>609.3124425</v>
      </c>
      <c r="EA32" s="33">
        <f t="shared" si="44"/>
        <v>609.3124425</v>
      </c>
      <c r="EB32" s="20">
        <f t="shared" si="104"/>
        <v>742.5685394000001</v>
      </c>
      <c r="EC32" s="51">
        <f t="shared" si="105"/>
        <v>481.31297120000005</v>
      </c>
      <c r="ED32" s="51"/>
      <c r="EE32" s="33"/>
      <c r="EF32" s="33">
        <f t="shared" si="45"/>
        <v>534.9273075</v>
      </c>
      <c r="EG32" s="33">
        <f t="shared" si="46"/>
        <v>534.9273075</v>
      </c>
      <c r="EH32" s="20">
        <f t="shared" si="107"/>
        <v>651.9154406</v>
      </c>
      <c r="EI32" s="51">
        <f t="shared" si="108"/>
        <v>422.5540688</v>
      </c>
      <c r="EJ32" s="51"/>
    </row>
    <row r="33" spans="1:140" s="53" customFormat="1" ht="12">
      <c r="A33" s="19">
        <v>46478</v>
      </c>
      <c r="C33" s="41">
        <v>6275000</v>
      </c>
      <c r="D33" s="41">
        <v>191025</v>
      </c>
      <c r="E33" s="35">
        <f t="shared" si="0"/>
        <v>6466025</v>
      </c>
      <c r="F33" s="35">
        <v>232802</v>
      </c>
      <c r="G33" s="35">
        <v>150896</v>
      </c>
      <c r="H33" s="51"/>
      <c r="I33" s="71">
        <f t="shared" si="47"/>
        <v>635774.215</v>
      </c>
      <c r="J33" s="51">
        <f t="shared" si="1"/>
        <v>19354.385565</v>
      </c>
      <c r="K33" s="51">
        <f t="shared" si="2"/>
        <v>655128.600565</v>
      </c>
      <c r="L33" s="51">
        <f t="shared" si="3"/>
        <v>23587.172717200003</v>
      </c>
      <c r="M33" s="51">
        <f t="shared" si="3"/>
        <v>15288.5714656</v>
      </c>
      <c r="N33" s="51"/>
      <c r="O33" s="33">
        <f t="shared" si="48"/>
        <v>63534.375</v>
      </c>
      <c r="P33" s="33">
        <f t="shared" si="4"/>
        <v>1934.128125</v>
      </c>
      <c r="Q33" s="33">
        <f t="shared" si="5"/>
        <v>65468.503125</v>
      </c>
      <c r="R33" s="20">
        <f t="shared" si="49"/>
        <v>2357.12025</v>
      </c>
      <c r="S33" s="51">
        <f t="shared" si="50"/>
        <v>1527.8220000000001</v>
      </c>
      <c r="T33" s="20"/>
      <c r="U33" s="20">
        <f t="shared" si="51"/>
        <v>8173.502361275091</v>
      </c>
      <c r="V33" s="20">
        <f t="shared" si="6"/>
        <v>248.8196475796931</v>
      </c>
      <c r="W33" s="20">
        <f t="shared" si="7"/>
        <v>8422.322008854784</v>
      </c>
      <c r="X33" s="20">
        <f t="shared" si="52"/>
        <v>303.2362863282173</v>
      </c>
      <c r="Y33" s="51">
        <f t="shared" si="53"/>
        <v>196.5496115230225</v>
      </c>
      <c r="Z33" s="51"/>
      <c r="AA33" s="33">
        <f t="shared" si="54"/>
        <v>149121.61</v>
      </c>
      <c r="AB33" s="51">
        <f t="shared" si="8"/>
        <v>4539.59451</v>
      </c>
      <c r="AC33" s="51">
        <f t="shared" si="9"/>
        <v>153661.20450999998</v>
      </c>
      <c r="AD33" s="20">
        <f t="shared" si="55"/>
        <v>5532.399848800001</v>
      </c>
      <c r="AE33" s="51">
        <f t="shared" si="56"/>
        <v>3585.9529024000003</v>
      </c>
      <c r="AF33" s="51"/>
      <c r="AG33" s="33">
        <f t="shared" si="57"/>
        <v>4314.69</v>
      </c>
      <c r="AH33" s="33">
        <f t="shared" si="10"/>
        <v>131.34879</v>
      </c>
      <c r="AI33" s="33">
        <f t="shared" si="11"/>
        <v>4446.03879</v>
      </c>
      <c r="AJ33" s="20">
        <f t="shared" si="58"/>
        <v>160.0746552</v>
      </c>
      <c r="AK33" s="51">
        <f t="shared" si="59"/>
        <v>103.7560896</v>
      </c>
      <c r="AL33" s="51"/>
      <c r="AM33" s="33">
        <f t="shared" si="60"/>
        <v>3147.54</v>
      </c>
      <c r="AN33" s="33">
        <f t="shared" si="12"/>
        <v>95.81814</v>
      </c>
      <c r="AO33" s="33">
        <f t="shared" si="13"/>
        <v>3243.35814</v>
      </c>
      <c r="AP33" s="20">
        <f t="shared" si="61"/>
        <v>116.77348320000002</v>
      </c>
      <c r="AQ33" s="51">
        <f t="shared" si="62"/>
        <v>75.6894336</v>
      </c>
      <c r="AR33" s="51"/>
      <c r="AS33" s="33">
        <f t="shared" si="63"/>
        <v>43925</v>
      </c>
      <c r="AT33" s="33">
        <f t="shared" si="14"/>
        <v>1337.175</v>
      </c>
      <c r="AU33" s="33">
        <f t="shared" si="15"/>
        <v>45262.175</v>
      </c>
      <c r="AV33" s="20">
        <f t="shared" si="64"/>
        <v>1629.614</v>
      </c>
      <c r="AW33" s="51">
        <f t="shared" si="65"/>
        <v>1056.272</v>
      </c>
      <c r="AX33" s="51"/>
      <c r="AY33" s="33">
        <f t="shared" si="66"/>
        <v>32490.067499999994</v>
      </c>
      <c r="AZ33" s="33">
        <f t="shared" si="16"/>
        <v>989.0701425</v>
      </c>
      <c r="BA33" s="33">
        <f t="shared" si="17"/>
        <v>33479.13764249999</v>
      </c>
      <c r="BB33" s="20">
        <f t="shared" si="67"/>
        <v>1205.3789154</v>
      </c>
      <c r="BC33" s="51">
        <f t="shared" si="68"/>
        <v>781.2942192</v>
      </c>
      <c r="BD33" s="20"/>
      <c r="BE33" s="20">
        <f t="shared" si="18"/>
        <v>11278.37013872491</v>
      </c>
      <c r="BF33" s="20">
        <f t="shared" si="19"/>
        <v>343.3387499203069</v>
      </c>
      <c r="BG33" s="20">
        <f t="shared" si="20"/>
        <v>11621.708888645217</v>
      </c>
      <c r="BH33" s="20">
        <f t="shared" si="69"/>
        <v>418.4266334717827</v>
      </c>
      <c r="BI33" s="51">
        <f t="shared" si="70"/>
        <v>271.21289887697753</v>
      </c>
      <c r="BJ33" s="33"/>
      <c r="BK33" s="51">
        <f t="shared" si="71"/>
        <v>17184.715</v>
      </c>
      <c r="BL33" s="51">
        <f t="shared" si="21"/>
        <v>523.141065</v>
      </c>
      <c r="BM33" s="33">
        <f t="shared" si="22"/>
        <v>17707.856065</v>
      </c>
      <c r="BN33" s="20">
        <f t="shared" si="72"/>
        <v>637.5515571999999</v>
      </c>
      <c r="BO33" s="51">
        <f t="shared" si="73"/>
        <v>413.24378559999997</v>
      </c>
      <c r="BP33" s="33"/>
      <c r="BQ33" s="51">
        <f t="shared" si="74"/>
        <v>48997.71</v>
      </c>
      <c r="BR33" s="51">
        <f t="shared" si="23"/>
        <v>1491.5996100000002</v>
      </c>
      <c r="BS33" s="33">
        <f t="shared" si="24"/>
        <v>50489.30961</v>
      </c>
      <c r="BT33" s="20">
        <f t="shared" si="75"/>
        <v>1817.8111368</v>
      </c>
      <c r="BU33" s="51">
        <f t="shared" si="76"/>
        <v>1178.2563264</v>
      </c>
      <c r="BV33" s="33"/>
      <c r="BW33" s="33">
        <f t="shared" si="77"/>
        <v>23022.3475</v>
      </c>
      <c r="BX33" s="33">
        <f t="shared" si="25"/>
        <v>700.8516225</v>
      </c>
      <c r="BY33" s="33">
        <f t="shared" si="26"/>
        <v>23723.1991225</v>
      </c>
      <c r="BZ33" s="20">
        <f t="shared" si="78"/>
        <v>854.1272578</v>
      </c>
      <c r="CA33" s="51">
        <f t="shared" si="79"/>
        <v>553.6223344</v>
      </c>
      <c r="CB33" s="51"/>
      <c r="CC33" s="33">
        <f t="shared" si="80"/>
        <v>16662.0075</v>
      </c>
      <c r="CD33" s="33">
        <f t="shared" si="27"/>
        <v>507.2286825</v>
      </c>
      <c r="CE33" s="33">
        <f t="shared" si="28"/>
        <v>17169.2361825</v>
      </c>
      <c r="CF33" s="20">
        <f t="shared" si="81"/>
        <v>618.1591506000001</v>
      </c>
      <c r="CG33" s="51">
        <f t="shared" si="82"/>
        <v>400.6741488</v>
      </c>
      <c r="CH33" s="51"/>
      <c r="CI33" s="33">
        <f t="shared" si="83"/>
        <v>23982.4225</v>
      </c>
      <c r="CJ33" s="33">
        <f t="shared" si="29"/>
        <v>730.0784474999999</v>
      </c>
      <c r="CK33" s="33">
        <f t="shared" si="30"/>
        <v>24712.5009475</v>
      </c>
      <c r="CL33" s="20">
        <f t="shared" si="84"/>
        <v>889.7459638</v>
      </c>
      <c r="CM33" s="51">
        <f t="shared" si="85"/>
        <v>576.7094224</v>
      </c>
      <c r="CN33" s="51"/>
      <c r="CO33" s="33">
        <f t="shared" si="86"/>
        <v>4932.7775</v>
      </c>
      <c r="CP33" s="33">
        <f t="shared" si="31"/>
        <v>150.1647525</v>
      </c>
      <c r="CQ33" s="33">
        <f t="shared" si="32"/>
        <v>5082.9422525</v>
      </c>
      <c r="CR33" s="20">
        <f t="shared" si="109"/>
        <v>183.0056522</v>
      </c>
      <c r="CS33" s="51">
        <f t="shared" si="87"/>
        <v>118.6193456</v>
      </c>
      <c r="CT33" s="33"/>
      <c r="CU33" s="33">
        <f t="shared" si="88"/>
        <v>18713.9325</v>
      </c>
      <c r="CV33" s="33">
        <f t="shared" si="33"/>
        <v>569.6938575</v>
      </c>
      <c r="CW33" s="33">
        <f t="shared" si="34"/>
        <v>19283.626357499998</v>
      </c>
      <c r="CX33" s="20">
        <f t="shared" si="89"/>
        <v>694.2854046</v>
      </c>
      <c r="CY33" s="51">
        <f t="shared" si="90"/>
        <v>450.0171408</v>
      </c>
      <c r="CZ33" s="51"/>
      <c r="DA33" s="33">
        <f t="shared" si="91"/>
        <v>4667.9725</v>
      </c>
      <c r="DB33" s="33">
        <f t="shared" si="35"/>
        <v>142.1034975</v>
      </c>
      <c r="DC33" s="33">
        <f t="shared" si="36"/>
        <v>4810.0759975</v>
      </c>
      <c r="DD33" s="20">
        <f t="shared" si="92"/>
        <v>173.18140780000002</v>
      </c>
      <c r="DE33" s="51">
        <f t="shared" si="93"/>
        <v>112.25153440000001</v>
      </c>
      <c r="DF33" s="51"/>
      <c r="DG33" s="33">
        <f t="shared" si="94"/>
        <v>18756.6025</v>
      </c>
      <c r="DH33" s="33">
        <f t="shared" si="37"/>
        <v>570.9928275</v>
      </c>
      <c r="DI33" s="33">
        <f t="shared" si="38"/>
        <v>19327.5953275</v>
      </c>
      <c r="DJ33" s="20">
        <f t="shared" si="95"/>
        <v>695.8684582000001</v>
      </c>
      <c r="DK33" s="51">
        <f t="shared" si="96"/>
        <v>451.0432336</v>
      </c>
      <c r="DL33" s="51"/>
      <c r="DM33" s="33">
        <f t="shared" si="97"/>
        <v>104976.3575</v>
      </c>
      <c r="DN33" s="33">
        <f t="shared" si="39"/>
        <v>3195.7145325</v>
      </c>
      <c r="DO33" s="33">
        <f t="shared" si="40"/>
        <v>108172.0720325</v>
      </c>
      <c r="DP33" s="20">
        <f t="shared" si="98"/>
        <v>3894.6144986</v>
      </c>
      <c r="DQ33" s="51">
        <f t="shared" si="99"/>
        <v>2524.3844528</v>
      </c>
      <c r="DR33" s="51"/>
      <c r="DS33" s="33">
        <f t="shared" si="100"/>
        <v>304.965</v>
      </c>
      <c r="DT33" s="33">
        <f t="shared" si="41"/>
        <v>9.283814999999999</v>
      </c>
      <c r="DU33" s="33">
        <f t="shared" si="42"/>
        <v>314.248815</v>
      </c>
      <c r="DV33" s="20">
        <f t="shared" si="101"/>
        <v>11.314177200000001</v>
      </c>
      <c r="DW33" s="51">
        <f t="shared" si="102"/>
        <v>7.333545600000001</v>
      </c>
      <c r="DX33" s="51"/>
      <c r="DY33" s="33">
        <f t="shared" si="103"/>
        <v>20015.367499999997</v>
      </c>
      <c r="DZ33" s="33">
        <f t="shared" si="43"/>
        <v>609.3124425</v>
      </c>
      <c r="EA33" s="33">
        <f t="shared" si="44"/>
        <v>20624.679942499995</v>
      </c>
      <c r="EB33" s="20">
        <f t="shared" si="104"/>
        <v>742.5685394000001</v>
      </c>
      <c r="EC33" s="51">
        <f t="shared" si="105"/>
        <v>481.31297120000005</v>
      </c>
      <c r="ED33" s="51"/>
      <c r="EE33" s="33">
        <f t="shared" si="106"/>
        <v>17571.8825</v>
      </c>
      <c r="EF33" s="33">
        <f t="shared" si="45"/>
        <v>534.9273075</v>
      </c>
      <c r="EG33" s="33">
        <f t="shared" si="46"/>
        <v>18106.809807499998</v>
      </c>
      <c r="EH33" s="20">
        <f t="shared" si="107"/>
        <v>651.9154406</v>
      </c>
      <c r="EI33" s="51">
        <f t="shared" si="108"/>
        <v>422.5540688</v>
      </c>
      <c r="EJ33" s="51"/>
    </row>
    <row r="34" spans="1:140" s="53" customFormat="1" ht="12">
      <c r="A34" s="19">
        <v>46661</v>
      </c>
      <c r="B34"/>
      <c r="C34" s="41"/>
      <c r="D34" s="41">
        <v>96900</v>
      </c>
      <c r="E34" s="35">
        <f t="shared" si="0"/>
        <v>96900</v>
      </c>
      <c r="F34" s="35">
        <v>232802</v>
      </c>
      <c r="G34" s="35">
        <v>150896</v>
      </c>
      <c r="H34" s="51"/>
      <c r="I34" s="71"/>
      <c r="J34" s="51">
        <f t="shared" si="1"/>
        <v>9817.772340000001</v>
      </c>
      <c r="K34" s="51">
        <f t="shared" si="2"/>
        <v>9817.772340000001</v>
      </c>
      <c r="L34" s="51">
        <f t="shared" si="3"/>
        <v>23587.172717200003</v>
      </c>
      <c r="M34" s="51">
        <f t="shared" si="3"/>
        <v>15288.5714656</v>
      </c>
      <c r="N34" s="51"/>
      <c r="O34" s="33"/>
      <c r="P34" s="33">
        <f t="shared" si="4"/>
        <v>981.1125</v>
      </c>
      <c r="Q34" s="33">
        <f t="shared" si="5"/>
        <v>981.1125</v>
      </c>
      <c r="R34" s="20">
        <f t="shared" si="49"/>
        <v>2357.12025</v>
      </c>
      <c r="S34" s="51">
        <f t="shared" si="50"/>
        <v>1527.8220000000001</v>
      </c>
      <c r="T34" s="20"/>
      <c r="U34" s="20">
        <f t="shared" si="51"/>
        <v>0</v>
      </c>
      <c r="V34" s="20">
        <f t="shared" si="6"/>
        <v>126.21711216056674</v>
      </c>
      <c r="W34" s="20">
        <f t="shared" si="7"/>
        <v>126.21711216056674</v>
      </c>
      <c r="X34" s="20">
        <f t="shared" si="52"/>
        <v>303.2362863282173</v>
      </c>
      <c r="Y34" s="51">
        <f t="shared" si="53"/>
        <v>196.5496115230225</v>
      </c>
      <c r="Z34" s="51"/>
      <c r="AA34" s="33"/>
      <c r="AB34" s="51">
        <f t="shared" si="8"/>
        <v>2302.7703600000004</v>
      </c>
      <c r="AC34" s="51">
        <f t="shared" si="9"/>
        <v>2302.7703600000004</v>
      </c>
      <c r="AD34" s="20">
        <f t="shared" si="55"/>
        <v>5532.399848800001</v>
      </c>
      <c r="AE34" s="51">
        <f t="shared" si="56"/>
        <v>3585.9529024000003</v>
      </c>
      <c r="AF34" s="51"/>
      <c r="AG34" s="33"/>
      <c r="AH34" s="33">
        <f t="shared" si="10"/>
        <v>66.62844</v>
      </c>
      <c r="AI34" s="33">
        <f t="shared" si="11"/>
        <v>66.62844</v>
      </c>
      <c r="AJ34" s="20">
        <f t="shared" si="58"/>
        <v>160.0746552</v>
      </c>
      <c r="AK34" s="51">
        <f t="shared" si="59"/>
        <v>103.7560896</v>
      </c>
      <c r="AL34" s="51"/>
      <c r="AM34" s="33"/>
      <c r="AN34" s="33">
        <f t="shared" si="12"/>
        <v>48.60504</v>
      </c>
      <c r="AO34" s="33">
        <f t="shared" si="13"/>
        <v>48.60504</v>
      </c>
      <c r="AP34" s="20">
        <f t="shared" si="61"/>
        <v>116.77348320000002</v>
      </c>
      <c r="AQ34" s="51">
        <f t="shared" si="62"/>
        <v>75.6894336</v>
      </c>
      <c r="AR34" s="51"/>
      <c r="AS34" s="33"/>
      <c r="AT34" s="33">
        <f t="shared" si="14"/>
        <v>678.3</v>
      </c>
      <c r="AU34" s="33">
        <f t="shared" si="15"/>
        <v>678.3</v>
      </c>
      <c r="AV34" s="20">
        <f t="shared" si="64"/>
        <v>1629.614</v>
      </c>
      <c r="AW34" s="51">
        <f t="shared" si="65"/>
        <v>1056.272</v>
      </c>
      <c r="AX34" s="51"/>
      <c r="AY34" s="33"/>
      <c r="AZ34" s="33">
        <f t="shared" si="16"/>
        <v>501.71912999999995</v>
      </c>
      <c r="BA34" s="33">
        <f t="shared" si="17"/>
        <v>501.71912999999995</v>
      </c>
      <c r="BB34" s="20">
        <f t="shared" si="67"/>
        <v>1205.3789154</v>
      </c>
      <c r="BC34" s="51">
        <f t="shared" si="68"/>
        <v>781.2942192</v>
      </c>
      <c r="BD34" s="20"/>
      <c r="BE34" s="20">
        <f t="shared" si="18"/>
        <v>0</v>
      </c>
      <c r="BF34" s="20">
        <f t="shared" si="19"/>
        <v>174.16319783943328</v>
      </c>
      <c r="BG34" s="20">
        <f t="shared" si="20"/>
        <v>174.16319783943328</v>
      </c>
      <c r="BH34" s="20">
        <f t="shared" si="69"/>
        <v>418.4266334717827</v>
      </c>
      <c r="BI34" s="51">
        <f t="shared" si="70"/>
        <v>271.21289887697753</v>
      </c>
      <c r="BJ34" s="33"/>
      <c r="BK34" s="51"/>
      <c r="BL34" s="51">
        <f t="shared" si="21"/>
        <v>265.37034</v>
      </c>
      <c r="BM34" s="33">
        <f t="shared" si="22"/>
        <v>265.37034</v>
      </c>
      <c r="BN34" s="20">
        <f t="shared" si="72"/>
        <v>637.5515571999999</v>
      </c>
      <c r="BO34" s="51">
        <f t="shared" si="73"/>
        <v>413.24378559999997</v>
      </c>
      <c r="BP34" s="33"/>
      <c r="BQ34" s="51"/>
      <c r="BR34" s="51">
        <f t="shared" si="23"/>
        <v>756.6339599999999</v>
      </c>
      <c r="BS34" s="33">
        <f t="shared" si="24"/>
        <v>756.6339599999999</v>
      </c>
      <c r="BT34" s="20">
        <f t="shared" si="75"/>
        <v>1817.8111368</v>
      </c>
      <c r="BU34" s="51">
        <f t="shared" si="76"/>
        <v>1178.2563264</v>
      </c>
      <c r="BV34" s="33"/>
      <c r="BW34" s="33"/>
      <c r="BX34" s="33">
        <f t="shared" si="25"/>
        <v>355.51640999999995</v>
      </c>
      <c r="BY34" s="33">
        <f t="shared" si="26"/>
        <v>355.51640999999995</v>
      </c>
      <c r="BZ34" s="20">
        <f t="shared" si="78"/>
        <v>854.1272578</v>
      </c>
      <c r="CA34" s="51">
        <f t="shared" si="79"/>
        <v>553.6223344</v>
      </c>
      <c r="CB34" s="51"/>
      <c r="CC34" s="33"/>
      <c r="CD34" s="33">
        <f t="shared" si="27"/>
        <v>257.29857</v>
      </c>
      <c r="CE34" s="33">
        <f t="shared" si="28"/>
        <v>257.29857</v>
      </c>
      <c r="CF34" s="20">
        <f t="shared" si="81"/>
        <v>618.1591506000001</v>
      </c>
      <c r="CG34" s="51">
        <f t="shared" si="82"/>
        <v>400.6741488</v>
      </c>
      <c r="CH34" s="51"/>
      <c r="CI34" s="33"/>
      <c r="CJ34" s="33">
        <f t="shared" si="29"/>
        <v>370.34210999999993</v>
      </c>
      <c r="CK34" s="33">
        <f t="shared" si="30"/>
        <v>370.34210999999993</v>
      </c>
      <c r="CL34" s="20">
        <f t="shared" si="84"/>
        <v>889.7459638</v>
      </c>
      <c r="CM34" s="51">
        <f t="shared" si="85"/>
        <v>576.7094224</v>
      </c>
      <c r="CN34" s="51"/>
      <c r="CO34" s="33"/>
      <c r="CP34" s="33">
        <f t="shared" si="31"/>
        <v>76.17309</v>
      </c>
      <c r="CQ34" s="33">
        <f t="shared" si="32"/>
        <v>76.17309</v>
      </c>
      <c r="CR34" s="20">
        <f t="shared" si="109"/>
        <v>183.0056522</v>
      </c>
      <c r="CS34" s="51">
        <f t="shared" si="87"/>
        <v>118.6193456</v>
      </c>
      <c r="CT34" s="33"/>
      <c r="CU34" s="33"/>
      <c r="CV34" s="33">
        <f t="shared" si="33"/>
        <v>288.98487</v>
      </c>
      <c r="CW34" s="33">
        <f t="shared" si="34"/>
        <v>288.98487</v>
      </c>
      <c r="CX34" s="20">
        <f t="shared" si="89"/>
        <v>694.2854046</v>
      </c>
      <c r="CY34" s="51">
        <f t="shared" si="90"/>
        <v>450.0171408</v>
      </c>
      <c r="CZ34" s="51"/>
      <c r="DA34" s="33"/>
      <c r="DB34" s="33">
        <f t="shared" si="35"/>
        <v>72.08391</v>
      </c>
      <c r="DC34" s="33">
        <f t="shared" si="36"/>
        <v>72.08391</v>
      </c>
      <c r="DD34" s="20">
        <f t="shared" si="92"/>
        <v>173.18140780000002</v>
      </c>
      <c r="DE34" s="51">
        <f t="shared" si="93"/>
        <v>112.25153440000001</v>
      </c>
      <c r="DF34" s="51"/>
      <c r="DG34" s="33"/>
      <c r="DH34" s="33">
        <f t="shared" si="37"/>
        <v>289.64379</v>
      </c>
      <c r="DI34" s="33">
        <f t="shared" si="38"/>
        <v>289.64379</v>
      </c>
      <c r="DJ34" s="20">
        <f t="shared" si="95"/>
        <v>695.8684582000001</v>
      </c>
      <c r="DK34" s="51">
        <f t="shared" si="96"/>
        <v>451.0432336</v>
      </c>
      <c r="DL34" s="51"/>
      <c r="DM34" s="33"/>
      <c r="DN34" s="33">
        <f t="shared" si="39"/>
        <v>1621.0691700000002</v>
      </c>
      <c r="DO34" s="33">
        <f t="shared" si="40"/>
        <v>1621.0691700000002</v>
      </c>
      <c r="DP34" s="20">
        <f t="shared" si="98"/>
        <v>3894.6144986</v>
      </c>
      <c r="DQ34" s="51">
        <f t="shared" si="99"/>
        <v>2524.3844528</v>
      </c>
      <c r="DR34" s="51"/>
      <c r="DS34" s="33"/>
      <c r="DT34" s="33">
        <f t="shared" si="41"/>
        <v>4.70934</v>
      </c>
      <c r="DU34" s="33">
        <f t="shared" si="42"/>
        <v>4.70934</v>
      </c>
      <c r="DV34" s="20">
        <f t="shared" si="101"/>
        <v>11.314177200000001</v>
      </c>
      <c r="DW34" s="51">
        <f t="shared" si="102"/>
        <v>7.333545600000001</v>
      </c>
      <c r="DX34" s="51"/>
      <c r="DY34" s="33"/>
      <c r="DZ34" s="33">
        <f t="shared" si="43"/>
        <v>309.08193</v>
      </c>
      <c r="EA34" s="33">
        <f t="shared" si="44"/>
        <v>309.08193</v>
      </c>
      <c r="EB34" s="20">
        <f t="shared" si="104"/>
        <v>742.5685394000001</v>
      </c>
      <c r="EC34" s="51">
        <f t="shared" si="105"/>
        <v>481.31297120000005</v>
      </c>
      <c r="ED34" s="51"/>
      <c r="EE34" s="33"/>
      <c r="EF34" s="33">
        <f t="shared" si="45"/>
        <v>271.34907</v>
      </c>
      <c r="EG34" s="33">
        <f t="shared" si="46"/>
        <v>271.34907</v>
      </c>
      <c r="EH34" s="20">
        <f t="shared" si="107"/>
        <v>651.9154406</v>
      </c>
      <c r="EI34" s="51">
        <f t="shared" si="108"/>
        <v>422.5540688</v>
      </c>
      <c r="EJ34" s="51"/>
    </row>
    <row r="35" spans="1:140" s="53" customFormat="1" ht="12">
      <c r="A35" s="19">
        <v>46844</v>
      </c>
      <c r="B35"/>
      <c r="C35" s="41">
        <v>6460000</v>
      </c>
      <c r="D35" s="41">
        <v>96900</v>
      </c>
      <c r="E35" s="35">
        <f t="shared" si="0"/>
        <v>6556900</v>
      </c>
      <c r="F35" s="35">
        <v>232802</v>
      </c>
      <c r="G35" s="35">
        <v>150896</v>
      </c>
      <c r="H35" s="51"/>
      <c r="I35" s="71">
        <f t="shared" si="47"/>
        <v>654518.1560000001</v>
      </c>
      <c r="J35" s="51">
        <f t="shared" si="1"/>
        <v>9817.772340000001</v>
      </c>
      <c r="K35" s="51">
        <f t="shared" si="2"/>
        <v>664335.9283400001</v>
      </c>
      <c r="L35" s="51">
        <f t="shared" si="3"/>
        <v>23587.172717200003</v>
      </c>
      <c r="M35" s="51">
        <f t="shared" si="3"/>
        <v>15288.5714656</v>
      </c>
      <c r="N35" s="51"/>
      <c r="O35" s="33">
        <f t="shared" si="48"/>
        <v>65407.5</v>
      </c>
      <c r="P35" s="33">
        <f t="shared" si="4"/>
        <v>981.1125</v>
      </c>
      <c r="Q35" s="33">
        <f t="shared" si="5"/>
        <v>66388.6125</v>
      </c>
      <c r="R35" s="20">
        <f t="shared" si="49"/>
        <v>2357.12025</v>
      </c>
      <c r="S35" s="51">
        <f t="shared" si="50"/>
        <v>1527.8220000000001</v>
      </c>
      <c r="T35" s="20"/>
      <c r="U35" s="20">
        <f t="shared" si="51"/>
        <v>8414.474144037782</v>
      </c>
      <c r="V35" s="20">
        <f t="shared" si="6"/>
        <v>126.21711216056674</v>
      </c>
      <c r="W35" s="20">
        <f t="shared" si="7"/>
        <v>8540.691256198348</v>
      </c>
      <c r="X35" s="20">
        <f t="shared" si="52"/>
        <v>303.2362863282173</v>
      </c>
      <c r="Y35" s="51">
        <f t="shared" si="53"/>
        <v>196.5496115230225</v>
      </c>
      <c r="Z35" s="51"/>
      <c r="AA35" s="33">
        <f t="shared" si="54"/>
        <v>153518.024</v>
      </c>
      <c r="AB35" s="51">
        <f t="shared" si="8"/>
        <v>2302.7703600000004</v>
      </c>
      <c r="AC35" s="51">
        <f t="shared" si="9"/>
        <v>155820.79436</v>
      </c>
      <c r="AD35" s="20">
        <f t="shared" si="55"/>
        <v>5532.399848800001</v>
      </c>
      <c r="AE35" s="51">
        <f t="shared" si="56"/>
        <v>3585.9529024000003</v>
      </c>
      <c r="AF35" s="51"/>
      <c r="AG35" s="33">
        <f t="shared" si="57"/>
        <v>4441.896000000001</v>
      </c>
      <c r="AH35" s="33">
        <f t="shared" si="10"/>
        <v>66.62844</v>
      </c>
      <c r="AI35" s="33">
        <f t="shared" si="11"/>
        <v>4508.524440000001</v>
      </c>
      <c r="AJ35" s="20">
        <f t="shared" si="58"/>
        <v>160.0746552</v>
      </c>
      <c r="AK35" s="51">
        <f t="shared" si="59"/>
        <v>103.7560896</v>
      </c>
      <c r="AL35" s="51"/>
      <c r="AM35" s="33">
        <f t="shared" si="60"/>
        <v>3240.3360000000002</v>
      </c>
      <c r="AN35" s="33">
        <f t="shared" si="12"/>
        <v>48.60504</v>
      </c>
      <c r="AO35" s="33">
        <f t="shared" si="13"/>
        <v>3288.94104</v>
      </c>
      <c r="AP35" s="20">
        <f t="shared" si="61"/>
        <v>116.77348320000002</v>
      </c>
      <c r="AQ35" s="51">
        <f t="shared" si="62"/>
        <v>75.6894336</v>
      </c>
      <c r="AR35" s="51"/>
      <c r="AS35" s="33">
        <f t="shared" si="63"/>
        <v>45220</v>
      </c>
      <c r="AT35" s="33">
        <f t="shared" si="14"/>
        <v>678.3</v>
      </c>
      <c r="AU35" s="33">
        <f t="shared" si="15"/>
        <v>45898.3</v>
      </c>
      <c r="AV35" s="20">
        <f t="shared" si="64"/>
        <v>1629.614</v>
      </c>
      <c r="AW35" s="51">
        <f t="shared" si="65"/>
        <v>1056.272</v>
      </c>
      <c r="AX35" s="51"/>
      <c r="AY35" s="33">
        <f t="shared" si="66"/>
        <v>33447.941999999995</v>
      </c>
      <c r="AZ35" s="33">
        <f t="shared" si="16"/>
        <v>501.71912999999995</v>
      </c>
      <c r="BA35" s="33">
        <f t="shared" si="17"/>
        <v>33949.66112999999</v>
      </c>
      <c r="BB35" s="20">
        <f t="shared" si="67"/>
        <v>1205.3789154</v>
      </c>
      <c r="BC35" s="51">
        <f t="shared" si="68"/>
        <v>781.2942192</v>
      </c>
      <c r="BD35" s="20"/>
      <c r="BE35" s="20">
        <f t="shared" si="18"/>
        <v>11610.879855962217</v>
      </c>
      <c r="BF35" s="20">
        <f t="shared" si="19"/>
        <v>174.16319783943328</v>
      </c>
      <c r="BG35" s="20">
        <f t="shared" si="20"/>
        <v>11785.04305380165</v>
      </c>
      <c r="BH35" s="20">
        <f t="shared" si="69"/>
        <v>418.4266334717827</v>
      </c>
      <c r="BI35" s="51">
        <f t="shared" si="70"/>
        <v>271.21289887697753</v>
      </c>
      <c r="BJ35" s="33"/>
      <c r="BK35" s="51">
        <f t="shared" si="71"/>
        <v>17691.356</v>
      </c>
      <c r="BL35" s="51">
        <f t="shared" si="21"/>
        <v>265.37034</v>
      </c>
      <c r="BM35" s="33">
        <f t="shared" si="22"/>
        <v>17956.72634</v>
      </c>
      <c r="BN35" s="20">
        <f t="shared" si="72"/>
        <v>637.5515571999999</v>
      </c>
      <c r="BO35" s="51">
        <f t="shared" si="73"/>
        <v>413.24378559999997</v>
      </c>
      <c r="BP35" s="33"/>
      <c r="BQ35" s="51">
        <f t="shared" si="74"/>
        <v>50442.263999999996</v>
      </c>
      <c r="BR35" s="51">
        <f t="shared" si="23"/>
        <v>756.6339599999999</v>
      </c>
      <c r="BS35" s="33">
        <f t="shared" si="24"/>
        <v>51198.897959999995</v>
      </c>
      <c r="BT35" s="20">
        <f t="shared" si="75"/>
        <v>1817.8111368</v>
      </c>
      <c r="BU35" s="51">
        <f t="shared" si="76"/>
        <v>1178.2563264</v>
      </c>
      <c r="BV35" s="33"/>
      <c r="BW35" s="33">
        <f t="shared" si="77"/>
        <v>23701.093999999997</v>
      </c>
      <c r="BX35" s="33">
        <f t="shared" si="25"/>
        <v>355.51640999999995</v>
      </c>
      <c r="BY35" s="33">
        <f t="shared" si="26"/>
        <v>24056.610409999998</v>
      </c>
      <c r="BZ35" s="20">
        <f t="shared" si="78"/>
        <v>854.1272578</v>
      </c>
      <c r="CA35" s="51">
        <f t="shared" si="79"/>
        <v>553.6223344</v>
      </c>
      <c r="CB35" s="51"/>
      <c r="CC35" s="33">
        <f t="shared" si="80"/>
        <v>17153.237999999998</v>
      </c>
      <c r="CD35" s="33">
        <f t="shared" si="27"/>
        <v>257.29857</v>
      </c>
      <c r="CE35" s="33">
        <f t="shared" si="28"/>
        <v>17410.536569999997</v>
      </c>
      <c r="CF35" s="20">
        <f t="shared" si="81"/>
        <v>618.1591506000001</v>
      </c>
      <c r="CG35" s="51">
        <f t="shared" si="82"/>
        <v>400.6741488</v>
      </c>
      <c r="CH35" s="51"/>
      <c r="CI35" s="33">
        <f t="shared" si="83"/>
        <v>24689.474</v>
      </c>
      <c r="CJ35" s="33">
        <f t="shared" si="29"/>
        <v>370.34210999999993</v>
      </c>
      <c r="CK35" s="33">
        <f t="shared" si="30"/>
        <v>25059.81611</v>
      </c>
      <c r="CL35" s="20">
        <f t="shared" si="84"/>
        <v>889.7459638</v>
      </c>
      <c r="CM35" s="51">
        <f t="shared" si="85"/>
        <v>576.7094224</v>
      </c>
      <c r="CN35" s="51"/>
      <c r="CO35" s="33">
        <f t="shared" si="86"/>
        <v>5078.206</v>
      </c>
      <c r="CP35" s="33">
        <f t="shared" si="31"/>
        <v>76.17309</v>
      </c>
      <c r="CQ35" s="33">
        <f t="shared" si="32"/>
        <v>5154.37909</v>
      </c>
      <c r="CR35" s="20">
        <f t="shared" si="109"/>
        <v>183.0056522</v>
      </c>
      <c r="CS35" s="51">
        <f t="shared" si="87"/>
        <v>118.6193456</v>
      </c>
      <c r="CT35" s="33"/>
      <c r="CU35" s="33">
        <f t="shared" si="88"/>
        <v>19265.658</v>
      </c>
      <c r="CV35" s="33">
        <f t="shared" si="33"/>
        <v>288.98487</v>
      </c>
      <c r="CW35" s="33">
        <f t="shared" si="34"/>
        <v>19554.64287</v>
      </c>
      <c r="CX35" s="20">
        <f t="shared" si="89"/>
        <v>694.2854046</v>
      </c>
      <c r="CY35" s="51">
        <f t="shared" si="90"/>
        <v>450.0171408</v>
      </c>
      <c r="CZ35" s="51"/>
      <c r="DA35" s="33">
        <f t="shared" si="91"/>
        <v>4805.594</v>
      </c>
      <c r="DB35" s="33">
        <f t="shared" si="35"/>
        <v>72.08391</v>
      </c>
      <c r="DC35" s="33">
        <f t="shared" si="36"/>
        <v>4877.67791</v>
      </c>
      <c r="DD35" s="20">
        <f t="shared" si="92"/>
        <v>173.18140780000002</v>
      </c>
      <c r="DE35" s="51">
        <f t="shared" si="93"/>
        <v>112.25153440000001</v>
      </c>
      <c r="DF35" s="51"/>
      <c r="DG35" s="33">
        <f t="shared" si="94"/>
        <v>19309.586</v>
      </c>
      <c r="DH35" s="33">
        <f t="shared" si="37"/>
        <v>289.64379</v>
      </c>
      <c r="DI35" s="33">
        <f t="shared" si="38"/>
        <v>19599.229789999998</v>
      </c>
      <c r="DJ35" s="20">
        <f t="shared" si="95"/>
        <v>695.8684582000001</v>
      </c>
      <c r="DK35" s="51">
        <f t="shared" si="96"/>
        <v>451.0432336</v>
      </c>
      <c r="DL35" s="51"/>
      <c r="DM35" s="33">
        <f t="shared" si="97"/>
        <v>108071.278</v>
      </c>
      <c r="DN35" s="33">
        <f t="shared" si="39"/>
        <v>1621.0691700000002</v>
      </c>
      <c r="DO35" s="33">
        <f t="shared" si="40"/>
        <v>109692.34717000001</v>
      </c>
      <c r="DP35" s="20">
        <f t="shared" si="98"/>
        <v>3894.6144986</v>
      </c>
      <c r="DQ35" s="51">
        <f t="shared" si="99"/>
        <v>2524.3844528</v>
      </c>
      <c r="DR35" s="51"/>
      <c r="DS35" s="33">
        <f t="shared" si="100"/>
        <v>313.95599999999996</v>
      </c>
      <c r="DT35" s="33">
        <f t="shared" si="41"/>
        <v>4.70934</v>
      </c>
      <c r="DU35" s="33">
        <f t="shared" si="42"/>
        <v>318.66533999999996</v>
      </c>
      <c r="DV35" s="20">
        <f t="shared" si="101"/>
        <v>11.314177200000001</v>
      </c>
      <c r="DW35" s="51">
        <f t="shared" si="102"/>
        <v>7.333545600000001</v>
      </c>
      <c r="DX35" s="51"/>
      <c r="DY35" s="33">
        <f t="shared" si="103"/>
        <v>20605.462</v>
      </c>
      <c r="DZ35" s="33">
        <f t="shared" si="43"/>
        <v>309.08193</v>
      </c>
      <c r="EA35" s="33">
        <f t="shared" si="44"/>
        <v>20914.54393</v>
      </c>
      <c r="EB35" s="20">
        <f t="shared" si="104"/>
        <v>742.5685394000001</v>
      </c>
      <c r="EC35" s="51">
        <f t="shared" si="105"/>
        <v>481.31297120000005</v>
      </c>
      <c r="ED35" s="51"/>
      <c r="EE35" s="33">
        <f t="shared" si="106"/>
        <v>18089.938000000002</v>
      </c>
      <c r="EF35" s="33">
        <f t="shared" si="45"/>
        <v>271.34907</v>
      </c>
      <c r="EG35" s="33">
        <f t="shared" si="46"/>
        <v>18361.287070000002</v>
      </c>
      <c r="EH35" s="20">
        <f t="shared" si="107"/>
        <v>651.9154406</v>
      </c>
      <c r="EI35" s="51">
        <f t="shared" si="108"/>
        <v>422.5540688</v>
      </c>
      <c r="EJ35" s="51"/>
    </row>
    <row r="36" spans="6:96" ht="12">
      <c r="F36" s="41"/>
      <c r="G36" s="41"/>
      <c r="CR36" s="20">
        <f t="shared" si="109"/>
        <v>0</v>
      </c>
    </row>
    <row r="37" spans="1:139" ht="12.75" thickBot="1">
      <c r="A37" s="31" t="s">
        <v>4</v>
      </c>
      <c r="C37" s="50">
        <f>SUM(C8:C35)</f>
        <v>45020000</v>
      </c>
      <c r="D37" s="50">
        <f>SUM(D8:D35)</f>
        <v>17872405</v>
      </c>
      <c r="E37" s="50">
        <f>SUM(E8:E35)</f>
        <v>62892405</v>
      </c>
      <c r="F37" s="50">
        <f>SUM(F8:F36)</f>
        <v>6052855</v>
      </c>
      <c r="G37" s="50">
        <f>SUM(G8:G36)</f>
        <v>3923306</v>
      </c>
      <c r="I37" s="50">
        <f>SUM(I8:I35)</f>
        <v>4561363.372</v>
      </c>
      <c r="J37" s="50">
        <f>SUM(J8:J35)</f>
        <v>1810807.0532329998</v>
      </c>
      <c r="K37" s="50">
        <f>SUM(K8:K35)</f>
        <v>6372170.425232998</v>
      </c>
      <c r="L37" s="50">
        <f>SUM(L8:L35)</f>
        <v>613266.7946030002</v>
      </c>
      <c r="M37" s="50">
        <f>SUM(M8:M36)</f>
        <v>397503.8712915999</v>
      </c>
      <c r="O37" s="50">
        <f>SUM(O8:O35)</f>
        <v>455827.5</v>
      </c>
      <c r="P37" s="50">
        <f>SUM(P8:P35)</f>
        <v>180958.10062499988</v>
      </c>
      <c r="Q37" s="50">
        <f>SUM(Q8:Q35)</f>
        <v>636785.6006250002</v>
      </c>
      <c r="R37" s="50">
        <f>SUM(R8:R35)</f>
        <v>61285.156875</v>
      </c>
      <c r="S37" s="50">
        <f>SUM(S8:S36)</f>
        <v>39723.47325</v>
      </c>
      <c r="T37" s="41"/>
      <c r="U37" s="50">
        <f>SUM(U8:U35)</f>
        <v>58640.80897284535</v>
      </c>
      <c r="V37" s="50">
        <f>SUM(V8:V35)</f>
        <v>23279.70429787486</v>
      </c>
      <c r="W37" s="50">
        <f>SUM(W8:W35)</f>
        <v>81920.51327072021</v>
      </c>
      <c r="X37" s="50">
        <f>SUM(X8:X35)</f>
        <v>7884.147352184177</v>
      </c>
      <c r="Y37" s="50">
        <f>SUM(Y8:Y36)</f>
        <v>5110.302925100357</v>
      </c>
      <c r="AA37" s="50">
        <f>SUM(AA8:AA35)</f>
        <v>1069873.288</v>
      </c>
      <c r="AB37" s="50">
        <f>SUM(AB8:AB35)</f>
        <v>424726.9813820002</v>
      </c>
      <c r="AC37" s="50">
        <f>SUM(AC8:AC35)</f>
        <v>1494600.269382</v>
      </c>
      <c r="AD37" s="50">
        <f>SUM(AD8:AD35)</f>
        <v>143842.46736200008</v>
      </c>
      <c r="AE37" s="50">
        <f>SUM(AE8:AE36)</f>
        <v>93235.01310639997</v>
      </c>
      <c r="AG37" s="50">
        <f>SUM(AG8:AG35)</f>
        <v>30955.752</v>
      </c>
      <c r="AH37" s="50">
        <f>SUM(AH8:AH35)</f>
        <v>12289.065678000003</v>
      </c>
      <c r="AI37" s="50">
        <f>SUM(AI8:AI35)</f>
        <v>43244.81767800001</v>
      </c>
      <c r="AJ37" s="50">
        <f>SUM(AJ8:AJ35)</f>
        <v>4161.943098000001</v>
      </c>
      <c r="AK37" s="50">
        <f>SUM(AK8:AK36)</f>
        <v>2697.6652056</v>
      </c>
      <c r="AM37" s="50">
        <f>SUM(AM8:AM35)</f>
        <v>22582.032</v>
      </c>
      <c r="AN37" s="50">
        <f>SUM(AN8:AN35)</f>
        <v>8964.798347999998</v>
      </c>
      <c r="AO37" s="50">
        <f>SUM(AO8:AO35)</f>
        <v>31546.830348</v>
      </c>
      <c r="AP37" s="50">
        <f>SUM(AP8:AP35)</f>
        <v>3036.1120680000017</v>
      </c>
      <c r="AQ37" s="50">
        <f>SUM(AQ8:AQ36)</f>
        <v>1967.9302896000006</v>
      </c>
      <c r="AS37" s="50">
        <f>SUM(AS8:AS35)</f>
        <v>315140</v>
      </c>
      <c r="AT37" s="50">
        <f>SUM(AT8:AT35)</f>
        <v>125106.83499999995</v>
      </c>
      <c r="AU37" s="50">
        <f>SUM(AU8:AU35)</f>
        <v>440246.83499999996</v>
      </c>
      <c r="AV37" s="50">
        <f>SUM(AV8:AV35)</f>
        <v>42369.985000000015</v>
      </c>
      <c r="AW37" s="50">
        <f>SUM(AW8:AW36)</f>
        <v>27463.142000000014</v>
      </c>
      <c r="AY37" s="50">
        <f>SUM(AY8:AY35)</f>
        <v>233100.054</v>
      </c>
      <c r="AZ37" s="50">
        <f>SUM(AZ8:AZ35)</f>
        <v>92537.9513685</v>
      </c>
      <c r="BA37" s="50">
        <f>SUM(BA8:BA35)</f>
        <v>325638.0053684999</v>
      </c>
      <c r="BB37" s="50">
        <f>SUM(BB8:BB35)</f>
        <v>31339.867333500013</v>
      </c>
      <c r="BC37" s="50">
        <f>SUM(BC8:BC36)</f>
        <v>20313.701476200014</v>
      </c>
      <c r="BD37" s="41"/>
      <c r="BE37" s="50">
        <f>SUM(BE8:BE35)</f>
        <v>80916.68902715466</v>
      </c>
      <c r="BF37" s="50">
        <f>SUM(BF8:BF35)</f>
        <v>32122.96396162514</v>
      </c>
      <c r="BG37" s="50">
        <f>SUM(BG8:BG35)</f>
        <v>113039.65298877978</v>
      </c>
      <c r="BH37" s="50">
        <f>SUM(BH8:BH35)</f>
        <v>10879.097862315826</v>
      </c>
      <c r="BI37" s="50">
        <f>SUM(BI8:BI36)</f>
        <v>7051.553344299641</v>
      </c>
      <c r="BJ37" s="41"/>
      <c r="BK37" s="50">
        <f>SUM(BK8:BK35)</f>
        <v>123291.77199999998</v>
      </c>
      <c r="BL37" s="50">
        <f>SUM(BL8:BL35)</f>
        <v>48945.368333000006</v>
      </c>
      <c r="BM37" s="50">
        <f>SUM(BM8:BM35)</f>
        <v>172237.140333</v>
      </c>
      <c r="BN37" s="50">
        <f>SUM(BN8:BN35)</f>
        <v>16576.348703000007</v>
      </c>
      <c r="BO37" s="50">
        <f>SUM(BO8:BO36)</f>
        <v>10744.365811599995</v>
      </c>
      <c r="BP37" s="41"/>
      <c r="BQ37" s="50">
        <f>SUM(BQ8:BQ35)</f>
        <v>351534.16799999995</v>
      </c>
      <c r="BR37" s="50">
        <f>SUM(BR8:BR35)</f>
        <v>139554.88720200007</v>
      </c>
      <c r="BS37" s="50">
        <f>SUM(BS8:BS35)</f>
        <v>491089.05520199996</v>
      </c>
      <c r="BT37" s="50">
        <f>SUM(BT8:BT35)</f>
        <v>47263.112982000006</v>
      </c>
      <c r="BU37" s="50">
        <f>SUM(BU8:BU36)</f>
        <v>30634.742570399976</v>
      </c>
      <c r="BV37" s="41"/>
      <c r="BW37" s="50">
        <f>SUM(BW8:BW35)</f>
        <v>165173.87799999997</v>
      </c>
      <c r="BX37" s="50">
        <f>SUM(BX8:BX35)</f>
        <v>65572.06670449997</v>
      </c>
      <c r="BY37" s="50">
        <f>SUM(BY8:BY35)</f>
        <v>230745.9447045</v>
      </c>
      <c r="BZ37" s="50">
        <f>SUM(BZ8:BZ35)</f>
        <v>22207.3197095</v>
      </c>
      <c r="CA37" s="50">
        <f>SUM(CA8:CA36)</f>
        <v>14394.217383399991</v>
      </c>
      <c r="CC37" s="50">
        <f>SUM(CC8:CC35)</f>
        <v>119541.60599999999</v>
      </c>
      <c r="CD37" s="50">
        <f>SUM(CD8:CD35)</f>
        <v>47456.59699649998</v>
      </c>
      <c r="CE37" s="50">
        <f>SUM(CE8:CE35)</f>
        <v>166998.20299649998</v>
      </c>
      <c r="CF37" s="50">
        <f>SUM(CF8:CF35)</f>
        <v>16072.145881500008</v>
      </c>
      <c r="CG37" s="50">
        <f>SUM(CG8:CG36)</f>
        <v>10417.554421800001</v>
      </c>
      <c r="CI37" s="50">
        <f>SUM(CI8:CI35)</f>
        <v>172061.93799999997</v>
      </c>
      <c r="CJ37" s="50">
        <f>SUM(CJ8:CJ35)</f>
        <v>68306.54466949998</v>
      </c>
      <c r="CK37" s="50">
        <f>SUM(CK8:CK35)</f>
        <v>240368.48266950005</v>
      </c>
      <c r="CL37" s="50">
        <f>SUM(CL8:CL35)</f>
        <v>23133.406524500002</v>
      </c>
      <c r="CM37" s="50">
        <f>SUM(CM8:CM36)</f>
        <v>14994.483201399995</v>
      </c>
      <c r="CO37" s="50">
        <f>SUM(CO8:CO35)</f>
        <v>35390.222</v>
      </c>
      <c r="CP37" s="50">
        <f>SUM(CP8:CP35)</f>
        <v>14049.497570500002</v>
      </c>
      <c r="CQ37" s="50">
        <f>SUM(CQ8:CQ35)</f>
        <v>49439.7195705</v>
      </c>
      <c r="CR37" s="50">
        <f>SUM(CR8:CR35)</f>
        <v>4758.149315499999</v>
      </c>
      <c r="CS37" s="50">
        <f>SUM(CS8:CS36)</f>
        <v>3084.1108466000014</v>
      </c>
      <c r="CT37" s="41"/>
      <c r="CU37" s="50">
        <f>SUM(CU8:CU35)</f>
        <v>134263.146</v>
      </c>
      <c r="CV37" s="50">
        <f>SUM(CV8:CV35)</f>
        <v>53300.87343150002</v>
      </c>
      <c r="CW37" s="50">
        <f>SUM(CW8:CW35)</f>
        <v>187564.01943150003</v>
      </c>
      <c r="CX37" s="50">
        <f>SUM(CX8:CX35)</f>
        <v>18051.429466499994</v>
      </c>
      <c r="CY37" s="50">
        <f>SUM(CY8:CY36)</f>
        <v>11700.4754838</v>
      </c>
      <c r="DA37" s="50">
        <f>SUM(DA8:DA35)</f>
        <v>33490.378</v>
      </c>
      <c r="DB37" s="50">
        <f>SUM(DB8:DB35)</f>
        <v>13295.282079499997</v>
      </c>
      <c r="DC37" s="50">
        <f>SUM(DC8:DC35)</f>
        <v>46785.6600795</v>
      </c>
      <c r="DD37" s="50">
        <f>SUM(DD8:DD35)</f>
        <v>4502.718834500002</v>
      </c>
      <c r="DE37" s="50">
        <f>SUM(DE8:DE36)</f>
        <v>2918.5473333999994</v>
      </c>
      <c r="DG37" s="50">
        <f>SUM(DG8:DG35)</f>
        <v>134569.282</v>
      </c>
      <c r="DH37" s="50">
        <f>SUM(DH8:DH35)</f>
        <v>53422.405785500014</v>
      </c>
      <c r="DI37" s="50">
        <f>SUM(DI8:DI35)</f>
        <v>187991.68778550002</v>
      </c>
      <c r="DJ37" s="50">
        <f>SUM(DJ8:DJ35)</f>
        <v>18092.588880500007</v>
      </c>
      <c r="DK37" s="50">
        <f>SUM(DK8:DK36)</f>
        <v>11727.153964599998</v>
      </c>
      <c r="DM37" s="50">
        <f>SUM(DM8:DM35)</f>
        <v>753153.086</v>
      </c>
      <c r="DN37" s="50">
        <f>SUM(DN8:DN35)</f>
        <v>298992.8249665</v>
      </c>
      <c r="DO37" s="50">
        <f>SUM(DO8:DO35)</f>
        <v>1052145.9109665</v>
      </c>
      <c r="DP37" s="50">
        <f>SUM(DP8:DP35)</f>
        <v>101260.0271515</v>
      </c>
      <c r="DQ37" s="50">
        <f>SUM(DQ8:DQ36)</f>
        <v>65634.16306579998</v>
      </c>
      <c r="DS37" s="50">
        <f>SUM(DS8:DS35)</f>
        <v>2187.9719999999998</v>
      </c>
      <c r="DT37" s="50">
        <f>SUM(DT8:DT35)</f>
        <v>868.5988830000001</v>
      </c>
      <c r="DU37" s="50">
        <f>SUM(DU8:DU35)</f>
        <v>3056.5708829999994</v>
      </c>
      <c r="DV37" s="50">
        <f>SUM(DV8:DV35)</f>
        <v>294.168753</v>
      </c>
      <c r="DW37" s="50">
        <f>SUM(DW8:DW36)</f>
        <v>190.67267160000014</v>
      </c>
      <c r="DY37" s="50">
        <f>SUM(DY8:DY35)</f>
        <v>143600.294</v>
      </c>
      <c r="DZ37" s="50">
        <f>SUM(DZ8:DZ35)</f>
        <v>57007.610228499994</v>
      </c>
      <c r="EA37" s="50">
        <f>SUM(EA8:EA35)</f>
        <v>200607.90422849992</v>
      </c>
      <c r="EB37" s="50">
        <f>SUM(EB8:EB35)</f>
        <v>19306.79159349999</v>
      </c>
      <c r="EC37" s="50">
        <f>SUM(EC8:EC36)</f>
        <v>12514.169148200008</v>
      </c>
      <c r="EE37" s="50">
        <f>SUM(EE8:EE35)</f>
        <v>126069.506</v>
      </c>
      <c r="EF37" s="50">
        <f>SUM(EF8:EF35)</f>
        <v>50048.09572149998</v>
      </c>
      <c r="EG37" s="50">
        <f>SUM(EG8:EG35)</f>
        <v>176117.60172150002</v>
      </c>
      <c r="EH37" s="50">
        <f>SUM(EH8:EH35)</f>
        <v>16949.809856499996</v>
      </c>
      <c r="EI37" s="50">
        <f>SUM(EI8:EI36)</f>
        <v>10986.433791800002</v>
      </c>
    </row>
    <row r="38" ht="12.75" thickTop="1"/>
    <row r="47" ht="12">
      <c r="H47"/>
    </row>
    <row r="48" ht="12">
      <c r="H48"/>
    </row>
    <row r="49" spans="8:140" ht="12"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</row>
    <row r="50" spans="1:140" ht="12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</row>
    <row r="51" spans="1:140" ht="12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</row>
    <row r="52" spans="1:140" ht="12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</row>
    <row r="53" spans="1:140" ht="12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</row>
    <row r="54" spans="1:140" ht="12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</row>
    <row r="55" spans="1:140" ht="12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</row>
    <row r="56" spans="1:140" ht="12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</row>
    <row r="57" spans="1:140" ht="12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</row>
    <row r="58" spans="1:140" ht="12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</row>
    <row r="59" spans="1:140" ht="12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</row>
    <row r="60" spans="1:140" ht="12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</row>
    <row r="61" spans="1:140" ht="12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</row>
    <row r="62" spans="1:140" ht="12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</row>
    <row r="63" spans="1:140" ht="12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</row>
    <row r="64" spans="1:140" ht="12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</row>
    <row r="65" ht="12"/>
    <row r="66" ht="12"/>
    <row r="67" ht="12"/>
    <row r="68" ht="12"/>
    <row r="69" ht="12"/>
    <row r="70" ht="12"/>
    <row r="71" ht="12"/>
    <row r="72" ht="12"/>
    <row r="73" ht="12"/>
    <row r="74" ht="12">
      <c r="H74" s="33"/>
    </row>
    <row r="75" ht="12">
      <c r="H75" s="33"/>
    </row>
    <row r="76" ht="12"/>
  </sheetData>
  <sheetProtection/>
  <printOptions/>
  <pageMargins left="0.75" right="0.75" top="1" bottom="1" header="0.5" footer="0.5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2"/>
  <sheetViews>
    <sheetView workbookViewId="0" topLeftCell="A1">
      <pane ySplit="6" topLeftCell="BM7" activePane="bottomLeft" state="frozen"/>
      <selection pane="topLeft" activeCell="A1" sqref="A1"/>
      <selection pane="bottomLeft" activeCell="D27" sqref="D27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40.7109375" style="0" customWidth="1"/>
    <col min="4" max="4" width="14.7109375" style="5" customWidth="1"/>
    <col min="5" max="17" width="13.7109375" style="5" customWidth="1"/>
    <col min="18" max="18" width="13.7109375" style="12" customWidth="1"/>
    <col min="19" max="19" width="10.28125" style="0" bestFit="1" customWidth="1"/>
  </cols>
  <sheetData>
    <row r="1" ht="12">
      <c r="A1" s="18" t="s">
        <v>87</v>
      </c>
    </row>
    <row r="3" spans="1:18" ht="12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8" t="s">
        <v>0</v>
      </c>
    </row>
    <row r="4" spans="1:18" ht="12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16</v>
      </c>
      <c r="G4" s="4" t="s">
        <v>46</v>
      </c>
      <c r="H4" s="4" t="s">
        <v>18</v>
      </c>
      <c r="I4" s="4" t="s">
        <v>21</v>
      </c>
      <c r="J4" s="4" t="s">
        <v>107</v>
      </c>
      <c r="K4" s="4" t="s">
        <v>28</v>
      </c>
      <c r="L4" s="4" t="s">
        <v>22</v>
      </c>
      <c r="M4" s="4" t="s">
        <v>56</v>
      </c>
      <c r="N4" s="4" t="s">
        <v>23</v>
      </c>
      <c r="O4" s="4" t="s">
        <v>58</v>
      </c>
      <c r="P4" s="4" t="s">
        <v>24</v>
      </c>
      <c r="Q4" s="4" t="s">
        <v>25</v>
      </c>
      <c r="R4" s="59" t="s">
        <v>6</v>
      </c>
    </row>
    <row r="5" spans="1:18" s="11" customFormat="1" ht="12.75" thickBot="1">
      <c r="A5" s="8"/>
      <c r="B5" s="8"/>
      <c r="C5" s="8" t="s">
        <v>7</v>
      </c>
      <c r="D5" s="9">
        <f>SUM(E5:Q5)</f>
        <v>89874539.47999997</v>
      </c>
      <c r="E5" s="9">
        <f aca="true" t="shared" si="0" ref="E5:Q5">SUM(E6:E49)</f>
        <v>28362059.849999998</v>
      </c>
      <c r="F5" s="9">
        <f t="shared" si="0"/>
        <v>21620687.03</v>
      </c>
      <c r="G5" s="9">
        <f t="shared" si="0"/>
        <v>278599.64999999997</v>
      </c>
      <c r="H5" s="9">
        <f t="shared" si="0"/>
        <v>3235404.79</v>
      </c>
      <c r="I5" s="9">
        <f t="shared" si="0"/>
        <v>4713945.69</v>
      </c>
      <c r="J5" s="9">
        <f t="shared" si="0"/>
        <v>246129</v>
      </c>
      <c r="K5" s="9">
        <f t="shared" si="0"/>
        <v>10467471.11</v>
      </c>
      <c r="L5" s="9">
        <f t="shared" si="0"/>
        <v>984269.27</v>
      </c>
      <c r="M5" s="9">
        <f t="shared" si="0"/>
        <v>702172.21</v>
      </c>
      <c r="N5" s="9">
        <f t="shared" si="0"/>
        <v>1070814.44</v>
      </c>
      <c r="O5" s="9">
        <f t="shared" si="0"/>
        <v>11744147.67</v>
      </c>
      <c r="P5" s="9">
        <f t="shared" si="0"/>
        <v>5910491.03</v>
      </c>
      <c r="Q5" s="9">
        <f t="shared" si="0"/>
        <v>538347.74</v>
      </c>
      <c r="R5" s="15"/>
    </row>
    <row r="6" spans="1:18" ht="12.75" thickTop="1">
      <c r="A6" s="6"/>
      <c r="B6" s="55"/>
      <c r="C6" s="5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6"/>
    </row>
    <row r="7" spans="1:18" ht="12">
      <c r="A7" s="55" t="s">
        <v>5</v>
      </c>
      <c r="B7" s="55" t="s">
        <v>67</v>
      </c>
      <c r="C7" s="55" t="s">
        <v>103</v>
      </c>
      <c r="D7" s="5">
        <f aca="true" t="shared" si="1" ref="D7:D48">SUM(E7:Q7)</f>
        <v>909981.47</v>
      </c>
      <c r="E7" s="76">
        <f>909981.47</f>
        <v>909981.47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2">
        <f>D7/$D$5</f>
        <v>0.01012501955798617</v>
      </c>
    </row>
    <row r="8" spans="1:18" ht="12">
      <c r="A8" s="30" t="s">
        <v>16</v>
      </c>
      <c r="B8" s="30" t="s">
        <v>102</v>
      </c>
      <c r="C8" t="s">
        <v>20</v>
      </c>
      <c r="D8" s="5">
        <f t="shared" si="1"/>
        <v>2135815.34</v>
      </c>
      <c r="F8" s="5">
        <f>95799+1500152.05+488570.62+4743.67+46550</f>
        <v>2135815.34</v>
      </c>
      <c r="R8" s="12">
        <f>D8/$D$5</f>
        <v>0.023764409279396517</v>
      </c>
    </row>
    <row r="9" spans="1:18" ht="12">
      <c r="A9" s="30" t="s">
        <v>16</v>
      </c>
      <c r="B9" s="30" t="s">
        <v>67</v>
      </c>
      <c r="C9" t="s">
        <v>104</v>
      </c>
      <c r="D9" s="5">
        <f t="shared" si="1"/>
        <v>61801.6</v>
      </c>
      <c r="F9" s="5">
        <v>61801.6</v>
      </c>
      <c r="R9" s="12">
        <f aca="true" t="shared" si="2" ref="R9:R48">D9/$D$5</f>
        <v>0.0006876430227912643</v>
      </c>
    </row>
    <row r="10" spans="1:18" ht="12">
      <c r="A10" s="30" t="s">
        <v>46</v>
      </c>
      <c r="B10" s="30" t="s">
        <v>67</v>
      </c>
      <c r="C10" t="s">
        <v>20</v>
      </c>
      <c r="D10" s="5">
        <f t="shared" si="1"/>
        <v>30333.98</v>
      </c>
      <c r="G10" s="5">
        <f>30333.98</f>
        <v>30333.98</v>
      </c>
      <c r="R10" s="12">
        <f t="shared" si="2"/>
        <v>0.0003375147196915574</v>
      </c>
    </row>
    <row r="11" spans="1:18" ht="12">
      <c r="A11" s="30" t="s">
        <v>46</v>
      </c>
      <c r="B11" s="30" t="s">
        <v>110</v>
      </c>
      <c r="C11" t="s">
        <v>81</v>
      </c>
      <c r="D11" s="5">
        <f t="shared" si="1"/>
        <v>248265.66999999998</v>
      </c>
      <c r="G11" s="5">
        <f>143552.74+104712.93</f>
        <v>248265.66999999998</v>
      </c>
      <c r="R11" s="12">
        <f t="shared" si="2"/>
        <v>0.0027623581877184162</v>
      </c>
    </row>
    <row r="12" spans="1:18" ht="12">
      <c r="A12" s="30" t="s">
        <v>18</v>
      </c>
      <c r="B12" s="30" t="s">
        <v>80</v>
      </c>
      <c r="C12" t="s">
        <v>20</v>
      </c>
      <c r="D12" s="5">
        <f t="shared" si="1"/>
        <v>45080</v>
      </c>
      <c r="H12" s="5">
        <f>45080</f>
        <v>45080</v>
      </c>
      <c r="R12" s="12">
        <f t="shared" si="2"/>
        <v>0.0005015881056061686</v>
      </c>
    </row>
    <row r="13" spans="1:18" ht="12">
      <c r="A13" s="30" t="s">
        <v>18</v>
      </c>
      <c r="B13" s="30" t="s">
        <v>17</v>
      </c>
      <c r="C13" t="s">
        <v>19</v>
      </c>
      <c r="D13" s="5">
        <f t="shared" si="1"/>
        <v>629122.79</v>
      </c>
      <c r="H13" s="5">
        <f>629122.79</f>
        <v>629122.79</v>
      </c>
      <c r="R13" s="12">
        <f t="shared" si="2"/>
        <v>0.007000011278388808</v>
      </c>
    </row>
    <row r="14" spans="1:18" ht="12">
      <c r="A14" s="30" t="s">
        <v>21</v>
      </c>
      <c r="B14" s="30" t="s">
        <v>80</v>
      </c>
      <c r="C14" t="s">
        <v>20</v>
      </c>
      <c r="D14" s="5">
        <f t="shared" si="1"/>
        <v>465344.68</v>
      </c>
      <c r="I14" s="5">
        <f>465344.68</f>
        <v>465344.68</v>
      </c>
      <c r="R14" s="12">
        <f t="shared" si="2"/>
        <v>0.005177714207966032</v>
      </c>
    </row>
    <row r="15" spans="1:18" ht="12">
      <c r="A15" s="30" t="s">
        <v>107</v>
      </c>
      <c r="B15" s="30" t="s">
        <v>80</v>
      </c>
      <c r="C15" t="s">
        <v>20</v>
      </c>
      <c r="D15" s="5">
        <f t="shared" si="1"/>
        <v>246129</v>
      </c>
      <c r="J15" s="5">
        <f>246129</f>
        <v>246129</v>
      </c>
      <c r="R15" s="12">
        <f t="shared" si="2"/>
        <v>0.0027385842689605297</v>
      </c>
    </row>
    <row r="16" spans="1:18" ht="12">
      <c r="A16" s="30" t="s">
        <v>28</v>
      </c>
      <c r="B16" s="30" t="s">
        <v>68</v>
      </c>
      <c r="C16" t="s">
        <v>69</v>
      </c>
      <c r="D16" s="5">
        <f t="shared" si="1"/>
        <v>701772.7</v>
      </c>
      <c r="K16" s="5">
        <f>701772.7</f>
        <v>701772.7</v>
      </c>
      <c r="R16" s="12">
        <f t="shared" si="2"/>
        <v>0.007808359342482832</v>
      </c>
    </row>
    <row r="17" spans="1:18" ht="12">
      <c r="A17" s="30" t="s">
        <v>22</v>
      </c>
      <c r="B17" s="30" t="s">
        <v>108</v>
      </c>
      <c r="C17" t="s">
        <v>20</v>
      </c>
      <c r="D17" s="5">
        <f t="shared" si="1"/>
        <v>329741.1</v>
      </c>
      <c r="L17" s="5">
        <f>119704.3+167646.8+40000+2390</f>
        <v>329741.1</v>
      </c>
      <c r="R17" s="12">
        <f t="shared" si="2"/>
        <v>0.00366890447403492</v>
      </c>
    </row>
    <row r="18" spans="1:18" ht="12">
      <c r="A18" s="30" t="s">
        <v>22</v>
      </c>
      <c r="B18" s="30" t="s">
        <v>112</v>
      </c>
      <c r="C18" t="s">
        <v>81</v>
      </c>
      <c r="D18" s="5">
        <f t="shared" si="1"/>
        <v>238647.5</v>
      </c>
      <c r="L18" s="5">
        <f>234301.98+4345.52</f>
        <v>238647.5</v>
      </c>
      <c r="R18" s="12">
        <f t="shared" si="2"/>
        <v>0.002655340448816507</v>
      </c>
    </row>
    <row r="19" spans="1:18" ht="12">
      <c r="A19" s="30" t="s">
        <v>56</v>
      </c>
      <c r="B19" s="30" t="s">
        <v>105</v>
      </c>
      <c r="C19" t="s">
        <v>20</v>
      </c>
      <c r="D19" s="5">
        <f t="shared" si="1"/>
        <v>343487.21</v>
      </c>
      <c r="M19" s="5">
        <f>53241+228812.7+61433.51</f>
        <v>343487.21</v>
      </c>
      <c r="R19" s="12">
        <f t="shared" si="2"/>
        <v>0.003821852239659455</v>
      </c>
    </row>
    <row r="20" spans="1:18" ht="12">
      <c r="A20" s="30" t="s">
        <v>56</v>
      </c>
      <c r="B20" s="30" t="s">
        <v>45</v>
      </c>
      <c r="C20" t="s">
        <v>26</v>
      </c>
      <c r="D20" s="5">
        <f t="shared" si="1"/>
        <v>70647</v>
      </c>
      <c r="M20" s="5">
        <f>70647</f>
        <v>70647</v>
      </c>
      <c r="R20" s="12">
        <f t="shared" si="2"/>
        <v>0.0007860624422528615</v>
      </c>
    </row>
    <row r="21" spans="1:18" ht="12">
      <c r="A21" s="30" t="s">
        <v>23</v>
      </c>
      <c r="B21" s="30" t="s">
        <v>111</v>
      </c>
      <c r="C21" t="s">
        <v>20</v>
      </c>
      <c r="D21" s="5">
        <f t="shared" si="1"/>
        <v>268032.5</v>
      </c>
      <c r="N21" s="5">
        <f>191700.84+75581.66+750</f>
        <v>268032.5</v>
      </c>
      <c r="R21" s="12">
        <f t="shared" si="2"/>
        <v>0.002982296227060457</v>
      </c>
    </row>
    <row r="22" spans="1:18" ht="12">
      <c r="A22" s="30" t="s">
        <v>23</v>
      </c>
      <c r="B22" s="30" t="s">
        <v>45</v>
      </c>
      <c r="C22" t="s">
        <v>81</v>
      </c>
      <c r="D22" s="5">
        <f t="shared" si="1"/>
        <v>66860.89</v>
      </c>
      <c r="N22" s="5">
        <f>66860.89</f>
        <v>66860.89</v>
      </c>
      <c r="R22" s="12">
        <f t="shared" si="2"/>
        <v>0.0007439358286211718</v>
      </c>
    </row>
    <row r="23" spans="1:18" ht="12">
      <c r="A23" s="30" t="s">
        <v>58</v>
      </c>
      <c r="B23" s="30" t="s">
        <v>109</v>
      </c>
      <c r="C23" t="s">
        <v>20</v>
      </c>
      <c r="D23" s="5">
        <f t="shared" si="1"/>
        <v>268642.48</v>
      </c>
      <c r="O23" s="5">
        <f>170635.66+36630.63+56702.15+4674.04</f>
        <v>268642.48</v>
      </c>
      <c r="R23" s="12">
        <f t="shared" si="2"/>
        <v>0.0029890832437565002</v>
      </c>
    </row>
    <row r="24" spans="1:18" ht="12">
      <c r="A24" s="30" t="s">
        <v>24</v>
      </c>
      <c r="B24" s="30" t="s">
        <v>106</v>
      </c>
      <c r="C24" t="s">
        <v>20</v>
      </c>
      <c r="D24" s="5">
        <f t="shared" si="1"/>
        <v>1503534.6</v>
      </c>
      <c r="P24" s="5">
        <f>337435.66+483859.65+218669.31+307513.99+76625.9+7877.33+71552.76</f>
        <v>1503534.6</v>
      </c>
      <c r="R24" s="12">
        <f t="shared" si="2"/>
        <v>0.016729260686054317</v>
      </c>
    </row>
    <row r="25" spans="1:18" ht="12">
      <c r="A25" s="30" t="s">
        <v>24</v>
      </c>
      <c r="B25" s="30" t="s">
        <v>51</v>
      </c>
      <c r="C25" t="s">
        <v>81</v>
      </c>
      <c r="D25" s="5">
        <f t="shared" si="1"/>
        <v>4365.16</v>
      </c>
      <c r="P25" s="5">
        <f>4365.16</f>
        <v>4365.16</v>
      </c>
      <c r="R25" s="12">
        <f t="shared" si="2"/>
        <v>4.856948391898454E-05</v>
      </c>
    </row>
    <row r="26" spans="1:19" ht="12">
      <c r="A26" s="30" t="s">
        <v>25</v>
      </c>
      <c r="B26" s="30" t="s">
        <v>50</v>
      </c>
      <c r="C26" t="s">
        <v>20</v>
      </c>
      <c r="D26" s="5">
        <f t="shared" si="1"/>
        <v>286672.1</v>
      </c>
      <c r="Q26" s="5">
        <f>283396.1+3276</f>
        <v>286672.1</v>
      </c>
      <c r="R26" s="12">
        <f t="shared" si="2"/>
        <v>0.003189692004639355</v>
      </c>
      <c r="S26" s="12"/>
    </row>
    <row r="27" spans="1:19" ht="12">
      <c r="A27" s="30" t="s">
        <v>25</v>
      </c>
      <c r="B27" s="30" t="s">
        <v>70</v>
      </c>
      <c r="C27" t="s">
        <v>81</v>
      </c>
      <c r="D27" s="5">
        <f t="shared" si="1"/>
        <v>251675.64</v>
      </c>
      <c r="Q27" s="5">
        <f>251675.64</f>
        <v>251675.64</v>
      </c>
      <c r="R27" s="12">
        <f t="shared" si="2"/>
        <v>0.0028002996338691234</v>
      </c>
      <c r="S27" s="12"/>
    </row>
    <row r="28" spans="1:19" ht="12">
      <c r="A28" s="30" t="s">
        <v>5</v>
      </c>
      <c r="B28" s="30" t="s">
        <v>47</v>
      </c>
      <c r="C28" t="s">
        <v>76</v>
      </c>
      <c r="D28" s="5">
        <f t="shared" si="1"/>
        <v>22500430.15</v>
      </c>
      <c r="E28" s="5">
        <f>22500430.15</f>
        <v>22500430.15</v>
      </c>
      <c r="R28" s="12">
        <f t="shared" si="2"/>
        <v>0.2503537740519614</v>
      </c>
      <c r="S28" s="12"/>
    </row>
    <row r="29" spans="1:19" ht="12">
      <c r="A29" s="30" t="s">
        <v>5</v>
      </c>
      <c r="B29" s="30" t="s">
        <v>83</v>
      </c>
      <c r="C29" t="s">
        <v>53</v>
      </c>
      <c r="D29" s="5">
        <f t="shared" si="1"/>
        <v>1736020.48</v>
      </c>
      <c r="E29" s="5">
        <f>859897.8+876122.68</f>
        <v>1736020.48</v>
      </c>
      <c r="R29" s="12">
        <f t="shared" si="2"/>
        <v>0.019316043120157753</v>
      </c>
      <c r="S29" s="12"/>
    </row>
    <row r="30" spans="1:19" ht="12">
      <c r="A30" s="30" t="s">
        <v>5</v>
      </c>
      <c r="B30" s="30" t="s">
        <v>52</v>
      </c>
      <c r="C30" t="s">
        <v>54</v>
      </c>
      <c r="D30" s="5">
        <f t="shared" si="1"/>
        <v>2150246.79</v>
      </c>
      <c r="E30" s="5">
        <f>2150246.79</f>
        <v>2150246.79</v>
      </c>
      <c r="R30" s="12">
        <f t="shared" si="2"/>
        <v>0.023924982563927354</v>
      </c>
      <c r="S30" s="12"/>
    </row>
    <row r="31" spans="1:19" ht="12">
      <c r="A31" s="30" t="s">
        <v>5</v>
      </c>
      <c r="B31" s="30" t="s">
        <v>47</v>
      </c>
      <c r="C31" t="s">
        <v>55</v>
      </c>
      <c r="D31" s="5">
        <f t="shared" si="1"/>
        <v>1065380.96</v>
      </c>
      <c r="E31" s="5">
        <f>1065380.96</f>
        <v>1065380.96</v>
      </c>
      <c r="R31" s="12">
        <f t="shared" si="2"/>
        <v>0.011854090893417952</v>
      </c>
      <c r="S31" s="12"/>
    </row>
    <row r="32" spans="1:18" ht="12">
      <c r="A32" s="30" t="s">
        <v>16</v>
      </c>
      <c r="B32" s="30" t="s">
        <v>117</v>
      </c>
      <c r="C32" t="s">
        <v>35</v>
      </c>
      <c r="D32" s="5">
        <f t="shared" si="1"/>
        <v>19423070.09</v>
      </c>
      <c r="F32" s="5">
        <f>3350729.16+15821400+250848.68+92.25</f>
        <v>19423070.09</v>
      </c>
      <c r="R32" s="12">
        <f t="shared" si="2"/>
        <v>0.21611315287264718</v>
      </c>
    </row>
    <row r="33" spans="1:18" ht="12">
      <c r="A33" s="30" t="s">
        <v>18</v>
      </c>
      <c r="B33" s="30" t="s">
        <v>72</v>
      </c>
      <c r="C33" t="s">
        <v>73</v>
      </c>
      <c r="D33" s="5">
        <f t="shared" si="1"/>
        <v>2561202</v>
      </c>
      <c r="H33" s="5">
        <f>1793312+767890</f>
        <v>2561202</v>
      </c>
      <c r="R33" s="12">
        <f t="shared" si="2"/>
        <v>0.028497525715499787</v>
      </c>
    </row>
    <row r="34" spans="1:18" ht="12">
      <c r="A34" s="30" t="s">
        <v>21</v>
      </c>
      <c r="B34" s="30" t="s">
        <v>52</v>
      </c>
      <c r="C34" t="s">
        <v>82</v>
      </c>
      <c r="D34" s="5">
        <f t="shared" si="1"/>
        <v>759705.77</v>
      </c>
      <c r="I34" s="5">
        <f>759705.77</f>
        <v>759705.77</v>
      </c>
      <c r="R34" s="12">
        <f t="shared" si="2"/>
        <v>0.008452958695483044</v>
      </c>
    </row>
    <row r="35" spans="1:18" ht="12">
      <c r="A35" s="30" t="s">
        <v>21</v>
      </c>
      <c r="B35" s="30" t="s">
        <v>72</v>
      </c>
      <c r="C35" t="s">
        <v>116</v>
      </c>
      <c r="D35" s="5">
        <f t="shared" si="1"/>
        <v>334110.52</v>
      </c>
      <c r="I35" s="5">
        <f>292021.61+42088.91</f>
        <v>334110.52</v>
      </c>
      <c r="R35" s="12">
        <f t="shared" si="2"/>
        <v>0.003717521357362288</v>
      </c>
    </row>
    <row r="36" spans="1:18" ht="12">
      <c r="A36" s="30" t="s">
        <v>21</v>
      </c>
      <c r="B36" s="30" t="s">
        <v>83</v>
      </c>
      <c r="C36" t="s">
        <v>27</v>
      </c>
      <c r="D36" s="5">
        <f t="shared" si="1"/>
        <v>2928035.7300000004</v>
      </c>
      <c r="I36" s="5">
        <f>2197312.43+730723.3</f>
        <v>2928035.7300000004</v>
      </c>
      <c r="R36" s="12">
        <f t="shared" si="2"/>
        <v>0.03257914585088455</v>
      </c>
    </row>
    <row r="37" spans="1:18" ht="12">
      <c r="A37" s="30" t="s">
        <v>21</v>
      </c>
      <c r="B37" s="30" t="s">
        <v>52</v>
      </c>
      <c r="C37" t="s">
        <v>29</v>
      </c>
      <c r="D37" s="5">
        <f t="shared" si="1"/>
        <v>226748.99</v>
      </c>
      <c r="I37" s="5">
        <f>226748.99</f>
        <v>226748.99</v>
      </c>
      <c r="R37" s="12">
        <f t="shared" si="2"/>
        <v>0.0025229502294190787</v>
      </c>
    </row>
    <row r="38" spans="1:18" ht="12">
      <c r="A38" s="30" t="s">
        <v>28</v>
      </c>
      <c r="B38" s="30" t="s">
        <v>52</v>
      </c>
      <c r="C38" t="s">
        <v>84</v>
      </c>
      <c r="D38" s="5">
        <f t="shared" si="1"/>
        <v>9765698.41</v>
      </c>
      <c r="K38" s="5">
        <f>9765698.41</f>
        <v>9765698.41</v>
      </c>
      <c r="R38" s="12">
        <f t="shared" si="2"/>
        <v>0.10865923170792088</v>
      </c>
    </row>
    <row r="39" spans="1:18" ht="12">
      <c r="A39" s="30" t="s">
        <v>22</v>
      </c>
      <c r="B39" s="30" t="s">
        <v>31</v>
      </c>
      <c r="C39" t="s">
        <v>60</v>
      </c>
      <c r="D39" s="5">
        <f t="shared" si="1"/>
        <v>414738.44</v>
      </c>
      <c r="L39" s="5">
        <f>414738.44</f>
        <v>414738.44</v>
      </c>
      <c r="R39" s="12">
        <f t="shared" si="2"/>
        <v>0.004614637720533665</v>
      </c>
    </row>
    <row r="40" spans="1:18" ht="12">
      <c r="A40" s="30" t="s">
        <v>22</v>
      </c>
      <c r="B40" s="30" t="s">
        <v>113</v>
      </c>
      <c r="C40" t="s">
        <v>114</v>
      </c>
      <c r="D40" s="5">
        <f t="shared" si="1"/>
        <v>1142.23</v>
      </c>
      <c r="L40" s="5">
        <f>1142.23</f>
        <v>1142.23</v>
      </c>
      <c r="R40" s="12">
        <f t="shared" si="2"/>
        <v>1.2709161088432432E-05</v>
      </c>
    </row>
    <row r="41" spans="1:18" ht="12">
      <c r="A41" s="30" t="s">
        <v>56</v>
      </c>
      <c r="B41" s="30" t="s">
        <v>47</v>
      </c>
      <c r="C41" t="s">
        <v>57</v>
      </c>
      <c r="D41" s="5">
        <f t="shared" si="1"/>
        <v>288038</v>
      </c>
      <c r="M41" s="5">
        <f>288038</f>
        <v>288038</v>
      </c>
      <c r="R41" s="12">
        <f t="shared" si="2"/>
        <v>0.003204889857200302</v>
      </c>
    </row>
    <row r="42" spans="1:18" ht="12">
      <c r="A42" s="30" t="s">
        <v>23</v>
      </c>
      <c r="B42" s="30" t="s">
        <v>47</v>
      </c>
      <c r="C42" t="s">
        <v>59</v>
      </c>
      <c r="D42" s="5">
        <f t="shared" si="1"/>
        <v>735921.05</v>
      </c>
      <c r="N42" s="5">
        <f>735921.05</f>
        <v>735921.05</v>
      </c>
      <c r="R42" s="12">
        <f t="shared" si="2"/>
        <v>0.008188315114134927</v>
      </c>
    </row>
    <row r="43" spans="1:18" ht="12">
      <c r="A43" s="30" t="s">
        <v>58</v>
      </c>
      <c r="B43" s="30" t="s">
        <v>115</v>
      </c>
      <c r="C43" t="s">
        <v>85</v>
      </c>
      <c r="D43" s="5">
        <f t="shared" si="1"/>
        <v>1243810.6600000001</v>
      </c>
      <c r="O43" s="5">
        <f>900+387600.24+855310.42</f>
        <v>1243810.6600000001</v>
      </c>
      <c r="R43" s="12">
        <f t="shared" si="2"/>
        <v>0.01383941066286953</v>
      </c>
    </row>
    <row r="44" spans="1:18" ht="12">
      <c r="A44" s="30" t="s">
        <v>58</v>
      </c>
      <c r="B44" s="30" t="s">
        <v>72</v>
      </c>
      <c r="C44" t="s">
        <v>86</v>
      </c>
      <c r="D44" s="5">
        <f t="shared" si="1"/>
        <v>10231694.53</v>
      </c>
      <c r="O44" s="5">
        <f>9029762.44+1201932.09</f>
        <v>10231694.53</v>
      </c>
      <c r="R44" s="12">
        <f t="shared" si="2"/>
        <v>0.11384419424231805</v>
      </c>
    </row>
    <row r="45" spans="1:18" ht="12">
      <c r="A45" s="30" t="s">
        <v>24</v>
      </c>
      <c r="B45" s="30" t="s">
        <v>47</v>
      </c>
      <c r="C45" t="s">
        <v>41</v>
      </c>
      <c r="D45" s="5">
        <f t="shared" si="1"/>
        <v>192106.29</v>
      </c>
      <c r="P45" s="5">
        <f>192106.29</f>
        <v>192106.29</v>
      </c>
      <c r="R45" s="12">
        <f t="shared" si="2"/>
        <v>0.0021374940123364966</v>
      </c>
    </row>
    <row r="46" spans="1:18" ht="12">
      <c r="A46" s="30" t="s">
        <v>24</v>
      </c>
      <c r="B46" s="30" t="s">
        <v>47</v>
      </c>
      <c r="C46" t="s">
        <v>42</v>
      </c>
      <c r="D46" s="5">
        <f t="shared" si="1"/>
        <v>915536.97</v>
      </c>
      <c r="P46" s="5">
        <f>915536.97</f>
        <v>915536.97</v>
      </c>
      <c r="R46" s="12">
        <f t="shared" si="2"/>
        <v>0.010186833504762903</v>
      </c>
    </row>
    <row r="47" spans="1:18" ht="12">
      <c r="A47" s="30" t="s">
        <v>24</v>
      </c>
      <c r="B47" s="30" t="s">
        <v>52</v>
      </c>
      <c r="C47" t="s">
        <v>71</v>
      </c>
      <c r="D47" s="5">
        <f t="shared" si="1"/>
        <v>1648589.97</v>
      </c>
      <c r="P47" s="5">
        <f>1648589.97</f>
        <v>1648589.97</v>
      </c>
      <c r="R47" s="12">
        <f t="shared" si="2"/>
        <v>0.018343236911571217</v>
      </c>
    </row>
    <row r="48" spans="1:19" ht="12">
      <c r="A48" s="30" t="s">
        <v>24</v>
      </c>
      <c r="B48" s="30" t="s">
        <v>52</v>
      </c>
      <c r="C48" t="s">
        <v>48</v>
      </c>
      <c r="D48" s="5">
        <f t="shared" si="1"/>
        <v>1646358.04</v>
      </c>
      <c r="P48" s="5">
        <f>1646358.04</f>
        <v>1646358.04</v>
      </c>
      <c r="R48" s="12">
        <f t="shared" si="2"/>
        <v>0.018318403070831518</v>
      </c>
      <c r="S48" s="12"/>
    </row>
    <row r="49" spans="5:18" ht="12"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7"/>
    </row>
    <row r="50" spans="2:18" s="12" customFormat="1" ht="12.75" thickBot="1">
      <c r="B50" s="56"/>
      <c r="C50" s="13" t="s">
        <v>8</v>
      </c>
      <c r="D50" s="60">
        <f>SUM(E50:Q50)</f>
        <v>1.0000000000000004</v>
      </c>
      <c r="E50" s="14">
        <f>E5/D5</f>
        <v>0.3155739101874506</v>
      </c>
      <c r="F50" s="14">
        <f>F5/D5</f>
        <v>0.24056520517483498</v>
      </c>
      <c r="G50" s="14">
        <f>G5/D5</f>
        <v>0.0030998729074099736</v>
      </c>
      <c r="H50" s="14">
        <f>H5/D5</f>
        <v>0.03599912509949476</v>
      </c>
      <c r="I50" s="14">
        <f>I5/D5</f>
        <v>0.05245029034111499</v>
      </c>
      <c r="J50" s="14">
        <f>J5/D5</f>
        <v>0.0027385842689605297</v>
      </c>
      <c r="K50" s="14">
        <f>K5/D5</f>
        <v>0.1164675910504037</v>
      </c>
      <c r="L50" s="14">
        <f>L5/D5</f>
        <v>0.010951591804473526</v>
      </c>
      <c r="M50" s="14">
        <f>M5/D5</f>
        <v>0.007812804539112617</v>
      </c>
      <c r="N50" s="14">
        <f>N5/D5</f>
        <v>0.011914547169816556</v>
      </c>
      <c r="O50" s="14">
        <f>O5/D5</f>
        <v>0.1306726881489441</v>
      </c>
      <c r="P50" s="14">
        <f>P5/D5</f>
        <v>0.06576379766947543</v>
      </c>
      <c r="Q50" s="14">
        <f>Q5/D5</f>
        <v>0.005989991638508479</v>
      </c>
      <c r="R50" s="14">
        <f>SUM(R6:R49)</f>
        <v>1.0000000000000002</v>
      </c>
    </row>
    <row r="51" spans="1:18" s="12" customFormat="1" ht="12.75" thickTop="1">
      <c r="A51" s="34"/>
      <c r="C51" s="13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1:18" s="53" customFormat="1" ht="12">
      <c r="A52" s="6"/>
      <c r="B52" s="67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8"/>
    </row>
  </sheetData>
  <sheetProtection/>
  <printOptions/>
  <pageMargins left="0" right="0" top="1" bottom="0.5" header="0.5" footer="0.25"/>
  <pageSetup horizontalDpi="600" verticalDpi="600" orientation="landscape" paperSize="5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3:Z63"/>
  <sheetViews>
    <sheetView workbookViewId="0" topLeftCell="A1">
      <pane xSplit="2" ySplit="7" topLeftCell="C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49" sqref="P49"/>
    </sheetView>
  </sheetViews>
  <sheetFormatPr defaultColWidth="8.8515625" defaultRowHeight="12.75"/>
  <cols>
    <col min="1" max="1" width="8.8515625" style="0" customWidth="1"/>
    <col min="2" max="2" width="4.140625" style="0" hidden="1" customWidth="1"/>
    <col min="3" max="6" width="13.7109375" style="0" hidden="1" customWidth="1"/>
    <col min="7" max="7" width="3.7109375" style="0" hidden="1" customWidth="1"/>
    <col min="8" max="11" width="12.7109375" style="0" hidden="1" customWidth="1"/>
    <col min="12" max="12" width="4.140625" style="0" customWidth="1"/>
    <col min="13" max="16" width="13.7109375" style="0" customWidth="1"/>
    <col min="17" max="17" width="3.28125" style="0" customWidth="1"/>
    <col min="18" max="21" width="13.7109375" style="0" customWidth="1"/>
    <col min="22" max="22" width="3.28125" style="0" customWidth="1"/>
    <col min="23" max="26" width="13.7109375" style="0" customWidth="1"/>
  </cols>
  <sheetData>
    <row r="3" ht="12">
      <c r="R3" s="80">
        <f>R4/M45</f>
        <v>0.42019103103185</v>
      </c>
    </row>
    <row r="4" spans="18:26" ht="12">
      <c r="R4" s="79">
        <v>110326</v>
      </c>
      <c r="S4" s="79"/>
      <c r="T4" s="79"/>
      <c r="U4" s="79">
        <v>2723</v>
      </c>
      <c r="V4" s="79"/>
      <c r="W4" s="79">
        <v>152236</v>
      </c>
      <c r="X4" s="79"/>
      <c r="Y4" s="79"/>
      <c r="Z4" s="79">
        <v>3758</v>
      </c>
    </row>
    <row r="5" spans="1:26" ht="12">
      <c r="A5" s="21" t="s">
        <v>9</v>
      </c>
      <c r="C5" s="61" t="s">
        <v>88</v>
      </c>
      <c r="D5" s="70"/>
      <c r="E5" s="38"/>
      <c r="F5" s="38"/>
      <c r="G5" s="33"/>
      <c r="H5" s="61" t="s">
        <v>120</v>
      </c>
      <c r="I5" s="70"/>
      <c r="J5" s="38"/>
      <c r="K5" s="38"/>
      <c r="M5" s="77" t="s">
        <v>127</v>
      </c>
      <c r="N5" s="70"/>
      <c r="O5" s="38"/>
      <c r="P5" s="38"/>
      <c r="R5" s="78" t="s">
        <v>128</v>
      </c>
      <c r="S5" s="70"/>
      <c r="T5" s="38"/>
      <c r="U5" s="38"/>
      <c r="W5" s="78" t="s">
        <v>129</v>
      </c>
      <c r="X5" s="70"/>
      <c r="Y5" s="38"/>
      <c r="Z5" s="38"/>
    </row>
    <row r="6" spans="1:26" ht="12">
      <c r="A6" s="45" t="s">
        <v>10</v>
      </c>
      <c r="C6" s="68">
        <v>0.0003309</v>
      </c>
      <c r="D6" s="12">
        <v>0.0003375</v>
      </c>
      <c r="E6" s="74"/>
      <c r="F6" s="40" t="s">
        <v>125</v>
      </c>
      <c r="G6" s="33"/>
      <c r="H6" s="68"/>
      <c r="I6" s="12">
        <v>0.0027624</v>
      </c>
      <c r="J6" s="74"/>
      <c r="K6" s="40" t="s">
        <v>125</v>
      </c>
      <c r="M6" s="68"/>
      <c r="N6" s="12">
        <f>D6+I6</f>
        <v>0.0030999</v>
      </c>
      <c r="O6" s="74"/>
      <c r="P6" s="40" t="s">
        <v>125</v>
      </c>
      <c r="R6" s="68"/>
      <c r="S6" s="12">
        <f>R3*N6</f>
        <v>0.001302550177095632</v>
      </c>
      <c r="T6" s="74"/>
      <c r="U6" s="40" t="s">
        <v>125</v>
      </c>
      <c r="W6" s="68"/>
      <c r="X6" s="12">
        <f>N6-S6</f>
        <v>0.001797349822904368</v>
      </c>
      <c r="Y6" s="74"/>
      <c r="Z6" s="40" t="s">
        <v>125</v>
      </c>
    </row>
    <row r="7" spans="1:26" ht="12">
      <c r="A7" s="25"/>
      <c r="C7" s="40" t="s">
        <v>11</v>
      </c>
      <c r="D7" s="40" t="s">
        <v>12</v>
      </c>
      <c r="E7" s="40" t="s">
        <v>4</v>
      </c>
      <c r="F7" s="40" t="s">
        <v>126</v>
      </c>
      <c r="G7" s="33"/>
      <c r="H7" s="40" t="s">
        <v>11</v>
      </c>
      <c r="I7" s="40" t="s">
        <v>12</v>
      </c>
      <c r="J7" s="40" t="s">
        <v>4</v>
      </c>
      <c r="K7" s="40" t="s">
        <v>126</v>
      </c>
      <c r="M7" s="40" t="s">
        <v>11</v>
      </c>
      <c r="N7" s="40" t="s">
        <v>12</v>
      </c>
      <c r="O7" s="40" t="s">
        <v>4</v>
      </c>
      <c r="P7" s="40" t="s">
        <v>126</v>
      </c>
      <c r="R7" s="40" t="s">
        <v>11</v>
      </c>
      <c r="S7" s="40" t="s">
        <v>12</v>
      </c>
      <c r="T7" s="40" t="s">
        <v>4</v>
      </c>
      <c r="U7" s="40" t="s">
        <v>126</v>
      </c>
      <c r="W7" s="40" t="s">
        <v>11</v>
      </c>
      <c r="X7" s="40" t="s">
        <v>12</v>
      </c>
      <c r="Y7" s="40" t="s">
        <v>4</v>
      </c>
      <c r="Z7" s="40" t="s">
        <v>126</v>
      </c>
    </row>
    <row r="8" spans="1:26" ht="12">
      <c r="A8" s="52">
        <v>40452</v>
      </c>
      <c r="C8" s="51"/>
      <c r="D8" s="33">
        <v>655.2285750000001</v>
      </c>
      <c r="E8" s="51">
        <v>655.2285750000001</v>
      </c>
      <c r="F8" s="20">
        <v>19.5993</v>
      </c>
      <c r="G8" s="51"/>
      <c r="H8" s="33"/>
      <c r="I8" s="33">
        <v>5362.9730832</v>
      </c>
      <c r="J8" s="33">
        <v>5362.9730832</v>
      </c>
      <c r="K8" s="20">
        <v>160.41809279999998</v>
      </c>
      <c r="M8" s="33"/>
      <c r="N8" s="33">
        <f>D8+I8</f>
        <v>6018.2016582</v>
      </c>
      <c r="O8" s="33">
        <f>SUM(M8:N8)</f>
        <v>6018.2016582</v>
      </c>
      <c r="P8" s="20">
        <f>F8+K8</f>
        <v>180.01739279999998</v>
      </c>
      <c r="S8" s="79">
        <f>$R$3*N8</f>
        <v>2528.7943597166473</v>
      </c>
      <c r="T8" s="79">
        <f>SUM(R8:S8)</f>
        <v>2528.7943597166473</v>
      </c>
      <c r="U8" s="79">
        <f>$R$3*P8</f>
        <v>75.64169388429752</v>
      </c>
      <c r="W8" s="79"/>
      <c r="X8" s="79">
        <f>N8-S8</f>
        <v>3489.4072984833524</v>
      </c>
      <c r="Y8" s="79">
        <f>SUM(W8:X8)</f>
        <v>3489.4072984833524</v>
      </c>
      <c r="Z8" s="79">
        <f>P8-U8</f>
        <v>104.37569891570246</v>
      </c>
    </row>
    <row r="9" spans="1:26" ht="12">
      <c r="A9" s="19">
        <v>40634</v>
      </c>
      <c r="C9" s="51">
        <v>1058.0625</v>
      </c>
      <c r="D9" s="33">
        <v>655.2285750000001</v>
      </c>
      <c r="E9" s="33">
        <v>1713.291075</v>
      </c>
      <c r="F9" s="20">
        <v>19.5993</v>
      </c>
      <c r="G9" s="33"/>
      <c r="H9" s="33">
        <v>8660.124</v>
      </c>
      <c r="I9" s="33">
        <v>5362.9730832</v>
      </c>
      <c r="J9" s="33">
        <v>14023.097083199998</v>
      </c>
      <c r="K9" s="20">
        <v>160.41809279999998</v>
      </c>
      <c r="M9" s="33">
        <f aca="true" t="shared" si="0" ref="M9:M43">C9+H9</f>
        <v>9718.1865</v>
      </c>
      <c r="N9" s="33">
        <f aca="true" t="shared" si="1" ref="N9:N43">D9+I9</f>
        <v>6018.2016582</v>
      </c>
      <c r="O9" s="33">
        <f aca="true" t="shared" si="2" ref="O9:O43">SUM(M9:N9)</f>
        <v>15736.3881582</v>
      </c>
      <c r="P9" s="20">
        <f aca="true" t="shared" si="3" ref="P9:P43">F9+K9</f>
        <v>180.01739279999998</v>
      </c>
      <c r="R9" s="79">
        <f>$R$3*M9</f>
        <v>4083.494805194806</v>
      </c>
      <c r="S9" s="79">
        <f aca="true" t="shared" si="4" ref="S9:S43">$R$3*N9</f>
        <v>2528.7943597166473</v>
      </c>
      <c r="T9" s="79">
        <f aca="true" t="shared" si="5" ref="T9:T43">SUM(R9:S9)</f>
        <v>6612.289164911454</v>
      </c>
      <c r="U9" s="79">
        <f aca="true" t="shared" si="6" ref="U9:U43">$R$3*P9</f>
        <v>75.64169388429752</v>
      </c>
      <c r="V9" s="79"/>
      <c r="W9" s="79">
        <f aca="true" t="shared" si="7" ref="W9:W43">M9-R9</f>
        <v>5634.691694805194</v>
      </c>
      <c r="X9" s="79">
        <f aca="true" t="shared" si="8" ref="X9:X43">N9-S9</f>
        <v>3489.4072984833524</v>
      </c>
      <c r="Y9" s="79">
        <f aca="true" t="shared" si="9" ref="Y9:Y43">SUM(W9:X9)</f>
        <v>9124.098993288546</v>
      </c>
      <c r="Z9" s="79">
        <f aca="true" t="shared" si="10" ref="Z9:Z43">P9-U9</f>
        <v>104.37569891570246</v>
      </c>
    </row>
    <row r="10" spans="1:26" ht="12">
      <c r="A10" s="19">
        <v>40817</v>
      </c>
      <c r="C10" s="51"/>
      <c r="D10" s="33">
        <v>628.7770125000001</v>
      </c>
      <c r="E10" s="33">
        <v>628.7770125000001</v>
      </c>
      <c r="F10" s="20">
        <v>19.5993</v>
      </c>
      <c r="G10" s="33"/>
      <c r="H10" s="33"/>
      <c r="I10" s="33">
        <v>5146.4699832</v>
      </c>
      <c r="J10" s="33">
        <v>5146.4699832</v>
      </c>
      <c r="K10" s="20">
        <v>160.41809279999998</v>
      </c>
      <c r="M10" s="33"/>
      <c r="N10" s="33">
        <f t="shared" si="1"/>
        <v>5775.246995699999</v>
      </c>
      <c r="O10" s="33">
        <f t="shared" si="2"/>
        <v>5775.246995699999</v>
      </c>
      <c r="P10" s="20">
        <f t="shared" si="3"/>
        <v>180.01739279999998</v>
      </c>
      <c r="R10" s="79"/>
      <c r="S10" s="79">
        <f t="shared" si="4"/>
        <v>2426.706989586777</v>
      </c>
      <c r="T10" s="79">
        <f t="shared" si="5"/>
        <v>2426.706989586777</v>
      </c>
      <c r="U10" s="79">
        <f t="shared" si="6"/>
        <v>75.64169388429752</v>
      </c>
      <c r="V10" s="79"/>
      <c r="W10" s="79"/>
      <c r="X10" s="79">
        <f t="shared" si="8"/>
        <v>3348.5400061132223</v>
      </c>
      <c r="Y10" s="79">
        <f t="shared" si="9"/>
        <v>3348.5400061132223</v>
      </c>
      <c r="Z10" s="79">
        <f t="shared" si="10"/>
        <v>104.37569891570246</v>
      </c>
    </row>
    <row r="11" spans="1:26" ht="12">
      <c r="A11" s="19">
        <v>41000</v>
      </c>
      <c r="C11" s="51">
        <v>1110.3750000000002</v>
      </c>
      <c r="D11" s="33">
        <v>628.7770125000001</v>
      </c>
      <c r="E11" s="33">
        <v>1739.1520125000002</v>
      </c>
      <c r="F11" s="20">
        <v>19.5993</v>
      </c>
      <c r="G11" s="33"/>
      <c r="H11" s="33">
        <v>9088.296</v>
      </c>
      <c r="I11" s="33">
        <v>5146.4699832</v>
      </c>
      <c r="J11" s="33">
        <v>14234.765983199999</v>
      </c>
      <c r="K11" s="20">
        <v>160.41809279999998</v>
      </c>
      <c r="M11" s="33">
        <f t="shared" si="0"/>
        <v>10198.671</v>
      </c>
      <c r="N11" s="33">
        <f t="shared" si="1"/>
        <v>5775.246995699999</v>
      </c>
      <c r="O11" s="33">
        <f t="shared" si="2"/>
        <v>15973.9179957</v>
      </c>
      <c r="P11" s="20">
        <f t="shared" si="3"/>
        <v>180.01739279999998</v>
      </c>
      <c r="R11" s="79">
        <f aca="true" t="shared" si="11" ref="R11:R43">$R$3*M11</f>
        <v>4285.390082644629</v>
      </c>
      <c r="S11" s="79">
        <f t="shared" si="4"/>
        <v>2426.706989586777</v>
      </c>
      <c r="T11" s="79">
        <f t="shared" si="5"/>
        <v>6712.097072231406</v>
      </c>
      <c r="U11" s="79">
        <f t="shared" si="6"/>
        <v>75.64169388429752</v>
      </c>
      <c r="V11" s="79"/>
      <c r="W11" s="79">
        <f t="shared" si="7"/>
        <v>5913.2809173553715</v>
      </c>
      <c r="X11" s="79">
        <f t="shared" si="8"/>
        <v>3348.5400061132223</v>
      </c>
      <c r="Y11" s="79">
        <f t="shared" si="9"/>
        <v>9261.820923468593</v>
      </c>
      <c r="Z11" s="79">
        <f t="shared" si="10"/>
        <v>104.37569891570246</v>
      </c>
    </row>
    <row r="12" spans="1:26" ht="12">
      <c r="A12" s="19">
        <v>41183</v>
      </c>
      <c r="C12" s="51"/>
      <c r="D12" s="33">
        <v>606.5695125000001</v>
      </c>
      <c r="E12" s="33">
        <v>606.5695125000001</v>
      </c>
      <c r="F12" s="20">
        <v>19.5993</v>
      </c>
      <c r="G12" s="33"/>
      <c r="H12" s="33"/>
      <c r="I12" s="33">
        <v>4964.7040632</v>
      </c>
      <c r="J12" s="33">
        <v>4964.7040632</v>
      </c>
      <c r="K12" s="20">
        <v>160.41809279999998</v>
      </c>
      <c r="M12" s="33"/>
      <c r="N12" s="33">
        <f t="shared" si="1"/>
        <v>5571.2735757</v>
      </c>
      <c r="O12" s="33">
        <f t="shared" si="2"/>
        <v>5571.2735757</v>
      </c>
      <c r="P12" s="20">
        <f t="shared" si="3"/>
        <v>180.01739279999998</v>
      </c>
      <c r="R12" s="79"/>
      <c r="S12" s="79">
        <f t="shared" si="4"/>
        <v>2340.9991879338845</v>
      </c>
      <c r="T12" s="79">
        <f t="shared" si="5"/>
        <v>2340.9991879338845</v>
      </c>
      <c r="U12" s="79">
        <f t="shared" si="6"/>
        <v>75.64169388429752</v>
      </c>
      <c r="V12" s="79"/>
      <c r="W12" s="79"/>
      <c r="X12" s="79">
        <f t="shared" si="8"/>
        <v>3230.2743877661155</v>
      </c>
      <c r="Y12" s="79">
        <f t="shared" si="9"/>
        <v>3230.2743877661155</v>
      </c>
      <c r="Z12" s="79">
        <f t="shared" si="10"/>
        <v>104.37569891570246</v>
      </c>
    </row>
    <row r="13" spans="1:26" ht="12">
      <c r="A13" s="19">
        <v>41365</v>
      </c>
      <c r="C13" s="51">
        <v>1154.2500000000002</v>
      </c>
      <c r="D13" s="33">
        <v>606.5695125000001</v>
      </c>
      <c r="E13" s="33">
        <v>1760.8195125000002</v>
      </c>
      <c r="F13" s="20">
        <v>19.5993</v>
      </c>
      <c r="G13" s="33"/>
      <c r="H13" s="33">
        <v>9447.408</v>
      </c>
      <c r="I13" s="33">
        <v>4964.7040632</v>
      </c>
      <c r="J13" s="33">
        <v>14412.112063199998</v>
      </c>
      <c r="K13" s="20">
        <v>160.41809279999998</v>
      </c>
      <c r="M13" s="33">
        <f t="shared" si="0"/>
        <v>10601.658</v>
      </c>
      <c r="N13" s="33">
        <f t="shared" si="1"/>
        <v>5571.2735757</v>
      </c>
      <c r="O13" s="33">
        <f t="shared" si="2"/>
        <v>16172.9315757</v>
      </c>
      <c r="P13" s="20">
        <f t="shared" si="3"/>
        <v>180.01739279999998</v>
      </c>
      <c r="R13" s="79">
        <f t="shared" si="11"/>
        <v>4454.72160566706</v>
      </c>
      <c r="S13" s="79">
        <f t="shared" si="4"/>
        <v>2340.9991879338845</v>
      </c>
      <c r="T13" s="79">
        <f t="shared" si="5"/>
        <v>6795.720793600945</v>
      </c>
      <c r="U13" s="79">
        <f t="shared" si="6"/>
        <v>75.64169388429752</v>
      </c>
      <c r="V13" s="79"/>
      <c r="W13" s="79">
        <f t="shared" si="7"/>
        <v>6146.936394332939</v>
      </c>
      <c r="X13" s="79">
        <f t="shared" si="8"/>
        <v>3230.2743877661155</v>
      </c>
      <c r="Y13" s="79">
        <f t="shared" si="9"/>
        <v>9377.210782099055</v>
      </c>
      <c r="Z13" s="79">
        <f t="shared" si="10"/>
        <v>104.37569891570246</v>
      </c>
    </row>
    <row r="14" spans="1:26" ht="12">
      <c r="A14" s="19">
        <v>41548</v>
      </c>
      <c r="C14" s="51"/>
      <c r="D14" s="33">
        <v>583.4845125</v>
      </c>
      <c r="E14" s="33">
        <v>583.4845125</v>
      </c>
      <c r="F14" s="20">
        <v>19.5993</v>
      </c>
      <c r="G14" s="33"/>
      <c r="H14" s="33"/>
      <c r="I14" s="33">
        <v>4775.7559032</v>
      </c>
      <c r="J14" s="33">
        <v>4775.7559032</v>
      </c>
      <c r="K14" s="20">
        <v>160.41809279999998</v>
      </c>
      <c r="M14" s="33"/>
      <c r="N14" s="33">
        <f t="shared" si="1"/>
        <v>5359.2404157</v>
      </c>
      <c r="O14" s="33">
        <f t="shared" si="2"/>
        <v>5359.2404157</v>
      </c>
      <c r="P14" s="20">
        <f t="shared" si="3"/>
        <v>180.01739279999998</v>
      </c>
      <c r="R14" s="79"/>
      <c r="S14" s="79">
        <f t="shared" si="4"/>
        <v>2251.9047558205434</v>
      </c>
      <c r="T14" s="79">
        <f t="shared" si="5"/>
        <v>2251.9047558205434</v>
      </c>
      <c r="U14" s="79">
        <f t="shared" si="6"/>
        <v>75.64169388429752</v>
      </c>
      <c r="V14" s="79"/>
      <c r="W14" s="79"/>
      <c r="X14" s="79">
        <f t="shared" si="8"/>
        <v>3107.3356598794567</v>
      </c>
      <c r="Y14" s="79">
        <f t="shared" si="9"/>
        <v>3107.3356598794567</v>
      </c>
      <c r="Z14" s="79">
        <f t="shared" si="10"/>
        <v>104.37569891570246</v>
      </c>
    </row>
    <row r="15" spans="1:26" ht="12">
      <c r="A15" s="19">
        <v>41730</v>
      </c>
      <c r="C15" s="51">
        <v>1199.8125000000002</v>
      </c>
      <c r="D15" s="33">
        <v>583.4845125</v>
      </c>
      <c r="E15" s="33">
        <v>1783.2970125000002</v>
      </c>
      <c r="F15" s="20">
        <v>19.5993</v>
      </c>
      <c r="G15" s="33"/>
      <c r="H15" s="33">
        <v>9820.332</v>
      </c>
      <c r="I15" s="33">
        <v>4775.7559032</v>
      </c>
      <c r="J15" s="33">
        <v>14596.087903200001</v>
      </c>
      <c r="K15" s="20">
        <v>160.41809279999998</v>
      </c>
      <c r="M15" s="33">
        <f t="shared" si="0"/>
        <v>11020.1445</v>
      </c>
      <c r="N15" s="33">
        <f t="shared" si="1"/>
        <v>5359.2404157</v>
      </c>
      <c r="O15" s="33">
        <f t="shared" si="2"/>
        <v>16379.3849157</v>
      </c>
      <c r="P15" s="20">
        <f t="shared" si="3"/>
        <v>180.01739279999998</v>
      </c>
      <c r="R15" s="79">
        <f t="shared" si="11"/>
        <v>4630.565879574971</v>
      </c>
      <c r="S15" s="79">
        <f t="shared" si="4"/>
        <v>2251.9047558205434</v>
      </c>
      <c r="T15" s="79">
        <f t="shared" si="5"/>
        <v>6882.470635395515</v>
      </c>
      <c r="U15" s="79">
        <f t="shared" si="6"/>
        <v>75.64169388429752</v>
      </c>
      <c r="V15" s="79"/>
      <c r="W15" s="79">
        <f t="shared" si="7"/>
        <v>6389.578620425029</v>
      </c>
      <c r="X15" s="79">
        <f t="shared" si="8"/>
        <v>3107.3356598794567</v>
      </c>
      <c r="Y15" s="79">
        <f t="shared" si="9"/>
        <v>9496.914280304485</v>
      </c>
      <c r="Z15" s="79">
        <f t="shared" si="10"/>
        <v>104.37569891570246</v>
      </c>
    </row>
    <row r="16" spans="1:26" ht="12">
      <c r="A16" s="19">
        <v>41913</v>
      </c>
      <c r="C16" s="51"/>
      <c r="D16" s="33">
        <v>559.4882625</v>
      </c>
      <c r="E16" s="33">
        <v>559.4882625</v>
      </c>
      <c r="F16" s="20">
        <v>19.5993</v>
      </c>
      <c r="G16" s="33"/>
      <c r="H16" s="33"/>
      <c r="I16" s="33">
        <v>4579.3492632</v>
      </c>
      <c r="J16" s="33">
        <v>4579.3492632</v>
      </c>
      <c r="K16" s="20">
        <v>160.41809279999998</v>
      </c>
      <c r="M16" s="33"/>
      <c r="N16" s="33">
        <f t="shared" si="1"/>
        <v>5138.8375257</v>
      </c>
      <c r="O16" s="33">
        <f t="shared" si="2"/>
        <v>5138.8375257</v>
      </c>
      <c r="P16" s="20">
        <f t="shared" si="3"/>
        <v>180.01739279999998</v>
      </c>
      <c r="R16" s="79"/>
      <c r="S16" s="79">
        <f t="shared" si="4"/>
        <v>2159.293438229044</v>
      </c>
      <c r="T16" s="79">
        <f t="shared" si="5"/>
        <v>2159.293438229044</v>
      </c>
      <c r="U16" s="79">
        <f t="shared" si="6"/>
        <v>75.64169388429752</v>
      </c>
      <c r="V16" s="79"/>
      <c r="W16" s="79"/>
      <c r="X16" s="79">
        <f t="shared" si="8"/>
        <v>2979.5440874709557</v>
      </c>
      <c r="Y16" s="79">
        <f t="shared" si="9"/>
        <v>2979.5440874709557</v>
      </c>
      <c r="Z16" s="79">
        <f t="shared" si="10"/>
        <v>104.37569891570246</v>
      </c>
    </row>
    <row r="17" spans="1:26" ht="12">
      <c r="A17" s="19">
        <v>42095</v>
      </c>
      <c r="C17" s="51">
        <v>1248.7500000000002</v>
      </c>
      <c r="D17" s="33">
        <v>559.4882625</v>
      </c>
      <c r="E17" s="33">
        <v>1808.2382625000002</v>
      </c>
      <c r="F17" s="20">
        <v>19.5993</v>
      </c>
      <c r="G17" s="33"/>
      <c r="H17" s="33">
        <v>10220.88</v>
      </c>
      <c r="I17" s="33">
        <v>4579.3492632</v>
      </c>
      <c r="J17" s="33">
        <v>14800.229263199999</v>
      </c>
      <c r="K17" s="20">
        <v>160.41809279999998</v>
      </c>
      <c r="M17" s="33">
        <f t="shared" si="0"/>
        <v>11469.63</v>
      </c>
      <c r="N17" s="33">
        <f t="shared" si="1"/>
        <v>5138.8375257</v>
      </c>
      <c r="O17" s="33">
        <f t="shared" si="2"/>
        <v>16608.467525699998</v>
      </c>
      <c r="P17" s="20">
        <f t="shared" si="3"/>
        <v>180.01739279999998</v>
      </c>
      <c r="R17" s="79">
        <f t="shared" si="11"/>
        <v>4819.4356552538375</v>
      </c>
      <c r="S17" s="79">
        <f t="shared" si="4"/>
        <v>2159.293438229044</v>
      </c>
      <c r="T17" s="79">
        <f t="shared" si="5"/>
        <v>6978.729093482882</v>
      </c>
      <c r="U17" s="79">
        <f t="shared" si="6"/>
        <v>75.64169388429752</v>
      </c>
      <c r="V17" s="79"/>
      <c r="W17" s="79">
        <f t="shared" si="7"/>
        <v>6650.194344746162</v>
      </c>
      <c r="X17" s="79">
        <f t="shared" si="8"/>
        <v>2979.5440874709557</v>
      </c>
      <c r="Y17" s="79">
        <f t="shared" si="9"/>
        <v>9629.738432217116</v>
      </c>
      <c r="Z17" s="79">
        <f t="shared" si="10"/>
        <v>104.37569891570246</v>
      </c>
    </row>
    <row r="18" spans="1:26" ht="12">
      <c r="A18" s="19">
        <v>42278</v>
      </c>
      <c r="C18" s="51"/>
      <c r="D18" s="33">
        <v>528.2695125</v>
      </c>
      <c r="E18" s="33">
        <v>528.2695125</v>
      </c>
      <c r="F18" s="20">
        <v>19.5993</v>
      </c>
      <c r="G18" s="33"/>
      <c r="H18" s="33"/>
      <c r="I18" s="33">
        <v>4323.8272632</v>
      </c>
      <c r="J18" s="33">
        <v>4323.8272632</v>
      </c>
      <c r="K18" s="20">
        <v>160.41809279999998</v>
      </c>
      <c r="M18" s="33"/>
      <c r="N18" s="33">
        <f t="shared" si="1"/>
        <v>4852.0967757</v>
      </c>
      <c r="O18" s="33">
        <f t="shared" si="2"/>
        <v>4852.0967757</v>
      </c>
      <c r="P18" s="20">
        <f t="shared" si="3"/>
        <v>180.01739279999998</v>
      </c>
      <c r="R18" s="79"/>
      <c r="S18" s="79">
        <f t="shared" si="4"/>
        <v>2038.807546847698</v>
      </c>
      <c r="T18" s="79">
        <f t="shared" si="5"/>
        <v>2038.807546847698</v>
      </c>
      <c r="U18" s="79">
        <f t="shared" si="6"/>
        <v>75.64169388429752</v>
      </c>
      <c r="V18" s="79"/>
      <c r="W18" s="79"/>
      <c r="X18" s="79">
        <f t="shared" si="8"/>
        <v>2813.2892288523017</v>
      </c>
      <c r="Y18" s="79">
        <f t="shared" si="9"/>
        <v>2813.2892288523017</v>
      </c>
      <c r="Z18" s="79">
        <f t="shared" si="10"/>
        <v>104.37569891570246</v>
      </c>
    </row>
    <row r="19" spans="1:26" ht="12">
      <c r="A19" s="19">
        <v>42461</v>
      </c>
      <c r="C19" s="51">
        <v>1311.1875</v>
      </c>
      <c r="D19" s="33">
        <v>528.2695125</v>
      </c>
      <c r="E19" s="33">
        <v>1839.4570125</v>
      </c>
      <c r="F19" s="20">
        <v>19.5993</v>
      </c>
      <c r="G19" s="33"/>
      <c r="H19" s="33">
        <v>10731.923999999999</v>
      </c>
      <c r="I19" s="33">
        <v>4323.8272632</v>
      </c>
      <c r="J19" s="33">
        <v>15055.7512632</v>
      </c>
      <c r="K19" s="20">
        <v>160.41809279999998</v>
      </c>
      <c r="M19" s="33">
        <f t="shared" si="0"/>
        <v>12043.111499999999</v>
      </c>
      <c r="N19" s="33">
        <f t="shared" si="1"/>
        <v>4852.0967757</v>
      </c>
      <c r="O19" s="33">
        <f t="shared" si="2"/>
        <v>16895.2082757</v>
      </c>
      <c r="P19" s="20">
        <f t="shared" si="3"/>
        <v>180.01739279999998</v>
      </c>
      <c r="R19" s="79">
        <f t="shared" si="11"/>
        <v>5060.407438016529</v>
      </c>
      <c r="S19" s="79">
        <f t="shared" si="4"/>
        <v>2038.807546847698</v>
      </c>
      <c r="T19" s="79">
        <f t="shared" si="5"/>
        <v>7099.2149848642275</v>
      </c>
      <c r="U19" s="79">
        <f t="shared" si="6"/>
        <v>75.64169388429752</v>
      </c>
      <c r="V19" s="79"/>
      <c r="W19" s="79">
        <f t="shared" si="7"/>
        <v>6982.70406198347</v>
      </c>
      <c r="X19" s="79">
        <f t="shared" si="8"/>
        <v>2813.2892288523017</v>
      </c>
      <c r="Y19" s="79">
        <f t="shared" si="9"/>
        <v>9795.993290835771</v>
      </c>
      <c r="Z19" s="79">
        <f t="shared" si="10"/>
        <v>104.37569891570246</v>
      </c>
    </row>
    <row r="20" spans="1:26" ht="12">
      <c r="A20" s="19">
        <v>42644</v>
      </c>
      <c r="C20" s="51"/>
      <c r="D20" s="33">
        <v>495.48982500000005</v>
      </c>
      <c r="E20" s="33">
        <v>495.48982500000005</v>
      </c>
      <c r="F20" s="20">
        <v>19.5993</v>
      </c>
      <c r="G20" s="33"/>
      <c r="H20" s="33"/>
      <c r="I20" s="33">
        <v>4055.5291631999994</v>
      </c>
      <c r="J20" s="33">
        <v>4055.5291631999994</v>
      </c>
      <c r="K20" s="20">
        <v>160.41809279999998</v>
      </c>
      <c r="M20" s="33"/>
      <c r="N20" s="33">
        <f t="shared" si="1"/>
        <v>4551.0189881999995</v>
      </c>
      <c r="O20" s="33">
        <f t="shared" si="2"/>
        <v>4551.0189881999995</v>
      </c>
      <c r="P20" s="20">
        <f t="shared" si="3"/>
        <v>180.01739279999998</v>
      </c>
      <c r="R20" s="79"/>
      <c r="S20" s="79">
        <f t="shared" si="4"/>
        <v>1912.2973608972848</v>
      </c>
      <c r="T20" s="79">
        <f t="shared" si="5"/>
        <v>1912.2973608972848</v>
      </c>
      <c r="U20" s="79">
        <f t="shared" si="6"/>
        <v>75.64169388429752</v>
      </c>
      <c r="V20" s="79"/>
      <c r="W20" s="79"/>
      <c r="X20" s="79">
        <f t="shared" si="8"/>
        <v>2638.7216273027148</v>
      </c>
      <c r="Y20" s="79">
        <f t="shared" si="9"/>
        <v>2638.7216273027148</v>
      </c>
      <c r="Z20" s="79">
        <f t="shared" si="10"/>
        <v>104.37569891570246</v>
      </c>
    </row>
    <row r="21" spans="1:26" ht="12">
      <c r="A21" s="19">
        <v>42826</v>
      </c>
      <c r="C21" s="51">
        <v>1377</v>
      </c>
      <c r="D21" s="33">
        <v>495.48982500000005</v>
      </c>
      <c r="E21" s="33">
        <v>1872.489825</v>
      </c>
      <c r="F21" s="20">
        <v>19.5993</v>
      </c>
      <c r="G21" s="33"/>
      <c r="H21" s="33">
        <v>11270.591999999999</v>
      </c>
      <c r="I21" s="33">
        <v>4055.5291631999994</v>
      </c>
      <c r="J21" s="33">
        <v>15326.121163199998</v>
      </c>
      <c r="K21" s="20">
        <v>160.41809279999998</v>
      </c>
      <c r="M21" s="33">
        <f t="shared" si="0"/>
        <v>12647.591999999999</v>
      </c>
      <c r="N21" s="33">
        <f t="shared" si="1"/>
        <v>4551.0189881999995</v>
      </c>
      <c r="O21" s="33">
        <f t="shared" si="2"/>
        <v>17198.6109882</v>
      </c>
      <c r="P21" s="20">
        <f t="shared" si="3"/>
        <v>180.01739279999998</v>
      </c>
      <c r="R21" s="79">
        <f t="shared" si="11"/>
        <v>5314.404722550177</v>
      </c>
      <c r="S21" s="79">
        <f t="shared" si="4"/>
        <v>1912.2973608972848</v>
      </c>
      <c r="T21" s="79">
        <f t="shared" si="5"/>
        <v>7226.702083447462</v>
      </c>
      <c r="U21" s="79">
        <f t="shared" si="6"/>
        <v>75.64169388429752</v>
      </c>
      <c r="V21" s="79"/>
      <c r="W21" s="79">
        <f t="shared" si="7"/>
        <v>7333.1872774498215</v>
      </c>
      <c r="X21" s="79">
        <f t="shared" si="8"/>
        <v>2638.7216273027148</v>
      </c>
      <c r="Y21" s="79">
        <f t="shared" si="9"/>
        <v>9971.908904752536</v>
      </c>
      <c r="Z21" s="79">
        <f t="shared" si="10"/>
        <v>104.37569891570246</v>
      </c>
    </row>
    <row r="22" spans="1:26" ht="12">
      <c r="A22" s="19">
        <v>43009</v>
      </c>
      <c r="C22" s="51"/>
      <c r="D22" s="33">
        <v>461.06482500000004</v>
      </c>
      <c r="E22" s="33">
        <v>461.06482500000004</v>
      </c>
      <c r="F22" s="20">
        <v>19.5993</v>
      </c>
      <c r="G22" s="33"/>
      <c r="H22" s="33"/>
      <c r="I22" s="33">
        <v>3773.7643632</v>
      </c>
      <c r="J22" s="33">
        <v>3773.7643632</v>
      </c>
      <c r="K22" s="20">
        <v>160.41809279999998</v>
      </c>
      <c r="M22" s="33"/>
      <c r="N22" s="33">
        <f t="shared" si="1"/>
        <v>4234.8291882</v>
      </c>
      <c r="O22" s="33">
        <f t="shared" si="2"/>
        <v>4234.8291882</v>
      </c>
      <c r="P22" s="20">
        <f t="shared" si="3"/>
        <v>180.01739279999998</v>
      </c>
      <c r="R22" s="79"/>
      <c r="S22" s="79">
        <f t="shared" si="4"/>
        <v>1779.4372428335305</v>
      </c>
      <c r="T22" s="79">
        <f t="shared" si="5"/>
        <v>1779.4372428335305</v>
      </c>
      <c r="U22" s="79">
        <f t="shared" si="6"/>
        <v>75.64169388429752</v>
      </c>
      <c r="V22" s="79"/>
      <c r="W22" s="79"/>
      <c r="X22" s="79">
        <f t="shared" si="8"/>
        <v>2455.39194536647</v>
      </c>
      <c r="Y22" s="79">
        <f t="shared" si="9"/>
        <v>2455.39194536647</v>
      </c>
      <c r="Z22" s="79">
        <f t="shared" si="10"/>
        <v>104.37569891570246</v>
      </c>
    </row>
    <row r="23" spans="1:26" ht="12">
      <c r="A23" s="19">
        <v>43191</v>
      </c>
      <c r="C23" s="51">
        <v>1446.1875</v>
      </c>
      <c r="D23" s="33">
        <v>461.06482500000004</v>
      </c>
      <c r="E23" s="33">
        <v>1907.252325</v>
      </c>
      <c r="F23" s="20">
        <v>19.5993</v>
      </c>
      <c r="G23" s="33"/>
      <c r="H23" s="33">
        <v>11836.883999999998</v>
      </c>
      <c r="I23" s="33">
        <v>3773.7643632</v>
      </c>
      <c r="J23" s="33">
        <v>15610.648363199998</v>
      </c>
      <c r="K23" s="20">
        <v>160.41809279999998</v>
      </c>
      <c r="M23" s="33">
        <f t="shared" si="0"/>
        <v>13283.071499999998</v>
      </c>
      <c r="N23" s="33">
        <f t="shared" si="1"/>
        <v>4234.8291882</v>
      </c>
      <c r="O23" s="33">
        <f t="shared" si="2"/>
        <v>17517.9006882</v>
      </c>
      <c r="P23" s="20">
        <f t="shared" si="3"/>
        <v>180.01739279999998</v>
      </c>
      <c r="R23" s="79">
        <f t="shared" si="11"/>
        <v>5581.427508854782</v>
      </c>
      <c r="S23" s="79">
        <f t="shared" si="4"/>
        <v>1779.4372428335305</v>
      </c>
      <c r="T23" s="79">
        <f t="shared" si="5"/>
        <v>7360.864751688312</v>
      </c>
      <c r="U23" s="79">
        <f t="shared" si="6"/>
        <v>75.64169388429752</v>
      </c>
      <c r="V23" s="79"/>
      <c r="W23" s="79">
        <f t="shared" si="7"/>
        <v>7701.643991145216</v>
      </c>
      <c r="X23" s="79">
        <f t="shared" si="8"/>
        <v>2455.39194536647</v>
      </c>
      <c r="Y23" s="79">
        <f t="shared" si="9"/>
        <v>10157.035936511686</v>
      </c>
      <c r="Z23" s="79">
        <f t="shared" si="10"/>
        <v>104.37569891570246</v>
      </c>
    </row>
    <row r="24" spans="1:26" ht="12">
      <c r="A24" s="19">
        <v>43374</v>
      </c>
      <c r="C24" s="51"/>
      <c r="D24" s="33">
        <v>424.9101375000001</v>
      </c>
      <c r="E24" s="33">
        <v>424.9101375000001</v>
      </c>
      <c r="F24" s="20">
        <v>19.5993</v>
      </c>
      <c r="G24" s="33"/>
      <c r="H24" s="33"/>
      <c r="I24" s="33">
        <v>3477.8422631999997</v>
      </c>
      <c r="J24" s="33">
        <v>3477.8422631999997</v>
      </c>
      <c r="K24" s="20">
        <v>160.41809279999998</v>
      </c>
      <c r="M24" s="33"/>
      <c r="N24" s="33">
        <f t="shared" si="1"/>
        <v>3902.7524006999997</v>
      </c>
      <c r="O24" s="33">
        <f t="shared" si="2"/>
        <v>3902.7524006999997</v>
      </c>
      <c r="P24" s="20">
        <f t="shared" si="3"/>
        <v>180.01739279999998</v>
      </c>
      <c r="R24" s="79"/>
      <c r="S24" s="79">
        <f t="shared" si="4"/>
        <v>1639.9015551121606</v>
      </c>
      <c r="T24" s="79">
        <f t="shared" si="5"/>
        <v>1639.9015551121606</v>
      </c>
      <c r="U24" s="79">
        <f t="shared" si="6"/>
        <v>75.64169388429752</v>
      </c>
      <c r="V24" s="79"/>
      <c r="W24" s="79"/>
      <c r="X24" s="79">
        <f t="shared" si="8"/>
        <v>2262.850845587839</v>
      </c>
      <c r="Y24" s="79">
        <f t="shared" si="9"/>
        <v>2262.850845587839</v>
      </c>
      <c r="Z24" s="79">
        <f t="shared" si="10"/>
        <v>104.37569891570246</v>
      </c>
    </row>
    <row r="25" spans="1:26" ht="12">
      <c r="A25" s="19">
        <v>43556</v>
      </c>
      <c r="C25" s="51">
        <v>1517.0625</v>
      </c>
      <c r="D25" s="33">
        <v>424.9101375000001</v>
      </c>
      <c r="E25" s="33">
        <v>1941.9726375</v>
      </c>
      <c r="F25" s="20">
        <v>19.5993</v>
      </c>
      <c r="G25" s="33"/>
      <c r="H25" s="33">
        <v>12416.988000000001</v>
      </c>
      <c r="I25" s="33">
        <v>3477.8422631999997</v>
      </c>
      <c r="J25" s="33">
        <v>15894.830263200001</v>
      </c>
      <c r="K25" s="20">
        <v>160.41809279999998</v>
      </c>
      <c r="M25" s="33">
        <f t="shared" si="0"/>
        <v>13934.050500000001</v>
      </c>
      <c r="N25" s="33">
        <f t="shared" si="1"/>
        <v>3902.7524006999997</v>
      </c>
      <c r="O25" s="33">
        <f t="shared" si="2"/>
        <v>17836.8029007</v>
      </c>
      <c r="P25" s="20">
        <f t="shared" si="3"/>
        <v>180.01739279999998</v>
      </c>
      <c r="R25" s="79">
        <f t="shared" si="11"/>
        <v>5854.963046044866</v>
      </c>
      <c r="S25" s="79">
        <f t="shared" si="4"/>
        <v>1639.9015551121606</v>
      </c>
      <c r="T25" s="79">
        <f t="shared" si="5"/>
        <v>7494.864601157027</v>
      </c>
      <c r="U25" s="79">
        <f t="shared" si="6"/>
        <v>75.64169388429752</v>
      </c>
      <c r="V25" s="79"/>
      <c r="W25" s="79">
        <f t="shared" si="7"/>
        <v>8079.087453955135</v>
      </c>
      <c r="X25" s="79">
        <f t="shared" si="8"/>
        <v>2262.850845587839</v>
      </c>
      <c r="Y25" s="79">
        <f t="shared" si="9"/>
        <v>10341.938299542973</v>
      </c>
      <c r="Z25" s="79">
        <f t="shared" si="10"/>
        <v>104.37569891570246</v>
      </c>
    </row>
    <row r="26" spans="1:26" ht="12">
      <c r="A26" s="19">
        <v>43739</v>
      </c>
      <c r="C26" s="51"/>
      <c r="D26" s="33">
        <v>386.98357500000003</v>
      </c>
      <c r="E26" s="33">
        <v>386.98357500000003</v>
      </c>
      <c r="F26" s="20">
        <v>19.5993</v>
      </c>
      <c r="G26" s="33"/>
      <c r="H26" s="33"/>
      <c r="I26" s="33">
        <v>3167.4175631999997</v>
      </c>
      <c r="J26" s="33">
        <v>3167.4175631999997</v>
      </c>
      <c r="K26" s="20">
        <v>160.41809279999998</v>
      </c>
      <c r="M26" s="33"/>
      <c r="N26" s="33">
        <f t="shared" si="1"/>
        <v>3554.4011382</v>
      </c>
      <c r="O26" s="33">
        <f t="shared" si="2"/>
        <v>3554.4011382</v>
      </c>
      <c r="P26" s="20">
        <f t="shared" si="3"/>
        <v>180.01739279999998</v>
      </c>
      <c r="R26" s="79"/>
      <c r="S26" s="79">
        <f t="shared" si="4"/>
        <v>1493.5274789610392</v>
      </c>
      <c r="T26" s="79">
        <f t="shared" si="5"/>
        <v>1493.5274789610392</v>
      </c>
      <c r="U26" s="79">
        <f t="shared" si="6"/>
        <v>75.64169388429752</v>
      </c>
      <c r="V26" s="79"/>
      <c r="W26" s="79"/>
      <c r="X26" s="79">
        <f t="shared" si="8"/>
        <v>2060.8736592389605</v>
      </c>
      <c r="Y26" s="79">
        <f t="shared" si="9"/>
        <v>2060.8736592389605</v>
      </c>
      <c r="Z26" s="79">
        <f t="shared" si="10"/>
        <v>104.37569891570246</v>
      </c>
    </row>
    <row r="27" spans="1:26" ht="12">
      <c r="A27" s="52">
        <v>43922</v>
      </c>
      <c r="C27" s="51">
        <v>1593</v>
      </c>
      <c r="D27" s="33">
        <v>386.98357500000003</v>
      </c>
      <c r="E27" s="33">
        <v>1979.983575</v>
      </c>
      <c r="F27" s="20">
        <v>19.5993</v>
      </c>
      <c r="G27" s="33"/>
      <c r="H27" s="33">
        <v>13038.528</v>
      </c>
      <c r="I27" s="33">
        <v>3167.4175631999997</v>
      </c>
      <c r="J27" s="33">
        <v>16205.945563199999</v>
      </c>
      <c r="K27" s="20">
        <v>160.41809279999998</v>
      </c>
      <c r="M27" s="33">
        <f t="shared" si="0"/>
        <v>14631.528</v>
      </c>
      <c r="N27" s="33">
        <f t="shared" si="1"/>
        <v>3554.4011382</v>
      </c>
      <c r="O27" s="33">
        <f t="shared" si="2"/>
        <v>18185.9291382</v>
      </c>
      <c r="P27" s="20">
        <f t="shared" si="3"/>
        <v>180.01739279999998</v>
      </c>
      <c r="R27" s="79">
        <f t="shared" si="11"/>
        <v>6148.036835891383</v>
      </c>
      <c r="S27" s="79">
        <f t="shared" si="4"/>
        <v>1493.5274789610392</v>
      </c>
      <c r="T27" s="79">
        <f t="shared" si="5"/>
        <v>7641.564314852422</v>
      </c>
      <c r="U27" s="79">
        <f t="shared" si="6"/>
        <v>75.64169388429752</v>
      </c>
      <c r="V27" s="79"/>
      <c r="W27" s="79">
        <f t="shared" si="7"/>
        <v>8483.491164108618</v>
      </c>
      <c r="X27" s="79">
        <f t="shared" si="8"/>
        <v>2060.8736592389605</v>
      </c>
      <c r="Y27" s="79">
        <f t="shared" si="9"/>
        <v>10544.36482334758</v>
      </c>
      <c r="Z27" s="79">
        <f t="shared" si="10"/>
        <v>104.37569891570246</v>
      </c>
    </row>
    <row r="28" spans="1:26" ht="12">
      <c r="A28" s="52">
        <v>44105</v>
      </c>
      <c r="C28" s="51"/>
      <c r="D28" s="33">
        <v>355.1235750000001</v>
      </c>
      <c r="E28" s="33">
        <v>355.1235750000001</v>
      </c>
      <c r="F28" s="20">
        <v>19.5993</v>
      </c>
      <c r="G28" s="33"/>
      <c r="H28" s="33"/>
      <c r="I28" s="33">
        <v>2906.6470032</v>
      </c>
      <c r="J28" s="33">
        <v>2906.6470032</v>
      </c>
      <c r="K28" s="20">
        <v>160.41809279999998</v>
      </c>
      <c r="M28" s="33"/>
      <c r="N28" s="33">
        <f t="shared" si="1"/>
        <v>3261.7705782000003</v>
      </c>
      <c r="O28" s="33">
        <f t="shared" si="2"/>
        <v>3261.7705782000003</v>
      </c>
      <c r="P28" s="20">
        <f t="shared" si="3"/>
        <v>180.01739279999998</v>
      </c>
      <c r="R28" s="79"/>
      <c r="S28" s="79">
        <f t="shared" si="4"/>
        <v>1370.5667422432116</v>
      </c>
      <c r="T28" s="79">
        <f t="shared" si="5"/>
        <v>1370.5667422432116</v>
      </c>
      <c r="U28" s="79">
        <f t="shared" si="6"/>
        <v>75.64169388429752</v>
      </c>
      <c r="V28" s="79"/>
      <c r="W28" s="79"/>
      <c r="X28" s="79">
        <f t="shared" si="8"/>
        <v>1891.2038359567887</v>
      </c>
      <c r="Y28" s="79">
        <f t="shared" si="9"/>
        <v>1891.2038359567887</v>
      </c>
      <c r="Z28" s="79">
        <f t="shared" si="10"/>
        <v>104.37569891570246</v>
      </c>
    </row>
    <row r="29" spans="1:26" ht="12">
      <c r="A29" s="52">
        <v>44287</v>
      </c>
      <c r="C29" s="51">
        <v>1657.125</v>
      </c>
      <c r="D29" s="33">
        <v>355.1235750000001</v>
      </c>
      <c r="E29" s="33">
        <v>2012.248575</v>
      </c>
      <c r="F29" s="20">
        <v>19.5993</v>
      </c>
      <c r="G29" s="33"/>
      <c r="H29" s="33">
        <v>13563.383999999998</v>
      </c>
      <c r="I29" s="33">
        <v>2906.6470032</v>
      </c>
      <c r="J29" s="33">
        <v>16470.031003199998</v>
      </c>
      <c r="K29" s="20">
        <v>160.41809279999998</v>
      </c>
      <c r="M29" s="33">
        <f t="shared" si="0"/>
        <v>15220.508999999998</v>
      </c>
      <c r="N29" s="33">
        <f t="shared" si="1"/>
        <v>3261.7705782000003</v>
      </c>
      <c r="O29" s="33">
        <f t="shared" si="2"/>
        <v>18482.2795782</v>
      </c>
      <c r="P29" s="20">
        <f t="shared" si="3"/>
        <v>180.01739279999998</v>
      </c>
      <c r="R29" s="79">
        <f t="shared" si="11"/>
        <v>6395.521369539551</v>
      </c>
      <c r="S29" s="79">
        <f t="shared" si="4"/>
        <v>1370.5667422432116</v>
      </c>
      <c r="T29" s="79">
        <f t="shared" si="5"/>
        <v>7766.088111782763</v>
      </c>
      <c r="U29" s="79">
        <f t="shared" si="6"/>
        <v>75.64169388429752</v>
      </c>
      <c r="V29" s="79"/>
      <c r="W29" s="79">
        <f t="shared" si="7"/>
        <v>8824.987630460448</v>
      </c>
      <c r="X29" s="79">
        <f t="shared" si="8"/>
        <v>1891.2038359567887</v>
      </c>
      <c r="Y29" s="79">
        <f t="shared" si="9"/>
        <v>10716.191466417236</v>
      </c>
      <c r="Z29" s="79">
        <f t="shared" si="10"/>
        <v>104.37569891570246</v>
      </c>
    </row>
    <row r="30" spans="1:26" ht="12">
      <c r="A30" s="52">
        <v>44470</v>
      </c>
      <c r="C30" s="51"/>
      <c r="D30" s="33">
        <v>321.98107500000003</v>
      </c>
      <c r="E30" s="33">
        <v>321.98107500000003</v>
      </c>
      <c r="F30" s="20">
        <v>19.5993</v>
      </c>
      <c r="G30" s="33"/>
      <c r="H30" s="33"/>
      <c r="I30" s="33">
        <v>2635.3793232</v>
      </c>
      <c r="J30" s="33">
        <v>2635.3793232</v>
      </c>
      <c r="K30" s="20">
        <v>160.41809279999998</v>
      </c>
      <c r="M30" s="33"/>
      <c r="N30" s="33">
        <f t="shared" si="1"/>
        <v>2957.3603982</v>
      </c>
      <c r="O30" s="33">
        <f t="shared" si="2"/>
        <v>2957.3603982</v>
      </c>
      <c r="P30" s="20">
        <f t="shared" si="3"/>
        <v>180.01739279999998</v>
      </c>
      <c r="R30" s="79"/>
      <c r="S30" s="79">
        <f t="shared" si="4"/>
        <v>1242.6563148524206</v>
      </c>
      <c r="T30" s="79">
        <f t="shared" si="5"/>
        <v>1242.6563148524206</v>
      </c>
      <c r="U30" s="79">
        <f t="shared" si="6"/>
        <v>75.64169388429752</v>
      </c>
      <c r="V30" s="79"/>
      <c r="W30" s="79"/>
      <c r="X30" s="79">
        <f t="shared" si="8"/>
        <v>1714.7040833475794</v>
      </c>
      <c r="Y30" s="79">
        <f t="shared" si="9"/>
        <v>1714.7040833475794</v>
      </c>
      <c r="Z30" s="79">
        <f t="shared" si="10"/>
        <v>104.37569891570246</v>
      </c>
    </row>
    <row r="31" spans="1:26" ht="12">
      <c r="A31" s="52">
        <v>44652</v>
      </c>
      <c r="C31" s="51">
        <v>1722.9375</v>
      </c>
      <c r="D31" s="33">
        <v>321.98107500000003</v>
      </c>
      <c r="E31" s="33">
        <v>2044.9185750000001</v>
      </c>
      <c r="F31" s="20">
        <v>19.5993</v>
      </c>
      <c r="G31" s="33"/>
      <c r="H31" s="33">
        <v>14102.052</v>
      </c>
      <c r="I31" s="33">
        <v>2635.3793232</v>
      </c>
      <c r="J31" s="33">
        <v>16737.4313232</v>
      </c>
      <c r="K31" s="20">
        <v>160.41809279999998</v>
      </c>
      <c r="M31" s="33">
        <f t="shared" si="0"/>
        <v>15824.9895</v>
      </c>
      <c r="N31" s="33">
        <f t="shared" si="1"/>
        <v>2957.3603982</v>
      </c>
      <c r="O31" s="33">
        <f t="shared" si="2"/>
        <v>18782.3498982</v>
      </c>
      <c r="P31" s="20">
        <f t="shared" si="3"/>
        <v>180.01739279999998</v>
      </c>
      <c r="R31" s="79">
        <f t="shared" si="11"/>
        <v>6649.5186540732</v>
      </c>
      <c r="S31" s="79">
        <f t="shared" si="4"/>
        <v>1242.6563148524206</v>
      </c>
      <c r="T31" s="79">
        <f t="shared" si="5"/>
        <v>7892.174968925621</v>
      </c>
      <c r="U31" s="79">
        <f t="shared" si="6"/>
        <v>75.64169388429752</v>
      </c>
      <c r="V31" s="79"/>
      <c r="W31" s="79">
        <f t="shared" si="7"/>
        <v>9175.4708459268</v>
      </c>
      <c r="X31" s="79">
        <f t="shared" si="8"/>
        <v>1714.7040833475794</v>
      </c>
      <c r="Y31" s="79">
        <f t="shared" si="9"/>
        <v>10890.17492927438</v>
      </c>
      <c r="Z31" s="79">
        <f t="shared" si="10"/>
        <v>104.37569891570246</v>
      </c>
    </row>
    <row r="32" spans="1:26" ht="12">
      <c r="A32" s="52">
        <v>44835</v>
      </c>
      <c r="C32" s="51"/>
      <c r="D32" s="33">
        <v>278.9076375</v>
      </c>
      <c r="E32" s="33">
        <v>278.9076375</v>
      </c>
      <c r="F32" s="20">
        <v>19.5993</v>
      </c>
      <c r="G32" s="33"/>
      <c r="H32" s="33"/>
      <c r="I32" s="33">
        <v>2282.8280231999997</v>
      </c>
      <c r="J32" s="33">
        <v>2282.8280231999997</v>
      </c>
      <c r="K32" s="20">
        <v>160.41809279999998</v>
      </c>
      <c r="M32" s="33"/>
      <c r="N32" s="33">
        <f t="shared" si="1"/>
        <v>2561.7356606999997</v>
      </c>
      <c r="O32" s="33">
        <f t="shared" si="2"/>
        <v>2561.7356606999997</v>
      </c>
      <c r="P32" s="20">
        <f t="shared" si="3"/>
        <v>180.01739279999998</v>
      </c>
      <c r="R32" s="79"/>
      <c r="S32" s="79">
        <f t="shared" si="4"/>
        <v>1076.4183485005904</v>
      </c>
      <c r="T32" s="79">
        <f t="shared" si="5"/>
        <v>1076.4183485005904</v>
      </c>
      <c r="U32" s="79">
        <f t="shared" si="6"/>
        <v>75.64169388429752</v>
      </c>
      <c r="V32" s="79"/>
      <c r="W32" s="79"/>
      <c r="X32" s="79">
        <f t="shared" si="8"/>
        <v>1485.3173121994093</v>
      </c>
      <c r="Y32" s="79">
        <f t="shared" si="9"/>
        <v>1485.3173121994093</v>
      </c>
      <c r="Z32" s="79">
        <f t="shared" si="10"/>
        <v>104.37569891570246</v>
      </c>
    </row>
    <row r="33" spans="1:26" ht="12">
      <c r="A33" s="52">
        <v>45017</v>
      </c>
      <c r="C33" s="51">
        <v>1809</v>
      </c>
      <c r="D33" s="33">
        <v>278.9076375</v>
      </c>
      <c r="E33" s="33">
        <v>2087.9076375</v>
      </c>
      <c r="F33" s="20">
        <v>19.5993</v>
      </c>
      <c r="G33" s="51"/>
      <c r="H33" s="33">
        <v>14806.464</v>
      </c>
      <c r="I33" s="33">
        <v>2282.8280231999997</v>
      </c>
      <c r="J33" s="33">
        <v>17089.2920232</v>
      </c>
      <c r="K33" s="20">
        <v>160.41809279999998</v>
      </c>
      <c r="M33" s="33">
        <f t="shared" si="0"/>
        <v>16615.464</v>
      </c>
      <c r="N33" s="33">
        <f t="shared" si="1"/>
        <v>2561.7356606999997</v>
      </c>
      <c r="O33" s="33">
        <f t="shared" si="2"/>
        <v>19177.1996607</v>
      </c>
      <c r="P33" s="20">
        <f t="shared" si="3"/>
        <v>180.01739279999998</v>
      </c>
      <c r="R33" s="79">
        <f t="shared" si="11"/>
        <v>6981.668949232587</v>
      </c>
      <c r="S33" s="79">
        <f t="shared" si="4"/>
        <v>1076.4183485005904</v>
      </c>
      <c r="T33" s="79">
        <f t="shared" si="5"/>
        <v>8058.087297733177</v>
      </c>
      <c r="U33" s="79">
        <f t="shared" si="6"/>
        <v>75.64169388429752</v>
      </c>
      <c r="V33" s="79"/>
      <c r="W33" s="79">
        <f t="shared" si="7"/>
        <v>9633.795050767414</v>
      </c>
      <c r="X33" s="79">
        <f t="shared" si="8"/>
        <v>1485.3173121994093</v>
      </c>
      <c r="Y33" s="79">
        <f t="shared" si="9"/>
        <v>11119.112362966824</v>
      </c>
      <c r="Z33" s="79">
        <f t="shared" si="10"/>
        <v>104.37569891570246</v>
      </c>
    </row>
    <row r="34" spans="1:26" ht="12">
      <c r="A34" s="52">
        <v>45200</v>
      </c>
      <c r="C34" s="51"/>
      <c r="D34" s="33">
        <v>237.30063750000002</v>
      </c>
      <c r="E34" s="33">
        <v>237.30063750000002</v>
      </c>
      <c r="F34" s="20">
        <v>19.5993</v>
      </c>
      <c r="G34" s="51"/>
      <c r="H34" s="33"/>
      <c r="I34" s="33">
        <v>1942.2793511999998</v>
      </c>
      <c r="J34" s="33">
        <v>1942.2793511999998</v>
      </c>
      <c r="K34" s="20">
        <v>160.41809279999998</v>
      </c>
      <c r="M34" s="33"/>
      <c r="N34" s="33">
        <f t="shared" si="1"/>
        <v>2179.5799887</v>
      </c>
      <c r="O34" s="33">
        <f t="shared" si="2"/>
        <v>2179.5799887</v>
      </c>
      <c r="P34" s="20">
        <f t="shared" si="3"/>
        <v>180.01739279999998</v>
      </c>
      <c r="R34" s="79"/>
      <c r="S34" s="79">
        <f t="shared" si="4"/>
        <v>915.8399626682409</v>
      </c>
      <c r="T34" s="79">
        <f t="shared" si="5"/>
        <v>915.8399626682409</v>
      </c>
      <c r="U34" s="79">
        <f t="shared" si="6"/>
        <v>75.64169388429752</v>
      </c>
      <c r="V34" s="79"/>
      <c r="W34" s="79"/>
      <c r="X34" s="79">
        <f t="shared" si="8"/>
        <v>1263.740026031759</v>
      </c>
      <c r="Y34" s="79">
        <f t="shared" si="9"/>
        <v>1263.740026031759</v>
      </c>
      <c r="Z34" s="79">
        <f t="shared" si="10"/>
        <v>104.37569891570246</v>
      </c>
    </row>
    <row r="35" spans="1:26" ht="12">
      <c r="A35" s="52">
        <v>45383</v>
      </c>
      <c r="C35" s="51">
        <v>1893.375</v>
      </c>
      <c r="D35" s="33">
        <v>237.30063750000002</v>
      </c>
      <c r="E35" s="33">
        <v>2130.6756375</v>
      </c>
      <c r="F35" s="20">
        <v>19.5993</v>
      </c>
      <c r="G35" s="51"/>
      <c r="H35" s="33">
        <v>15497.063999999998</v>
      </c>
      <c r="I35" s="33">
        <v>1942.2793511999998</v>
      </c>
      <c r="J35" s="33">
        <v>17439.343351199997</v>
      </c>
      <c r="K35" s="20">
        <v>160.41809279999998</v>
      </c>
      <c r="M35" s="33">
        <f t="shared" si="0"/>
        <v>17390.439</v>
      </c>
      <c r="N35" s="33">
        <f t="shared" si="1"/>
        <v>2179.5799887</v>
      </c>
      <c r="O35" s="33">
        <f t="shared" si="2"/>
        <v>19570.018988699998</v>
      </c>
      <c r="P35" s="20">
        <f t="shared" si="3"/>
        <v>180.01739279999998</v>
      </c>
      <c r="R35" s="79">
        <f t="shared" si="11"/>
        <v>7307.306493506494</v>
      </c>
      <c r="S35" s="79">
        <f t="shared" si="4"/>
        <v>915.8399626682409</v>
      </c>
      <c r="T35" s="79">
        <f t="shared" si="5"/>
        <v>8223.146456174734</v>
      </c>
      <c r="U35" s="79">
        <f t="shared" si="6"/>
        <v>75.64169388429752</v>
      </c>
      <c r="V35" s="79"/>
      <c r="W35" s="79">
        <f t="shared" si="7"/>
        <v>10083.132506493504</v>
      </c>
      <c r="X35" s="79">
        <f t="shared" si="8"/>
        <v>1263.740026031759</v>
      </c>
      <c r="Y35" s="79">
        <f t="shared" si="9"/>
        <v>11346.872532525264</v>
      </c>
      <c r="Z35" s="79">
        <f t="shared" si="10"/>
        <v>104.37569891570246</v>
      </c>
    </row>
    <row r="36" spans="1:26" ht="12">
      <c r="A36" s="52">
        <v>45566</v>
      </c>
      <c r="C36" s="51"/>
      <c r="D36" s="33">
        <v>193.51608750000003</v>
      </c>
      <c r="E36" s="33">
        <v>193.51608750000003</v>
      </c>
      <c r="F36" s="20">
        <v>19.5993</v>
      </c>
      <c r="G36" s="51"/>
      <c r="H36" s="33"/>
      <c r="I36" s="33">
        <v>1583.9076744</v>
      </c>
      <c r="J36" s="33">
        <v>1583.9076744</v>
      </c>
      <c r="K36" s="20">
        <v>160.41809279999998</v>
      </c>
      <c r="M36" s="33"/>
      <c r="N36" s="33">
        <f t="shared" si="1"/>
        <v>1777.4237619</v>
      </c>
      <c r="O36" s="33">
        <f t="shared" si="2"/>
        <v>1777.4237619</v>
      </c>
      <c r="P36" s="20">
        <f t="shared" si="3"/>
        <v>180.01739279999998</v>
      </c>
      <c r="R36" s="79"/>
      <c r="S36" s="79">
        <f t="shared" si="4"/>
        <v>746.8575230932705</v>
      </c>
      <c r="T36" s="79">
        <f t="shared" si="5"/>
        <v>746.8575230932705</v>
      </c>
      <c r="U36" s="79">
        <f t="shared" si="6"/>
        <v>75.64169388429752</v>
      </c>
      <c r="V36" s="79"/>
      <c r="W36" s="79"/>
      <c r="X36" s="79">
        <f t="shared" si="8"/>
        <v>1030.5662388067294</v>
      </c>
      <c r="Y36" s="79">
        <f t="shared" si="9"/>
        <v>1030.5662388067294</v>
      </c>
      <c r="Z36" s="79">
        <f t="shared" si="10"/>
        <v>104.37569891570246</v>
      </c>
    </row>
    <row r="37" spans="1:26" ht="12">
      <c r="A37" s="52">
        <v>45748</v>
      </c>
      <c r="C37" s="51">
        <v>1981.125</v>
      </c>
      <c r="D37" s="33">
        <v>193.51608750000003</v>
      </c>
      <c r="E37" s="33">
        <v>2174.6410875</v>
      </c>
      <c r="F37" s="20">
        <v>19.5993</v>
      </c>
      <c r="G37" s="51"/>
      <c r="H37" s="33">
        <v>16215.287999999999</v>
      </c>
      <c r="I37" s="33">
        <v>1583.9076744</v>
      </c>
      <c r="J37" s="33">
        <v>17799.195674399998</v>
      </c>
      <c r="K37" s="20">
        <v>160.41809279999998</v>
      </c>
      <c r="M37" s="33">
        <f t="shared" si="0"/>
        <v>18196.413</v>
      </c>
      <c r="N37" s="33">
        <f t="shared" si="1"/>
        <v>1777.4237619</v>
      </c>
      <c r="O37" s="33">
        <f t="shared" si="2"/>
        <v>19973.836761900002</v>
      </c>
      <c r="P37" s="20">
        <f t="shared" si="3"/>
        <v>180.01739279999998</v>
      </c>
      <c r="R37" s="79">
        <f t="shared" si="11"/>
        <v>7645.969539551359</v>
      </c>
      <c r="S37" s="79">
        <f t="shared" si="4"/>
        <v>746.8575230932705</v>
      </c>
      <c r="T37" s="79">
        <f t="shared" si="5"/>
        <v>8392.82706264463</v>
      </c>
      <c r="U37" s="79">
        <f t="shared" si="6"/>
        <v>75.64169388429752</v>
      </c>
      <c r="V37" s="79"/>
      <c r="W37" s="79">
        <f t="shared" si="7"/>
        <v>10550.443460448641</v>
      </c>
      <c r="X37" s="79">
        <f t="shared" si="8"/>
        <v>1030.5662388067294</v>
      </c>
      <c r="Y37" s="79">
        <f t="shared" si="9"/>
        <v>11581.00969925537</v>
      </c>
      <c r="Z37" s="79">
        <f t="shared" si="10"/>
        <v>104.37569891570246</v>
      </c>
    </row>
    <row r="38" spans="1:26" ht="12">
      <c r="A38" s="52">
        <v>45931</v>
      </c>
      <c r="C38" s="51"/>
      <c r="D38" s="33">
        <v>147.70282500000002</v>
      </c>
      <c r="E38" s="33">
        <v>147.70282500000002</v>
      </c>
      <c r="F38" s="20">
        <v>19.5993</v>
      </c>
      <c r="G38" s="51"/>
      <c r="H38" s="33"/>
      <c r="I38" s="33">
        <v>1208.9312112</v>
      </c>
      <c r="J38" s="33">
        <v>1208.9312112</v>
      </c>
      <c r="K38" s="20">
        <v>160.41809279999998</v>
      </c>
      <c r="M38" s="33"/>
      <c r="N38" s="33">
        <f t="shared" si="1"/>
        <v>1356.6340362</v>
      </c>
      <c r="O38" s="33">
        <f t="shared" si="2"/>
        <v>1356.6340362</v>
      </c>
      <c r="P38" s="20">
        <f t="shared" si="3"/>
        <v>180.01739279999998</v>
      </c>
      <c r="R38" s="79"/>
      <c r="S38" s="79">
        <f t="shared" si="4"/>
        <v>570.0454544037782</v>
      </c>
      <c r="T38" s="79">
        <f t="shared" si="5"/>
        <v>570.0454544037782</v>
      </c>
      <c r="U38" s="79">
        <f t="shared" si="6"/>
        <v>75.64169388429752</v>
      </c>
      <c r="V38" s="79"/>
      <c r="W38" s="79"/>
      <c r="X38" s="79">
        <f t="shared" si="8"/>
        <v>786.5885817962219</v>
      </c>
      <c r="Y38" s="79">
        <f t="shared" si="9"/>
        <v>786.5885817962219</v>
      </c>
      <c r="Z38" s="79">
        <f t="shared" si="10"/>
        <v>104.37569891570246</v>
      </c>
    </row>
    <row r="39" spans="1:26" ht="12">
      <c r="A39" s="52">
        <v>46113</v>
      </c>
      <c r="C39" s="51">
        <v>2072.25</v>
      </c>
      <c r="D39" s="33">
        <v>147.70282500000002</v>
      </c>
      <c r="E39" s="33">
        <v>2219.952825</v>
      </c>
      <c r="F39" s="20">
        <v>19.5993</v>
      </c>
      <c r="G39" s="51"/>
      <c r="H39" s="33">
        <v>16961.136</v>
      </c>
      <c r="I39" s="33">
        <v>1208.9312112</v>
      </c>
      <c r="J39" s="33">
        <v>18170.0672112</v>
      </c>
      <c r="K39" s="20">
        <v>160.41809279999998</v>
      </c>
      <c r="M39" s="33">
        <f t="shared" si="0"/>
        <v>19033.386</v>
      </c>
      <c r="N39" s="33">
        <f t="shared" si="1"/>
        <v>1356.6340362</v>
      </c>
      <c r="O39" s="33">
        <f t="shared" si="2"/>
        <v>20390.0200362</v>
      </c>
      <c r="P39" s="20">
        <f t="shared" si="3"/>
        <v>180.01739279999998</v>
      </c>
      <c r="R39" s="79">
        <f t="shared" si="11"/>
        <v>7997.658087367179</v>
      </c>
      <c r="S39" s="79">
        <f t="shared" si="4"/>
        <v>570.0454544037782</v>
      </c>
      <c r="T39" s="79">
        <f t="shared" si="5"/>
        <v>8567.703541770958</v>
      </c>
      <c r="U39" s="79">
        <f t="shared" si="6"/>
        <v>75.64169388429752</v>
      </c>
      <c r="V39" s="79"/>
      <c r="W39" s="79">
        <f t="shared" si="7"/>
        <v>11035.72791263282</v>
      </c>
      <c r="X39" s="79">
        <f t="shared" si="8"/>
        <v>786.5885817962219</v>
      </c>
      <c r="Y39" s="79">
        <f t="shared" si="9"/>
        <v>11822.316494429042</v>
      </c>
      <c r="Z39" s="79">
        <f t="shared" si="10"/>
        <v>104.37569891570246</v>
      </c>
    </row>
    <row r="40" spans="1:26" ht="12">
      <c r="A40" s="19">
        <v>46296</v>
      </c>
      <c r="C40" s="51"/>
      <c r="D40" s="33">
        <v>99.781875</v>
      </c>
      <c r="E40" s="33">
        <v>99.781875</v>
      </c>
      <c r="F40" s="20">
        <v>19.5993</v>
      </c>
      <c r="G40" s="51"/>
      <c r="H40" s="33"/>
      <c r="I40" s="33">
        <v>816.70356</v>
      </c>
      <c r="J40" s="33">
        <v>816.70356</v>
      </c>
      <c r="K40" s="20">
        <v>160.41809279999998</v>
      </c>
      <c r="M40" s="33"/>
      <c r="N40" s="33">
        <f t="shared" si="1"/>
        <v>916.485435</v>
      </c>
      <c r="O40" s="33">
        <f t="shared" si="2"/>
        <v>916.485435</v>
      </c>
      <c r="P40" s="20">
        <f t="shared" si="3"/>
        <v>180.01739279999998</v>
      </c>
      <c r="R40" s="79"/>
      <c r="S40" s="79">
        <f t="shared" si="4"/>
        <v>385.0989598583236</v>
      </c>
      <c r="T40" s="79">
        <f t="shared" si="5"/>
        <v>385.0989598583236</v>
      </c>
      <c r="U40" s="79">
        <f t="shared" si="6"/>
        <v>75.64169388429752</v>
      </c>
      <c r="V40" s="79"/>
      <c r="W40" s="79"/>
      <c r="X40" s="79">
        <f t="shared" si="8"/>
        <v>531.3864751416764</v>
      </c>
      <c r="Y40" s="79">
        <f t="shared" si="9"/>
        <v>531.3864751416764</v>
      </c>
      <c r="Z40" s="79">
        <f t="shared" si="10"/>
        <v>104.37569891570246</v>
      </c>
    </row>
    <row r="41" spans="1:26" ht="12">
      <c r="A41" s="19">
        <v>46478</v>
      </c>
      <c r="C41" s="51">
        <v>2168.4375</v>
      </c>
      <c r="D41" s="33">
        <v>99.781875</v>
      </c>
      <c r="E41" s="33">
        <v>2268.219375</v>
      </c>
      <c r="F41" s="20">
        <v>19.5993</v>
      </c>
      <c r="G41" s="51"/>
      <c r="H41" s="33">
        <v>17748.42</v>
      </c>
      <c r="I41" s="33">
        <v>816.70356</v>
      </c>
      <c r="J41" s="33">
        <v>18565.12356</v>
      </c>
      <c r="K41" s="20">
        <v>160.41809279999998</v>
      </c>
      <c r="M41" s="33">
        <f t="shared" si="0"/>
        <v>19916.8575</v>
      </c>
      <c r="N41" s="33">
        <f t="shared" si="1"/>
        <v>916.485435</v>
      </c>
      <c r="O41" s="33">
        <f t="shared" si="2"/>
        <v>20833.342934999997</v>
      </c>
      <c r="P41" s="20">
        <f t="shared" si="3"/>
        <v>180.01739279999998</v>
      </c>
      <c r="R41" s="79">
        <f t="shared" si="11"/>
        <v>8368.884887839435</v>
      </c>
      <c r="S41" s="79">
        <f t="shared" si="4"/>
        <v>385.0989598583236</v>
      </c>
      <c r="T41" s="79">
        <f t="shared" si="5"/>
        <v>8753.983847697758</v>
      </c>
      <c r="U41" s="79">
        <f t="shared" si="6"/>
        <v>75.64169388429752</v>
      </c>
      <c r="V41" s="79"/>
      <c r="W41" s="79">
        <f t="shared" si="7"/>
        <v>11547.972612160564</v>
      </c>
      <c r="X41" s="79">
        <f t="shared" si="8"/>
        <v>531.3864751416764</v>
      </c>
      <c r="Y41" s="79">
        <f t="shared" si="9"/>
        <v>12079.35908730224</v>
      </c>
      <c r="Z41" s="79">
        <f t="shared" si="10"/>
        <v>104.37569891570246</v>
      </c>
    </row>
    <row r="42" spans="1:26" ht="12">
      <c r="A42" s="19">
        <v>46661</v>
      </c>
      <c r="C42" s="51"/>
      <c r="D42" s="33">
        <v>50.992200000000004</v>
      </c>
      <c r="E42" s="33">
        <v>50.992200000000004</v>
      </c>
      <c r="F42" s="20">
        <v>19.5993</v>
      </c>
      <c r="G42" s="51"/>
      <c r="H42" s="33"/>
      <c r="I42" s="33">
        <v>417.36549119999995</v>
      </c>
      <c r="J42" s="33">
        <v>417.36549119999995</v>
      </c>
      <c r="K42" s="20">
        <v>160.41809279999998</v>
      </c>
      <c r="M42" s="33"/>
      <c r="N42" s="33">
        <f t="shared" si="1"/>
        <v>468.3576912</v>
      </c>
      <c r="O42" s="33">
        <f t="shared" si="2"/>
        <v>468.3576912</v>
      </c>
      <c r="P42" s="20">
        <f t="shared" si="3"/>
        <v>180.01739279999998</v>
      </c>
      <c r="R42" s="79"/>
      <c r="S42" s="79">
        <f t="shared" si="4"/>
        <v>196.79970115702483</v>
      </c>
      <c r="T42" s="79">
        <f t="shared" si="5"/>
        <v>196.79970115702483</v>
      </c>
      <c r="U42" s="79">
        <f t="shared" si="6"/>
        <v>75.64169388429752</v>
      </c>
      <c r="V42" s="79"/>
      <c r="W42" s="79"/>
      <c r="X42" s="79">
        <f t="shared" si="8"/>
        <v>271.5579900429751</v>
      </c>
      <c r="Y42" s="79">
        <f t="shared" si="9"/>
        <v>271.5579900429751</v>
      </c>
      <c r="Z42" s="79">
        <f t="shared" si="10"/>
        <v>104.37569891570246</v>
      </c>
    </row>
    <row r="43" spans="1:26" ht="12">
      <c r="A43" s="19">
        <v>46844</v>
      </c>
      <c r="C43" s="51">
        <v>2266.3125000000005</v>
      </c>
      <c r="D43" s="33">
        <v>50.992200000000004</v>
      </c>
      <c r="E43" s="33">
        <v>2317.3047000000006</v>
      </c>
      <c r="F43" s="20">
        <v>19.600987500000002</v>
      </c>
      <c r="G43" s="51"/>
      <c r="H43" s="33">
        <v>18549.516</v>
      </c>
      <c r="I43" s="33">
        <v>417.36549119999995</v>
      </c>
      <c r="J43" s="33">
        <v>18966.881491199998</v>
      </c>
      <c r="K43" s="20">
        <v>160.43190479999998</v>
      </c>
      <c r="M43" s="33">
        <f t="shared" si="0"/>
        <v>20815.8285</v>
      </c>
      <c r="N43" s="33">
        <f t="shared" si="1"/>
        <v>468.3576912</v>
      </c>
      <c r="O43" s="33">
        <f t="shared" si="2"/>
        <v>21284.1861912</v>
      </c>
      <c r="P43" s="20">
        <f t="shared" si="3"/>
        <v>180.0328923</v>
      </c>
      <c r="R43" s="79">
        <f t="shared" si="11"/>
        <v>8746.624439197169</v>
      </c>
      <c r="S43" s="79">
        <f t="shared" si="4"/>
        <v>196.79970115702483</v>
      </c>
      <c r="T43" s="79">
        <f t="shared" si="5"/>
        <v>8943.424140354193</v>
      </c>
      <c r="U43" s="79">
        <f t="shared" si="6"/>
        <v>75.648206635183</v>
      </c>
      <c r="V43" s="79"/>
      <c r="W43" s="79">
        <f t="shared" si="7"/>
        <v>12069.204060802831</v>
      </c>
      <c r="X43" s="79">
        <f t="shared" si="8"/>
        <v>271.5579900429751</v>
      </c>
      <c r="Y43" s="79">
        <f t="shared" si="9"/>
        <v>12340.762050845806</v>
      </c>
      <c r="Z43" s="79">
        <f t="shared" si="10"/>
        <v>104.38468566481698</v>
      </c>
    </row>
    <row r="44" spans="1:26" ht="12">
      <c r="A44" s="19"/>
      <c r="C44" s="33"/>
      <c r="D44" s="33"/>
      <c r="E44" s="33"/>
      <c r="F44" s="33"/>
      <c r="G44" s="33"/>
      <c r="H44" s="33"/>
      <c r="I44" s="33"/>
      <c r="J44" s="33"/>
      <c r="K44" s="33"/>
      <c r="M44" s="33"/>
      <c r="N44" s="33"/>
      <c r="O44" s="33"/>
      <c r="P44" s="33"/>
      <c r="R44" s="79"/>
      <c r="S44" s="79"/>
      <c r="T44" s="79"/>
      <c r="U44" s="79"/>
      <c r="V44" s="79"/>
      <c r="W44" s="79"/>
      <c r="X44" s="79"/>
      <c r="Y44" s="79"/>
      <c r="Z44" s="79"/>
    </row>
    <row r="45" spans="1:26" ht="12.75" thickBot="1">
      <c r="A45" s="31" t="s">
        <v>4</v>
      </c>
      <c r="C45" s="50">
        <v>28586.25</v>
      </c>
      <c r="D45" s="50">
        <v>14031.143325000006</v>
      </c>
      <c r="E45" s="50">
        <v>42617.393325000005</v>
      </c>
      <c r="F45" s="50">
        <v>705.5764874999994</v>
      </c>
      <c r="G45" s="33"/>
      <c r="H45" s="50">
        <v>233975.27999999997</v>
      </c>
      <c r="I45" s="50">
        <v>114843.34909920002</v>
      </c>
      <c r="J45" s="50">
        <v>348818.6290992</v>
      </c>
      <c r="K45" s="50">
        <v>5775.065152799997</v>
      </c>
      <c r="M45" s="50">
        <f>SUM(M8:M44)</f>
        <v>262561.52999999997</v>
      </c>
      <c r="N45" s="50">
        <f>SUM(N8:N44)</f>
        <v>128874.49242420003</v>
      </c>
      <c r="O45" s="50">
        <f>SUM(O8:O44)</f>
        <v>391436.0224241999</v>
      </c>
      <c r="P45" s="50">
        <f>SUM(P8:P44)</f>
        <v>6480.641640300003</v>
      </c>
      <c r="R45" s="81">
        <f>SUM(R8:R44)</f>
        <v>110326.00000000001</v>
      </c>
      <c r="S45" s="81">
        <f>SUM(S8:S44)</f>
        <v>54151.90584543096</v>
      </c>
      <c r="T45" s="81">
        <f>SUM(T8:T44)</f>
        <v>164477.9058454309</v>
      </c>
      <c r="U45" s="81">
        <f>SUM(U8:U44)</f>
        <v>2723.1074925855987</v>
      </c>
      <c r="V45" s="79"/>
      <c r="W45" s="81">
        <f>SUM(W8:W44)</f>
        <v>152235.52999999997</v>
      </c>
      <c r="X45" s="81">
        <f>SUM(X8:X44)</f>
        <v>74722.58657876906</v>
      </c>
      <c r="Y45" s="81">
        <f>SUM(Y8:Y44)</f>
        <v>226958.11657876906</v>
      </c>
      <c r="Z45" s="81">
        <f>SUM(Z8:Z44)</f>
        <v>3757.534147714401</v>
      </c>
    </row>
    <row r="46" spans="1:26" ht="12.75" thickTop="1">
      <c r="A46" s="19"/>
      <c r="R46" s="79"/>
      <c r="S46" s="79"/>
      <c r="T46" s="79"/>
      <c r="U46" s="79"/>
      <c r="V46" s="79"/>
      <c r="W46" s="79"/>
      <c r="X46" s="79"/>
      <c r="Y46" s="79"/>
      <c r="Z46" s="79"/>
    </row>
    <row r="47" spans="19:26" ht="12">
      <c r="S47" s="79"/>
      <c r="T47" s="79"/>
      <c r="U47" s="79"/>
      <c r="W47" s="79"/>
      <c r="X47" s="79"/>
      <c r="Y47" s="79"/>
      <c r="Z47" s="79"/>
    </row>
    <row r="48" spans="19:21" ht="12">
      <c r="S48" s="79"/>
      <c r="T48" s="79"/>
      <c r="U48" s="79"/>
    </row>
    <row r="49" spans="19:21" ht="12">
      <c r="S49" s="79"/>
      <c r="T49" s="79"/>
      <c r="U49" s="79"/>
    </row>
    <row r="50" spans="19:21" ht="12">
      <c r="S50" s="79"/>
      <c r="T50" s="79"/>
      <c r="U50" s="79"/>
    </row>
    <row r="51" spans="19:21" ht="12">
      <c r="S51" s="79"/>
      <c r="T51" s="79"/>
      <c r="U51" s="79"/>
    </row>
    <row r="52" spans="19:21" ht="12">
      <c r="S52" s="79"/>
      <c r="T52" s="79"/>
      <c r="U52" s="79"/>
    </row>
    <row r="53" spans="19:21" ht="12">
      <c r="S53" s="79"/>
      <c r="T53" s="79"/>
      <c r="U53" s="79"/>
    </row>
    <row r="54" spans="19:21" ht="12">
      <c r="S54" s="79"/>
      <c r="T54" s="79"/>
      <c r="U54" s="79"/>
    </row>
    <row r="55" spans="19:21" ht="12">
      <c r="S55" s="79"/>
      <c r="T55" s="79"/>
      <c r="U55" s="79"/>
    </row>
    <row r="56" spans="19:21" ht="12">
      <c r="S56" s="79"/>
      <c r="T56" s="79"/>
      <c r="U56" s="79"/>
    </row>
    <row r="57" spans="19:21" ht="12">
      <c r="S57" s="79"/>
      <c r="T57" s="79"/>
      <c r="U57" s="79"/>
    </row>
    <row r="58" spans="19:21" ht="12">
      <c r="S58" s="79"/>
      <c r="T58" s="79"/>
      <c r="U58" s="79"/>
    </row>
    <row r="59" spans="19:21" ht="12">
      <c r="S59" s="79"/>
      <c r="T59" s="79"/>
      <c r="U59" s="79"/>
    </row>
    <row r="60" spans="19:21" ht="12">
      <c r="S60" s="79"/>
      <c r="T60" s="79"/>
      <c r="U60" s="79"/>
    </row>
    <row r="61" spans="19:21" ht="12">
      <c r="S61" s="79"/>
      <c r="T61" s="79"/>
      <c r="U61" s="79"/>
    </row>
    <row r="62" spans="19:21" ht="12">
      <c r="S62" s="79"/>
      <c r="T62" s="79"/>
      <c r="U62" s="79"/>
    </row>
    <row r="63" spans="19:21" ht="12">
      <c r="S63" s="79"/>
      <c r="T63" s="79"/>
      <c r="U63" s="79"/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2015-04-02T19:22:07Z</cp:lastPrinted>
  <dcterms:created xsi:type="dcterms:W3CDTF">1998-02-23T20:58:01Z</dcterms:created>
  <dcterms:modified xsi:type="dcterms:W3CDTF">2015-04-02T19:22:17Z</dcterms:modified>
  <cp:category/>
  <cp:version/>
  <cp:contentType/>
  <cp:contentStatus/>
</cp:coreProperties>
</file>